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Admin\Documents\Gutenberg\4-MODELS\Apple\2 - Recalibrate (after F2Q2019 5-29-2019)\"/>
    </mc:Choice>
  </mc:AlternateContent>
  <xr:revisionPtr revIDLastSave="0" documentId="13_ncr:1_{2107CC6C-F635-49E6-934C-91F7AEEC8008}" xr6:coauthVersionLast="43" xr6:coauthVersionMax="43" xr10:uidLastSave="{00000000-0000-0000-0000-000000000000}"/>
  <bookViews>
    <workbookView xWindow="-120" yWindow="-120" windowWidth="51840" windowHeight="21840" tabRatio="700" activeTab="1" xr2:uid="{00000000-000D-0000-FFFF-FFFF00000000}"/>
  </bookViews>
  <sheets>
    <sheet name="Instructions" sheetId="24" r:id="rId1"/>
    <sheet name="Earnings Model" sheetId="3" r:id="rId2"/>
    <sheet name="Charts" sheetId="25" r:id="rId3"/>
    <sheet name="Std Dev" sheetId="26" r:id="rId4"/>
    <sheet name="Dollar Index" sheetId="27" r:id="rId5"/>
  </sheets>
  <definedNames>
    <definedName name="_xlnm._FilterDatabase" localSheetId="4" hidden="1">'Dollar Index'!$A$12:$E$1273</definedName>
    <definedName name="DATA" localSheetId="2">#REF!</definedName>
    <definedName name="DATA" localSheetId="0">#REF!</definedName>
    <definedName name="DATA">#REF!</definedName>
    <definedName name="_xlnm.Print_Area" localSheetId="1">'Earnings Model'!$A$1:$W$240</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64" i="3" l="1"/>
  <c r="C244" i="3"/>
  <c r="C251" i="3"/>
  <c r="C255" i="3"/>
  <c r="R215" i="3"/>
  <c r="W215" i="3"/>
  <c r="AB215" i="3"/>
  <c r="AG215" i="3"/>
  <c r="AL215" i="3"/>
  <c r="C263" i="3"/>
  <c r="C260" i="3"/>
  <c r="C262" i="3"/>
  <c r="C252" i="3"/>
  <c r="C243" i="3"/>
  <c r="C238" i="3"/>
  <c r="P75" i="3"/>
  <c r="P74" i="3"/>
  <c r="C1313" i="27"/>
  <c r="AK134" i="3"/>
  <c r="AJ134" i="3"/>
  <c r="AI134" i="3"/>
  <c r="AH134" i="3"/>
  <c r="AF134" i="3"/>
  <c r="AE134" i="3"/>
  <c r="AD134" i="3"/>
  <c r="AC134" i="3"/>
  <c r="AA134" i="3"/>
  <c r="Z134" i="3"/>
  <c r="Y134" i="3"/>
  <c r="X134" i="3"/>
  <c r="V134" i="3"/>
  <c r="U134" i="3"/>
  <c r="T134" i="3"/>
  <c r="S134" i="3"/>
  <c r="Q134" i="3"/>
  <c r="P134" i="3"/>
  <c r="AK163" i="3"/>
  <c r="AJ163" i="3"/>
  <c r="AI163" i="3"/>
  <c r="AH163" i="3"/>
  <c r="AF163" i="3"/>
  <c r="AE163" i="3"/>
  <c r="AD163" i="3"/>
  <c r="AC163" i="3"/>
  <c r="AA163" i="3"/>
  <c r="Z163" i="3"/>
  <c r="Y163" i="3"/>
  <c r="X163" i="3"/>
  <c r="S163" i="3"/>
  <c r="T163" i="3"/>
  <c r="V163" i="3"/>
  <c r="U163" i="3"/>
  <c r="Q163" i="3"/>
  <c r="P163" i="3"/>
  <c r="E163" i="3"/>
  <c r="F163" i="3"/>
  <c r="G163" i="3"/>
  <c r="H163" i="3"/>
  <c r="I163" i="3"/>
  <c r="J163" i="3"/>
  <c r="K163" i="3"/>
  <c r="L163" i="3"/>
  <c r="M163" i="3"/>
  <c r="N163" i="3"/>
  <c r="O163" i="3"/>
  <c r="D163" i="3"/>
  <c r="P85" i="3"/>
  <c r="P25" i="3"/>
  <c r="P86" i="3"/>
  <c r="P26" i="3"/>
  <c r="P28" i="3"/>
  <c r="P29" i="3"/>
  <c r="P30" i="3"/>
  <c r="P31" i="3"/>
  <c r="P174" i="3"/>
  <c r="P145" i="3"/>
  <c r="P147" i="3"/>
  <c r="P139" i="3"/>
  <c r="P203" i="3"/>
  <c r="P136" i="3"/>
  <c r="P204" i="3"/>
  <c r="P206" i="3"/>
  <c r="P137" i="3"/>
  <c r="P141" i="3"/>
  <c r="P148" i="3"/>
  <c r="P119" i="3"/>
  <c r="P126" i="3"/>
  <c r="P189" i="3"/>
  <c r="P196" i="3"/>
  <c r="P180" i="3"/>
  <c r="P181" i="3"/>
  <c r="P186" i="3"/>
  <c r="P187" i="3"/>
  <c r="P207" i="3"/>
  <c r="P209" i="3"/>
  <c r="P211" i="3"/>
  <c r="P118" i="3"/>
  <c r="Q85" i="3"/>
  <c r="Q25" i="3"/>
  <c r="Q86" i="3"/>
  <c r="Q26" i="3"/>
  <c r="Q28" i="3"/>
  <c r="Q29" i="3"/>
  <c r="Q30" i="3"/>
  <c r="Q31" i="3"/>
  <c r="Q174" i="3"/>
  <c r="Q180" i="3"/>
  <c r="Q181" i="3"/>
  <c r="Q186" i="3"/>
  <c r="Q187" i="3"/>
  <c r="Q212" i="3"/>
  <c r="R25" i="3"/>
  <c r="R26" i="3"/>
  <c r="R28" i="3"/>
  <c r="R29" i="3"/>
  <c r="R30" i="3"/>
  <c r="R31" i="3"/>
  <c r="R174" i="3"/>
  <c r="R180" i="3"/>
  <c r="R181" i="3"/>
  <c r="R186" i="3"/>
  <c r="R187" i="3"/>
  <c r="R212" i="3"/>
  <c r="Q208" i="3"/>
  <c r="Q145" i="3"/>
  <c r="Q147" i="3"/>
  <c r="Q139" i="3"/>
  <c r="Q203" i="3"/>
  <c r="Q136" i="3"/>
  <c r="Q204" i="3"/>
  <c r="Q206" i="3"/>
  <c r="Q137" i="3"/>
  <c r="Q141" i="3"/>
  <c r="Q148" i="3"/>
  <c r="Q119" i="3"/>
  <c r="Q126" i="3"/>
  <c r="Q189" i="3"/>
  <c r="Q196" i="3"/>
  <c r="Q207" i="3"/>
  <c r="Q209" i="3"/>
  <c r="Q211" i="3"/>
  <c r="Q118" i="3"/>
  <c r="S85" i="3"/>
  <c r="S25" i="3"/>
  <c r="S86" i="3"/>
  <c r="S26" i="3"/>
  <c r="S28" i="3"/>
  <c r="S29" i="3"/>
  <c r="S30" i="3"/>
  <c r="S31" i="3"/>
  <c r="S174" i="3"/>
  <c r="R120" i="3"/>
  <c r="S180" i="3"/>
  <c r="R121" i="3"/>
  <c r="S181" i="3"/>
  <c r="R123" i="3"/>
  <c r="S182" i="3"/>
  <c r="R122" i="3"/>
  <c r="S122" i="3"/>
  <c r="R124" i="3"/>
  <c r="S183" i="3"/>
  <c r="R134" i="3"/>
  <c r="S186" i="3"/>
  <c r="S187" i="3"/>
  <c r="S212" i="3"/>
  <c r="R206" i="3"/>
  <c r="R189" i="3"/>
  <c r="R196" i="3"/>
  <c r="R207" i="3"/>
  <c r="R209" i="3"/>
  <c r="S208" i="3"/>
  <c r="S145" i="3"/>
  <c r="S147" i="3"/>
  <c r="S139" i="3"/>
  <c r="R139" i="3"/>
  <c r="S203" i="3"/>
  <c r="S136" i="3"/>
  <c r="R136" i="3"/>
  <c r="S204" i="3"/>
  <c r="S206" i="3"/>
  <c r="S137" i="3"/>
  <c r="S141" i="3"/>
  <c r="S148" i="3"/>
  <c r="S119" i="3"/>
  <c r="R119" i="3"/>
  <c r="S126" i="3"/>
  <c r="R126" i="3"/>
  <c r="S189" i="3"/>
  <c r="S196" i="3"/>
  <c r="S207" i="3"/>
  <c r="S209" i="3"/>
  <c r="S211" i="3"/>
  <c r="S118" i="3"/>
  <c r="T85" i="3"/>
  <c r="T25" i="3"/>
  <c r="T86" i="3"/>
  <c r="T26" i="3"/>
  <c r="T28" i="3"/>
  <c r="T29" i="3"/>
  <c r="T30" i="3"/>
  <c r="T31" i="3"/>
  <c r="T174" i="3"/>
  <c r="T180" i="3"/>
  <c r="T181" i="3"/>
  <c r="T122" i="3"/>
  <c r="T183" i="3"/>
  <c r="T186" i="3"/>
  <c r="T187" i="3"/>
  <c r="T212" i="3"/>
  <c r="U78" i="3"/>
  <c r="U16" i="3"/>
  <c r="U79" i="3"/>
  <c r="U17" i="3"/>
  <c r="U18" i="3"/>
  <c r="U19" i="3"/>
  <c r="U23" i="3"/>
  <c r="T208" i="3"/>
  <c r="T145" i="3"/>
  <c r="T147" i="3"/>
  <c r="T139" i="3"/>
  <c r="T203" i="3"/>
  <c r="T136" i="3"/>
  <c r="T204" i="3"/>
  <c r="T206" i="3"/>
  <c r="T137" i="3"/>
  <c r="T141" i="3"/>
  <c r="T148" i="3"/>
  <c r="T119" i="3"/>
  <c r="T126" i="3"/>
  <c r="T189" i="3"/>
  <c r="T196" i="3"/>
  <c r="T207" i="3"/>
  <c r="T209" i="3"/>
  <c r="T211" i="3"/>
  <c r="T118" i="3"/>
  <c r="U85" i="3"/>
  <c r="U25" i="3"/>
  <c r="U86" i="3"/>
  <c r="U26" i="3"/>
  <c r="U28" i="3"/>
  <c r="U29" i="3"/>
  <c r="U30" i="3"/>
  <c r="U31" i="3"/>
  <c r="U174" i="3"/>
  <c r="U180" i="3"/>
  <c r="U121" i="3"/>
  <c r="U181" i="3"/>
  <c r="U123" i="3"/>
  <c r="U182" i="3"/>
  <c r="U122" i="3"/>
  <c r="U183" i="3"/>
  <c r="U133" i="3"/>
  <c r="U184" i="3"/>
  <c r="U186" i="3"/>
  <c r="U187" i="3"/>
  <c r="U212" i="3"/>
  <c r="V78" i="3"/>
  <c r="V16" i="3"/>
  <c r="V79" i="3"/>
  <c r="V17" i="3"/>
  <c r="V18" i="3"/>
  <c r="V19" i="3"/>
  <c r="V23" i="3"/>
  <c r="U208" i="3"/>
  <c r="U145" i="3"/>
  <c r="U147" i="3"/>
  <c r="U139" i="3"/>
  <c r="U203" i="3"/>
  <c r="U136" i="3"/>
  <c r="U204" i="3"/>
  <c r="U206" i="3"/>
  <c r="U137" i="3"/>
  <c r="U141" i="3"/>
  <c r="U148" i="3"/>
  <c r="U119" i="3"/>
  <c r="U126" i="3"/>
  <c r="U189" i="3"/>
  <c r="U196" i="3"/>
  <c r="U207" i="3"/>
  <c r="U209" i="3"/>
  <c r="U211" i="3"/>
  <c r="U118" i="3"/>
  <c r="V85" i="3"/>
  <c r="V25" i="3"/>
  <c r="V86" i="3"/>
  <c r="V26" i="3"/>
  <c r="V28" i="3"/>
  <c r="V29" i="3"/>
  <c r="V30" i="3"/>
  <c r="V31" i="3"/>
  <c r="V174" i="3"/>
  <c r="V180" i="3"/>
  <c r="V121" i="3"/>
  <c r="V181" i="3"/>
  <c r="V123" i="3"/>
  <c r="V182" i="3"/>
  <c r="V122" i="3"/>
  <c r="V183" i="3"/>
  <c r="V133" i="3"/>
  <c r="V184" i="3"/>
  <c r="V186" i="3"/>
  <c r="V187" i="3"/>
  <c r="V212" i="3"/>
  <c r="W16" i="3"/>
  <c r="W17" i="3"/>
  <c r="W18" i="3"/>
  <c r="W19" i="3"/>
  <c r="W23" i="3"/>
  <c r="W25" i="3"/>
  <c r="W26" i="3"/>
  <c r="W28" i="3"/>
  <c r="W29" i="3"/>
  <c r="W30" i="3"/>
  <c r="W31" i="3"/>
  <c r="W174" i="3"/>
  <c r="W180" i="3"/>
  <c r="W181" i="3"/>
  <c r="W182" i="3"/>
  <c r="W183" i="3"/>
  <c r="W184" i="3"/>
  <c r="W186" i="3"/>
  <c r="W187" i="3"/>
  <c r="W212" i="3"/>
  <c r="V208" i="3"/>
  <c r="V145" i="3"/>
  <c r="V147" i="3"/>
  <c r="V139" i="3"/>
  <c r="V203" i="3"/>
  <c r="V136" i="3"/>
  <c r="V204" i="3"/>
  <c r="V206" i="3"/>
  <c r="V137" i="3"/>
  <c r="V141" i="3"/>
  <c r="V148" i="3"/>
  <c r="V119" i="3"/>
  <c r="V126" i="3"/>
  <c r="V189" i="3"/>
  <c r="V196" i="3"/>
  <c r="V207" i="3"/>
  <c r="V209" i="3"/>
  <c r="V211" i="3"/>
  <c r="V118" i="3"/>
  <c r="X85" i="3"/>
  <c r="X25" i="3"/>
  <c r="X86" i="3"/>
  <c r="X26" i="3"/>
  <c r="X28" i="3"/>
  <c r="X29" i="3"/>
  <c r="X30" i="3"/>
  <c r="X31" i="3"/>
  <c r="X174" i="3"/>
  <c r="W120" i="3"/>
  <c r="X180" i="3"/>
  <c r="W121" i="3"/>
  <c r="X181" i="3"/>
  <c r="W123" i="3"/>
  <c r="X182" i="3"/>
  <c r="W122" i="3"/>
  <c r="X122" i="3"/>
  <c r="W124" i="3"/>
  <c r="X183" i="3"/>
  <c r="W133" i="3"/>
  <c r="X184" i="3"/>
  <c r="W134" i="3"/>
  <c r="X186" i="3"/>
  <c r="X187" i="3"/>
  <c r="X212" i="3"/>
  <c r="Y78" i="3"/>
  <c r="Y16" i="3"/>
  <c r="Y79" i="3"/>
  <c r="Y17" i="3"/>
  <c r="Y18" i="3"/>
  <c r="Y19" i="3"/>
  <c r="Y23" i="3"/>
  <c r="W208" i="3"/>
  <c r="W206" i="3"/>
  <c r="W189" i="3"/>
  <c r="W196" i="3"/>
  <c r="W207" i="3"/>
  <c r="W209" i="3"/>
  <c r="X208" i="3"/>
  <c r="X145" i="3"/>
  <c r="X147" i="3"/>
  <c r="X139" i="3"/>
  <c r="W139" i="3"/>
  <c r="X203" i="3"/>
  <c r="X136" i="3"/>
  <c r="W136" i="3"/>
  <c r="X204" i="3"/>
  <c r="X206" i="3"/>
  <c r="X137" i="3"/>
  <c r="X141" i="3"/>
  <c r="X148" i="3"/>
  <c r="X119" i="3"/>
  <c r="W119" i="3"/>
  <c r="X126" i="3"/>
  <c r="W126" i="3"/>
  <c r="X189" i="3"/>
  <c r="X196" i="3"/>
  <c r="X207" i="3"/>
  <c r="X209" i="3"/>
  <c r="X211" i="3"/>
  <c r="X118" i="3"/>
  <c r="Y85" i="3"/>
  <c r="Y25" i="3"/>
  <c r="Y86" i="3"/>
  <c r="Y26" i="3"/>
  <c r="Y28" i="3"/>
  <c r="Y29" i="3"/>
  <c r="Y30" i="3"/>
  <c r="Y31" i="3"/>
  <c r="Y174" i="3"/>
  <c r="Y180" i="3"/>
  <c r="Y121" i="3"/>
  <c r="Y181" i="3"/>
  <c r="Y123" i="3"/>
  <c r="Y182" i="3"/>
  <c r="Y122" i="3"/>
  <c r="Y183" i="3"/>
  <c r="Y133" i="3"/>
  <c r="Y184" i="3"/>
  <c r="Y186" i="3"/>
  <c r="Y187" i="3"/>
  <c r="Y212" i="3"/>
  <c r="Z78" i="3"/>
  <c r="Z16" i="3"/>
  <c r="Z79" i="3"/>
  <c r="Z17" i="3"/>
  <c r="Z18" i="3"/>
  <c r="Z19" i="3"/>
  <c r="Z23" i="3"/>
  <c r="Y208" i="3"/>
  <c r="Y145" i="3"/>
  <c r="Y147" i="3"/>
  <c r="Y139" i="3"/>
  <c r="Y203" i="3"/>
  <c r="Y136" i="3"/>
  <c r="Y204" i="3"/>
  <c r="Y206" i="3"/>
  <c r="Y137" i="3"/>
  <c r="Y141" i="3"/>
  <c r="Y148" i="3"/>
  <c r="Y119" i="3"/>
  <c r="Y126" i="3"/>
  <c r="Y189" i="3"/>
  <c r="Y196" i="3"/>
  <c r="Y207" i="3"/>
  <c r="Y209" i="3"/>
  <c r="Y211" i="3"/>
  <c r="Y118" i="3"/>
  <c r="Z85" i="3"/>
  <c r="Z25" i="3"/>
  <c r="Z86" i="3"/>
  <c r="Z26" i="3"/>
  <c r="Z28" i="3"/>
  <c r="Z29" i="3"/>
  <c r="Z30" i="3"/>
  <c r="Z31" i="3"/>
  <c r="Z174" i="3"/>
  <c r="Z180" i="3"/>
  <c r="Z121" i="3"/>
  <c r="Z181" i="3"/>
  <c r="Z123" i="3"/>
  <c r="Z182" i="3"/>
  <c r="Z122" i="3"/>
  <c r="Z183" i="3"/>
  <c r="Z133" i="3"/>
  <c r="Z184" i="3"/>
  <c r="Z186" i="3"/>
  <c r="Z187" i="3"/>
  <c r="Z212" i="3"/>
  <c r="AA78" i="3"/>
  <c r="AA16" i="3"/>
  <c r="AA79" i="3"/>
  <c r="AA17" i="3"/>
  <c r="AA18" i="3"/>
  <c r="AA19" i="3"/>
  <c r="AA23" i="3"/>
  <c r="Z208" i="3"/>
  <c r="Z145" i="3"/>
  <c r="Z147" i="3"/>
  <c r="Z139" i="3"/>
  <c r="Z203" i="3"/>
  <c r="Z136" i="3"/>
  <c r="Z204" i="3"/>
  <c r="Z206" i="3"/>
  <c r="Z137" i="3"/>
  <c r="Z141" i="3"/>
  <c r="Z148" i="3"/>
  <c r="Z119" i="3"/>
  <c r="Z126" i="3"/>
  <c r="Z189" i="3"/>
  <c r="Z196" i="3"/>
  <c r="Z207" i="3"/>
  <c r="Z209" i="3"/>
  <c r="Z211" i="3"/>
  <c r="Z118" i="3"/>
  <c r="AA85" i="3"/>
  <c r="AA25" i="3"/>
  <c r="AA86" i="3"/>
  <c r="AA26" i="3"/>
  <c r="AA28" i="3"/>
  <c r="AA29" i="3"/>
  <c r="AA30" i="3"/>
  <c r="AA31" i="3"/>
  <c r="AA174" i="3"/>
  <c r="AA180" i="3"/>
  <c r="AA121" i="3"/>
  <c r="AA181" i="3"/>
  <c r="AA123" i="3"/>
  <c r="AA182" i="3"/>
  <c r="AA122" i="3"/>
  <c r="AA183" i="3"/>
  <c r="AA133" i="3"/>
  <c r="AA184" i="3"/>
  <c r="AA186" i="3"/>
  <c r="AA187" i="3"/>
  <c r="AA212" i="3"/>
  <c r="AB16" i="3"/>
  <c r="AB17" i="3"/>
  <c r="AB18" i="3"/>
  <c r="AB19" i="3"/>
  <c r="AB23" i="3"/>
  <c r="AB25" i="3"/>
  <c r="AB26" i="3"/>
  <c r="AB28" i="3"/>
  <c r="AB29" i="3"/>
  <c r="AB30" i="3"/>
  <c r="AB31" i="3"/>
  <c r="AB174" i="3"/>
  <c r="AB180" i="3"/>
  <c r="AB181" i="3"/>
  <c r="AB182" i="3"/>
  <c r="AB183" i="3"/>
  <c r="AB184" i="3"/>
  <c r="AB186" i="3"/>
  <c r="AB187" i="3"/>
  <c r="AB212" i="3"/>
  <c r="AA208" i="3"/>
  <c r="AA145" i="3"/>
  <c r="AA147" i="3"/>
  <c r="AA139" i="3"/>
  <c r="AA203" i="3"/>
  <c r="AA136" i="3"/>
  <c r="AA204" i="3"/>
  <c r="AA206" i="3"/>
  <c r="AA137" i="3"/>
  <c r="AA141" i="3"/>
  <c r="AA148" i="3"/>
  <c r="AA119" i="3"/>
  <c r="AA126" i="3"/>
  <c r="AA189" i="3"/>
  <c r="AA196" i="3"/>
  <c r="AA207" i="3"/>
  <c r="AA209" i="3"/>
  <c r="AA211" i="3"/>
  <c r="AA118" i="3"/>
  <c r="AC85" i="3"/>
  <c r="AC25" i="3"/>
  <c r="AC86" i="3"/>
  <c r="AC26" i="3"/>
  <c r="AC28" i="3"/>
  <c r="AC29" i="3"/>
  <c r="AC30" i="3"/>
  <c r="AC31" i="3"/>
  <c r="AC174" i="3"/>
  <c r="AB120" i="3"/>
  <c r="AC180" i="3"/>
  <c r="AB121" i="3"/>
  <c r="AC181" i="3"/>
  <c r="AB123" i="3"/>
  <c r="AC182" i="3"/>
  <c r="AB122" i="3"/>
  <c r="AC122" i="3"/>
  <c r="AB124" i="3"/>
  <c r="AC183" i="3"/>
  <c r="AB133" i="3"/>
  <c r="AC184" i="3"/>
  <c r="AB134" i="3"/>
  <c r="AC186" i="3"/>
  <c r="AC187" i="3"/>
  <c r="AC212" i="3"/>
  <c r="AD78" i="3"/>
  <c r="AD16" i="3"/>
  <c r="AD79" i="3"/>
  <c r="AD17" i="3"/>
  <c r="AD18" i="3"/>
  <c r="AD19" i="3"/>
  <c r="AD23" i="3"/>
  <c r="AB208" i="3"/>
  <c r="AB206" i="3"/>
  <c r="AB189" i="3"/>
  <c r="AB196" i="3"/>
  <c r="AB207" i="3"/>
  <c r="AB209" i="3"/>
  <c r="AC208" i="3"/>
  <c r="AC145" i="3"/>
  <c r="AC147" i="3"/>
  <c r="AC139" i="3"/>
  <c r="AB139" i="3"/>
  <c r="AC203" i="3"/>
  <c r="AC136" i="3"/>
  <c r="AB136" i="3"/>
  <c r="AC204" i="3"/>
  <c r="AC206" i="3"/>
  <c r="AC137" i="3"/>
  <c r="AC141" i="3"/>
  <c r="AC148" i="3"/>
  <c r="AC119" i="3"/>
  <c r="AB119" i="3"/>
  <c r="AC126" i="3"/>
  <c r="AB126" i="3"/>
  <c r="AC189" i="3"/>
  <c r="AC196" i="3"/>
  <c r="AC207" i="3"/>
  <c r="AC209" i="3"/>
  <c r="AC211" i="3"/>
  <c r="AC118" i="3"/>
  <c r="AD85" i="3"/>
  <c r="AD25" i="3"/>
  <c r="AD86" i="3"/>
  <c r="AD26" i="3"/>
  <c r="AD28" i="3"/>
  <c r="AD29" i="3"/>
  <c r="AD30" i="3"/>
  <c r="AD31" i="3"/>
  <c r="AD174" i="3"/>
  <c r="AD180" i="3"/>
  <c r="AD121" i="3"/>
  <c r="AD181" i="3"/>
  <c r="AD123" i="3"/>
  <c r="AD182" i="3"/>
  <c r="AD122" i="3"/>
  <c r="AD183" i="3"/>
  <c r="AD133" i="3"/>
  <c r="AD184" i="3"/>
  <c r="AD186" i="3"/>
  <c r="AD187" i="3"/>
  <c r="AD212" i="3"/>
  <c r="AE78" i="3"/>
  <c r="AE16" i="3"/>
  <c r="AE79" i="3"/>
  <c r="AE17" i="3"/>
  <c r="AE18" i="3"/>
  <c r="AE19" i="3"/>
  <c r="AE23" i="3"/>
  <c r="AD208" i="3"/>
  <c r="AD145" i="3"/>
  <c r="AD147" i="3"/>
  <c r="AD139" i="3"/>
  <c r="AD203" i="3"/>
  <c r="AD136" i="3"/>
  <c r="AD204" i="3"/>
  <c r="AD206" i="3"/>
  <c r="AD137" i="3"/>
  <c r="AD141" i="3"/>
  <c r="AD148" i="3"/>
  <c r="AD119" i="3"/>
  <c r="AD126" i="3"/>
  <c r="AD189" i="3"/>
  <c r="AD196" i="3"/>
  <c r="AD207" i="3"/>
  <c r="AD209" i="3"/>
  <c r="AD211" i="3"/>
  <c r="AD118" i="3"/>
  <c r="AE85" i="3"/>
  <c r="AE25" i="3"/>
  <c r="AE86" i="3"/>
  <c r="AE26" i="3"/>
  <c r="AE28" i="3"/>
  <c r="AE29" i="3"/>
  <c r="AE30" i="3"/>
  <c r="AE31" i="3"/>
  <c r="AE174" i="3"/>
  <c r="AE180" i="3"/>
  <c r="AE121" i="3"/>
  <c r="AE181" i="3"/>
  <c r="AE123" i="3"/>
  <c r="AE182" i="3"/>
  <c r="AE122" i="3"/>
  <c r="AE183" i="3"/>
  <c r="AE133" i="3"/>
  <c r="AE184" i="3"/>
  <c r="AE186" i="3"/>
  <c r="AE187" i="3"/>
  <c r="AE212" i="3"/>
  <c r="AF78" i="3"/>
  <c r="AF16" i="3"/>
  <c r="AF79" i="3"/>
  <c r="AF17" i="3"/>
  <c r="AF18" i="3"/>
  <c r="AF19" i="3"/>
  <c r="AF23" i="3"/>
  <c r="AE208" i="3"/>
  <c r="AE145" i="3"/>
  <c r="AE147" i="3"/>
  <c r="AE139" i="3"/>
  <c r="AE203" i="3"/>
  <c r="AE136" i="3"/>
  <c r="AE204" i="3"/>
  <c r="AE206" i="3"/>
  <c r="AE137" i="3"/>
  <c r="AE141" i="3"/>
  <c r="AE148" i="3"/>
  <c r="AE119" i="3"/>
  <c r="AE126" i="3"/>
  <c r="AE189" i="3"/>
  <c r="AE196" i="3"/>
  <c r="AE207" i="3"/>
  <c r="AE209" i="3"/>
  <c r="AE211" i="3"/>
  <c r="AE118" i="3"/>
  <c r="AF85" i="3"/>
  <c r="AF25" i="3"/>
  <c r="AF86" i="3"/>
  <c r="AF26" i="3"/>
  <c r="AF28" i="3"/>
  <c r="AF29" i="3"/>
  <c r="AF30" i="3"/>
  <c r="AF31" i="3"/>
  <c r="AF174" i="3"/>
  <c r="AF180" i="3"/>
  <c r="AF121" i="3"/>
  <c r="AF181" i="3"/>
  <c r="AF123" i="3"/>
  <c r="AF182" i="3"/>
  <c r="AF122" i="3"/>
  <c r="AF183" i="3"/>
  <c r="AF133" i="3"/>
  <c r="AF184" i="3"/>
  <c r="AF186" i="3"/>
  <c r="AF187" i="3"/>
  <c r="AF212" i="3"/>
  <c r="AG16" i="3"/>
  <c r="AG17" i="3"/>
  <c r="AG18" i="3"/>
  <c r="AG19" i="3"/>
  <c r="AG23" i="3"/>
  <c r="AG25" i="3"/>
  <c r="AG26" i="3"/>
  <c r="AG28" i="3"/>
  <c r="AG29" i="3"/>
  <c r="AG30" i="3"/>
  <c r="AG31" i="3"/>
  <c r="AG174" i="3"/>
  <c r="AG180" i="3"/>
  <c r="AG181" i="3"/>
  <c r="AG182" i="3"/>
  <c r="AG183" i="3"/>
  <c r="AG184" i="3"/>
  <c r="AG186" i="3"/>
  <c r="AG187" i="3"/>
  <c r="AG212" i="3"/>
  <c r="AF208" i="3"/>
  <c r="AF145" i="3"/>
  <c r="AF147" i="3"/>
  <c r="AF139" i="3"/>
  <c r="AF203" i="3"/>
  <c r="AF136" i="3"/>
  <c r="AF204" i="3"/>
  <c r="AF206" i="3"/>
  <c r="AF137" i="3"/>
  <c r="AF141" i="3"/>
  <c r="AF148" i="3"/>
  <c r="AF119" i="3"/>
  <c r="AF126" i="3"/>
  <c r="AF189" i="3"/>
  <c r="AF196" i="3"/>
  <c r="AF207" i="3"/>
  <c r="AF209" i="3"/>
  <c r="AF211" i="3"/>
  <c r="AF118" i="3"/>
  <c r="AH85" i="3"/>
  <c r="AH25" i="3"/>
  <c r="AH86" i="3"/>
  <c r="AH26" i="3"/>
  <c r="AH28" i="3"/>
  <c r="AH29" i="3"/>
  <c r="AH30" i="3"/>
  <c r="AH31" i="3"/>
  <c r="AH174" i="3"/>
  <c r="AG120" i="3"/>
  <c r="AH180" i="3"/>
  <c r="AG121" i="3"/>
  <c r="AH181" i="3"/>
  <c r="AG123" i="3"/>
  <c r="AH182" i="3"/>
  <c r="AG122" i="3"/>
  <c r="AH122" i="3"/>
  <c r="AG124" i="3"/>
  <c r="AH183" i="3"/>
  <c r="AG133" i="3"/>
  <c r="AH184" i="3"/>
  <c r="AG134" i="3"/>
  <c r="AH186" i="3"/>
  <c r="AH187" i="3"/>
  <c r="AH212" i="3"/>
  <c r="AI78" i="3"/>
  <c r="AI16" i="3"/>
  <c r="AI79" i="3"/>
  <c r="AI17" i="3"/>
  <c r="AI18" i="3"/>
  <c r="AI19" i="3"/>
  <c r="AI23" i="3"/>
  <c r="AG208" i="3"/>
  <c r="AG206" i="3"/>
  <c r="AG189" i="3"/>
  <c r="AG196" i="3"/>
  <c r="AG207" i="3"/>
  <c r="AG209" i="3"/>
  <c r="AH208" i="3"/>
  <c r="AH145" i="3"/>
  <c r="AH147" i="3"/>
  <c r="AH139" i="3"/>
  <c r="AG139" i="3"/>
  <c r="AH203" i="3"/>
  <c r="AH136" i="3"/>
  <c r="AG136" i="3"/>
  <c r="AH204" i="3"/>
  <c r="AH206" i="3"/>
  <c r="AH137" i="3"/>
  <c r="AH141" i="3"/>
  <c r="AH148" i="3"/>
  <c r="AH119" i="3"/>
  <c r="AG119" i="3"/>
  <c r="AH126" i="3"/>
  <c r="AG126" i="3"/>
  <c r="AH189" i="3"/>
  <c r="AH196" i="3"/>
  <c r="AH207" i="3"/>
  <c r="AH209" i="3"/>
  <c r="AH211" i="3"/>
  <c r="AH118" i="3"/>
  <c r="AI85" i="3"/>
  <c r="AI25" i="3"/>
  <c r="AI86" i="3"/>
  <c r="AI26" i="3"/>
  <c r="AI28" i="3"/>
  <c r="AI29" i="3"/>
  <c r="AI30" i="3"/>
  <c r="AI31" i="3"/>
  <c r="AI174" i="3"/>
  <c r="AI180" i="3"/>
  <c r="AI121" i="3"/>
  <c r="AI181" i="3"/>
  <c r="AI123" i="3"/>
  <c r="AI182" i="3"/>
  <c r="AI122" i="3"/>
  <c r="AI183" i="3"/>
  <c r="AI133" i="3"/>
  <c r="AI184" i="3"/>
  <c r="AI186" i="3"/>
  <c r="AI187" i="3"/>
  <c r="AI212" i="3"/>
  <c r="AJ78" i="3"/>
  <c r="AJ16" i="3"/>
  <c r="AJ79" i="3"/>
  <c r="AJ17" i="3"/>
  <c r="AJ18" i="3"/>
  <c r="AJ19" i="3"/>
  <c r="AJ23" i="3"/>
  <c r="AI208" i="3"/>
  <c r="AI145" i="3"/>
  <c r="AI147" i="3"/>
  <c r="AI139" i="3"/>
  <c r="AI203" i="3"/>
  <c r="AI136" i="3"/>
  <c r="AI204" i="3"/>
  <c r="AI206" i="3"/>
  <c r="AI137" i="3"/>
  <c r="AI141" i="3"/>
  <c r="AI148" i="3"/>
  <c r="AI119" i="3"/>
  <c r="AI126" i="3"/>
  <c r="AI189" i="3"/>
  <c r="AI196" i="3"/>
  <c r="AI207" i="3"/>
  <c r="AI209" i="3"/>
  <c r="AI211" i="3"/>
  <c r="AI118" i="3"/>
  <c r="AJ85" i="3"/>
  <c r="AJ25" i="3"/>
  <c r="AJ86" i="3"/>
  <c r="AJ26" i="3"/>
  <c r="AJ28" i="3"/>
  <c r="AJ29" i="3"/>
  <c r="AJ30" i="3"/>
  <c r="AJ31" i="3"/>
  <c r="AJ174" i="3"/>
  <c r="AJ180" i="3"/>
  <c r="AJ121" i="3"/>
  <c r="AJ181" i="3"/>
  <c r="AJ123" i="3"/>
  <c r="AJ182" i="3"/>
  <c r="AJ122" i="3"/>
  <c r="AJ183" i="3"/>
  <c r="AJ133" i="3"/>
  <c r="AJ184" i="3"/>
  <c r="AJ186" i="3"/>
  <c r="AJ187" i="3"/>
  <c r="AJ212" i="3"/>
  <c r="AK78" i="3"/>
  <c r="AK16" i="3"/>
  <c r="AK79" i="3"/>
  <c r="AK17" i="3"/>
  <c r="AK18" i="3"/>
  <c r="AK19" i="3"/>
  <c r="AK23" i="3"/>
  <c r="AJ208" i="3"/>
  <c r="AJ145" i="3"/>
  <c r="AJ147" i="3"/>
  <c r="AJ139" i="3"/>
  <c r="AJ203" i="3"/>
  <c r="AJ136" i="3"/>
  <c r="AJ204" i="3"/>
  <c r="AJ206" i="3"/>
  <c r="AJ137" i="3"/>
  <c r="AJ141" i="3"/>
  <c r="AJ148" i="3"/>
  <c r="AJ119" i="3"/>
  <c r="AJ126" i="3"/>
  <c r="AJ189" i="3"/>
  <c r="AJ196" i="3"/>
  <c r="AJ207" i="3"/>
  <c r="AJ209" i="3"/>
  <c r="AJ211" i="3"/>
  <c r="AJ118" i="3"/>
  <c r="AK85" i="3"/>
  <c r="AK25" i="3"/>
  <c r="AK86" i="3"/>
  <c r="AK26" i="3"/>
  <c r="AK28" i="3"/>
  <c r="AK29" i="3"/>
  <c r="AK30" i="3"/>
  <c r="AK31" i="3"/>
  <c r="AK174" i="3"/>
  <c r="AK180" i="3"/>
  <c r="AK121" i="3"/>
  <c r="AK181" i="3"/>
  <c r="AK123" i="3"/>
  <c r="AK182" i="3"/>
  <c r="AK122" i="3"/>
  <c r="AK183" i="3"/>
  <c r="AK133" i="3"/>
  <c r="AK184" i="3"/>
  <c r="AK186" i="3"/>
  <c r="AK187" i="3"/>
  <c r="AK212" i="3"/>
  <c r="AL16" i="3"/>
  <c r="AL17" i="3"/>
  <c r="AL18" i="3"/>
  <c r="AL19" i="3"/>
  <c r="AL23" i="3"/>
  <c r="AL25" i="3"/>
  <c r="AL26" i="3"/>
  <c r="AL28" i="3"/>
  <c r="AL29" i="3"/>
  <c r="AL30" i="3"/>
  <c r="AL31" i="3"/>
  <c r="AL174" i="3"/>
  <c r="AL180" i="3"/>
  <c r="AL181" i="3"/>
  <c r="AL182" i="3"/>
  <c r="AL183" i="3"/>
  <c r="AL184" i="3"/>
  <c r="AL186" i="3"/>
  <c r="AL187" i="3"/>
  <c r="AL212" i="3"/>
  <c r="D212" i="3"/>
  <c r="E212" i="3"/>
  <c r="F212" i="3"/>
  <c r="G212" i="3"/>
  <c r="H212" i="3"/>
  <c r="I212" i="3"/>
  <c r="J212" i="3"/>
  <c r="K212" i="3"/>
  <c r="L212" i="3"/>
  <c r="M212" i="3"/>
  <c r="N212" i="3"/>
  <c r="O212" i="3"/>
  <c r="P212" i="3"/>
  <c r="P213" i="3"/>
  <c r="Q213" i="3"/>
  <c r="P156" i="3"/>
  <c r="P155" i="3"/>
  <c r="AH66" i="3"/>
  <c r="AI66" i="3"/>
  <c r="AJ66" i="3"/>
  <c r="AK66" i="3"/>
  <c r="AH58" i="3"/>
  <c r="AI58" i="3"/>
  <c r="AJ58" i="3"/>
  <c r="AK58" i="3"/>
  <c r="AH54" i="3"/>
  <c r="AI54" i="3"/>
  <c r="AJ54" i="3"/>
  <c r="AK54" i="3"/>
  <c r="AK50" i="3"/>
  <c r="AJ50" i="3"/>
  <c r="AI50" i="3"/>
  <c r="AH50" i="3"/>
  <c r="N226" i="3"/>
  <c r="O226" i="3"/>
  <c r="P226" i="3"/>
  <c r="Q226" i="3"/>
  <c r="R226" i="3"/>
  <c r="S226" i="3"/>
  <c r="T226" i="3"/>
  <c r="U226" i="3"/>
  <c r="V226" i="3"/>
  <c r="W226" i="3"/>
  <c r="X226" i="3"/>
  <c r="Y226" i="3"/>
  <c r="Z226" i="3"/>
  <c r="AA226" i="3"/>
  <c r="AB226" i="3"/>
  <c r="AC226" i="3"/>
  <c r="AD226" i="3"/>
  <c r="AE226" i="3"/>
  <c r="AF226" i="3"/>
  <c r="AG226" i="3"/>
  <c r="AH49" i="3"/>
  <c r="AH53" i="3"/>
  <c r="AH57" i="3"/>
  <c r="AH13" i="3"/>
  <c r="AH65" i="3"/>
  <c r="AH14" i="3"/>
  <c r="AH15" i="3"/>
  <c r="AH226" i="3"/>
  <c r="AI49" i="3"/>
  <c r="AI53" i="3"/>
  <c r="AI57" i="3"/>
  <c r="AI13" i="3"/>
  <c r="AI65" i="3"/>
  <c r="AI14" i="3"/>
  <c r="AI15" i="3"/>
  <c r="AI226" i="3"/>
  <c r="AJ49" i="3"/>
  <c r="AJ53" i="3"/>
  <c r="AJ57" i="3"/>
  <c r="AJ13" i="3"/>
  <c r="AJ65" i="3"/>
  <c r="AJ14" i="3"/>
  <c r="AJ15" i="3"/>
  <c r="AJ226" i="3"/>
  <c r="AK49" i="3"/>
  <c r="AK53" i="3"/>
  <c r="AK57" i="3"/>
  <c r="AK13" i="3"/>
  <c r="AK65" i="3"/>
  <c r="AK14" i="3"/>
  <c r="AK15" i="3"/>
  <c r="AK226" i="3"/>
  <c r="AL13" i="3"/>
  <c r="AL14" i="3"/>
  <c r="AL15" i="3"/>
  <c r="AL226" i="3"/>
  <c r="I226" i="3"/>
  <c r="J226" i="3"/>
  <c r="K226" i="3"/>
  <c r="L226" i="3"/>
  <c r="J227" i="3"/>
  <c r="K227" i="3"/>
  <c r="L227" i="3"/>
  <c r="M227" i="3"/>
  <c r="N227" i="3"/>
  <c r="O227" i="3"/>
  <c r="P123" i="3"/>
  <c r="P182" i="3"/>
  <c r="P121" i="3"/>
  <c r="P227" i="3"/>
  <c r="Q182" i="3"/>
  <c r="Q227" i="3"/>
  <c r="R182" i="3"/>
  <c r="R227" i="3"/>
  <c r="S227" i="3"/>
  <c r="T227" i="3"/>
  <c r="U155" i="3"/>
  <c r="U156" i="3"/>
  <c r="U227" i="3"/>
  <c r="V227" i="3"/>
  <c r="W227" i="3"/>
  <c r="X227" i="3"/>
  <c r="Y227" i="3"/>
  <c r="Z155" i="3"/>
  <c r="Z156" i="3"/>
  <c r="Z227" i="3"/>
  <c r="AA227" i="3"/>
  <c r="AB227" i="3"/>
  <c r="AC227" i="3"/>
  <c r="AD227" i="3"/>
  <c r="AE155" i="3"/>
  <c r="AE156" i="3"/>
  <c r="AE227" i="3"/>
  <c r="AF227" i="3"/>
  <c r="AG227" i="3"/>
  <c r="AH16" i="3"/>
  <c r="AH17" i="3"/>
  <c r="AH18" i="3"/>
  <c r="AH19" i="3"/>
  <c r="AH21" i="3"/>
  <c r="AH20" i="3"/>
  <c r="AH23" i="3"/>
  <c r="AH176" i="3"/>
  <c r="AH120" i="3"/>
  <c r="AH121" i="3"/>
  <c r="AH123" i="3"/>
  <c r="AH133" i="3"/>
  <c r="AH135" i="3"/>
  <c r="AH185" i="3"/>
  <c r="AH227" i="3"/>
  <c r="AI21" i="3"/>
  <c r="AI20" i="3"/>
  <c r="AH200" i="3"/>
  <c r="AH144" i="3"/>
  <c r="AH138" i="3"/>
  <c r="AH205" i="3"/>
  <c r="AI176" i="3"/>
  <c r="AI120" i="3"/>
  <c r="AI135" i="3"/>
  <c r="AI185" i="3"/>
  <c r="AI227" i="3"/>
  <c r="AJ21" i="3"/>
  <c r="AJ20" i="3"/>
  <c r="AI200" i="3"/>
  <c r="AI144" i="3"/>
  <c r="AI138" i="3"/>
  <c r="AI205" i="3"/>
  <c r="AJ176" i="3"/>
  <c r="AJ120" i="3"/>
  <c r="AJ156" i="3"/>
  <c r="AJ155" i="3"/>
  <c r="AJ135" i="3"/>
  <c r="AJ185" i="3"/>
  <c r="AJ227" i="3"/>
  <c r="AK21" i="3"/>
  <c r="AK20" i="3"/>
  <c r="AJ200" i="3"/>
  <c r="AJ144" i="3"/>
  <c r="AJ138" i="3"/>
  <c r="AJ205" i="3"/>
  <c r="AK176" i="3"/>
  <c r="AK120" i="3"/>
  <c r="AK135" i="3"/>
  <c r="AK185" i="3"/>
  <c r="AK227" i="3"/>
  <c r="AL21" i="3"/>
  <c r="AL20" i="3"/>
  <c r="AL176" i="3"/>
  <c r="AL185" i="3"/>
  <c r="AL227" i="3"/>
  <c r="I227" i="3"/>
  <c r="O213" i="3"/>
  <c r="D213" i="3"/>
  <c r="E213" i="3"/>
  <c r="F213" i="3"/>
  <c r="G213" i="3"/>
  <c r="H176" i="3"/>
  <c r="H177" i="3"/>
  <c r="H178" i="3"/>
  <c r="H180" i="3"/>
  <c r="H181" i="3"/>
  <c r="H182" i="3"/>
  <c r="H183" i="3"/>
  <c r="H184" i="3"/>
  <c r="H185" i="3"/>
  <c r="H186" i="3"/>
  <c r="H187" i="3"/>
  <c r="H193" i="3"/>
  <c r="H213" i="3"/>
  <c r="I213" i="3"/>
  <c r="J213" i="3"/>
  <c r="K213" i="3"/>
  <c r="L213" i="3"/>
  <c r="M176" i="3"/>
  <c r="M178" i="3"/>
  <c r="M180" i="3"/>
  <c r="M181" i="3"/>
  <c r="M182" i="3"/>
  <c r="M183" i="3"/>
  <c r="M184" i="3"/>
  <c r="M185" i="3"/>
  <c r="M186" i="3"/>
  <c r="M187" i="3"/>
  <c r="M193" i="3"/>
  <c r="M213" i="3"/>
  <c r="N213" i="3"/>
  <c r="H189" i="3"/>
  <c r="H190" i="3"/>
  <c r="H191" i="3"/>
  <c r="H192" i="3"/>
  <c r="H194" i="3"/>
  <c r="H195" i="3"/>
  <c r="H196" i="3"/>
  <c r="H207" i="3"/>
  <c r="H209" i="3"/>
  <c r="M208" i="3"/>
  <c r="J199" i="3"/>
  <c r="J205" i="3"/>
  <c r="J206" i="3"/>
  <c r="K199" i="3"/>
  <c r="K205" i="3"/>
  <c r="K206" i="3"/>
  <c r="L199" i="3"/>
  <c r="L205" i="3"/>
  <c r="L206" i="3"/>
  <c r="M206" i="3"/>
  <c r="M189" i="3"/>
  <c r="M190" i="3"/>
  <c r="M191" i="3"/>
  <c r="M192" i="3"/>
  <c r="M194" i="3"/>
  <c r="M195" i="3"/>
  <c r="M196" i="3"/>
  <c r="M207" i="3"/>
  <c r="M209" i="3"/>
  <c r="N208" i="3"/>
  <c r="N209" i="3"/>
  <c r="O208" i="3"/>
  <c r="O209" i="3"/>
  <c r="O211" i="3"/>
  <c r="O118" i="3"/>
  <c r="O85" i="3"/>
  <c r="P208" i="3"/>
  <c r="P124" i="3"/>
  <c r="AF84" i="3"/>
  <c r="AF83" i="3"/>
  <c r="AE84" i="3"/>
  <c r="AE83" i="3"/>
  <c r="AD84" i="3"/>
  <c r="AD83" i="3"/>
  <c r="AC84" i="3"/>
  <c r="AC83" i="3"/>
  <c r="AA84" i="3"/>
  <c r="AA83" i="3"/>
  <c r="Z84" i="3"/>
  <c r="Z83" i="3"/>
  <c r="Y84" i="3"/>
  <c r="Y83" i="3"/>
  <c r="X84" i="3"/>
  <c r="X83" i="3"/>
  <c r="V84" i="3"/>
  <c r="V83" i="3"/>
  <c r="U84" i="3"/>
  <c r="U83" i="3"/>
  <c r="T84" i="3"/>
  <c r="T83" i="3"/>
  <c r="S84" i="3"/>
  <c r="S83" i="3"/>
  <c r="T79" i="3"/>
  <c r="T78" i="3"/>
  <c r="S193" i="3"/>
  <c r="Q84" i="3"/>
  <c r="Q83" i="3"/>
  <c r="Q79" i="3"/>
  <c r="Q78" i="3"/>
  <c r="O92" i="3"/>
  <c r="O88" i="3"/>
  <c r="N92" i="3"/>
  <c r="N88" i="3"/>
  <c r="L92" i="3"/>
  <c r="L88" i="3"/>
  <c r="Q88" i="3"/>
  <c r="T37" i="3"/>
  <c r="S37" i="3"/>
  <c r="Q37" i="3"/>
  <c r="AF50" i="3"/>
  <c r="AE50" i="3"/>
  <c r="AD50" i="3"/>
  <c r="AC50" i="3"/>
  <c r="AF62" i="3"/>
  <c r="AE62" i="3"/>
  <c r="AD62" i="3"/>
  <c r="AC62" i="3"/>
  <c r="AF66" i="3"/>
  <c r="AE66" i="3"/>
  <c r="AD66" i="3"/>
  <c r="AC66" i="3"/>
  <c r="AA50" i="3"/>
  <c r="Z50" i="3"/>
  <c r="Y50" i="3"/>
  <c r="X50" i="3"/>
  <c r="AA54" i="3"/>
  <c r="Z54" i="3"/>
  <c r="Y54" i="3"/>
  <c r="X54" i="3"/>
  <c r="P84" i="3"/>
  <c r="P83" i="3"/>
  <c r="P79" i="3"/>
  <c r="P78" i="3"/>
  <c r="V50" i="3"/>
  <c r="U50" i="3"/>
  <c r="T50" i="3"/>
  <c r="S50" i="3"/>
  <c r="Q50" i="3"/>
  <c r="P50" i="3"/>
  <c r="Q66" i="3"/>
  <c r="S66" i="3"/>
  <c r="T66" i="3"/>
  <c r="U66" i="3"/>
  <c r="V66" i="3"/>
  <c r="P66" i="3"/>
  <c r="S49" i="3"/>
  <c r="X49" i="3"/>
  <c r="AC49" i="3"/>
  <c r="T49" i="3"/>
  <c r="Y49" i="3"/>
  <c r="AD49" i="3"/>
  <c r="P49" i="3"/>
  <c r="U49" i="3"/>
  <c r="Z49" i="3"/>
  <c r="AE49" i="3"/>
  <c r="Q49" i="3"/>
  <c r="V49" i="3"/>
  <c r="AA49" i="3"/>
  <c r="AF49" i="3"/>
  <c r="AL49" i="3"/>
  <c r="AG49" i="3"/>
  <c r="AL50" i="3"/>
  <c r="AB49" i="3"/>
  <c r="AG50" i="3"/>
  <c r="W49" i="3"/>
  <c r="AB50" i="3"/>
  <c r="R49" i="3"/>
  <c r="W50" i="3"/>
  <c r="R50" i="3"/>
  <c r="M50" i="3"/>
  <c r="S62" i="3"/>
  <c r="O19" i="3"/>
  <c r="O169" i="3"/>
  <c r="O168" i="3"/>
  <c r="O167" i="3"/>
  <c r="O166" i="3"/>
  <c r="O165" i="3"/>
  <c r="O164" i="3"/>
  <c r="O156" i="3"/>
  <c r="O157" i="3"/>
  <c r="O158" i="3"/>
  <c r="O159" i="3"/>
  <c r="O160" i="3"/>
  <c r="O161" i="3"/>
  <c r="O162" i="3"/>
  <c r="O155" i="3"/>
  <c r="O153" i="3"/>
  <c r="O152" i="3"/>
  <c r="O136" i="3"/>
  <c r="O199" i="3"/>
  <c r="O203" i="3"/>
  <c r="O204" i="3"/>
  <c r="O206" i="3"/>
  <c r="O207" i="3"/>
  <c r="O86" i="3"/>
  <c r="P13" i="3"/>
  <c r="P16" i="3"/>
  <c r="P65" i="3"/>
  <c r="P14" i="3"/>
  <c r="P17" i="3"/>
  <c r="P18" i="3"/>
  <c r="P15" i="3"/>
  <c r="P19" i="3"/>
  <c r="P21" i="3"/>
  <c r="P20" i="3"/>
  <c r="P23" i="3"/>
  <c r="P92" i="3"/>
  <c r="P32" i="3"/>
  <c r="P36" i="3"/>
  <c r="P201" i="3"/>
  <c r="P202" i="3"/>
  <c r="P176" i="3"/>
  <c r="P200" i="3"/>
  <c r="P144" i="3"/>
  <c r="P146" i="3"/>
  <c r="P167" i="3"/>
  <c r="P169" i="3"/>
  <c r="P164" i="3"/>
  <c r="P165" i="3"/>
  <c r="P138" i="3"/>
  <c r="P205" i="3"/>
  <c r="P135" i="3"/>
  <c r="P133" i="3"/>
  <c r="P140" i="3"/>
  <c r="P152" i="3"/>
  <c r="P153" i="3"/>
  <c r="P193" i="3"/>
  <c r="P120" i="3"/>
  <c r="P130" i="3"/>
  <c r="P183" i="3"/>
  <c r="P166" i="3"/>
  <c r="P175" i="3"/>
  <c r="P184" i="3"/>
  <c r="P185" i="3"/>
  <c r="Q27" i="3"/>
  <c r="Q13" i="3"/>
  <c r="Q16" i="3"/>
  <c r="Q65" i="3"/>
  <c r="Q14" i="3"/>
  <c r="Q17" i="3"/>
  <c r="Q18" i="3"/>
  <c r="Q15" i="3"/>
  <c r="Q19" i="3"/>
  <c r="Q21" i="3"/>
  <c r="Q20" i="3"/>
  <c r="Q23" i="3"/>
  <c r="Q82" i="3"/>
  <c r="Q90" i="3"/>
  <c r="Q92" i="3"/>
  <c r="Q32" i="3"/>
  <c r="Q36" i="3"/>
  <c r="Q201" i="3"/>
  <c r="Q202" i="3"/>
  <c r="Q176" i="3"/>
  <c r="Q200" i="3"/>
  <c r="Q144" i="3"/>
  <c r="Q146" i="3"/>
  <c r="Q167" i="3"/>
  <c r="Q169" i="3"/>
  <c r="Q164" i="3"/>
  <c r="Q165" i="3"/>
  <c r="Q138" i="3"/>
  <c r="Q205" i="3"/>
  <c r="Q135" i="3"/>
  <c r="Q133" i="3"/>
  <c r="Q140" i="3"/>
  <c r="Q152" i="3"/>
  <c r="Q153" i="3"/>
  <c r="Q193" i="3"/>
  <c r="R193" i="3"/>
  <c r="R190" i="3"/>
  <c r="R191" i="3"/>
  <c r="R192" i="3"/>
  <c r="R195" i="3"/>
  <c r="R27" i="3"/>
  <c r="R16" i="3"/>
  <c r="R17" i="3"/>
  <c r="R18" i="3"/>
  <c r="R14" i="3"/>
  <c r="R13" i="3"/>
  <c r="R15" i="3"/>
  <c r="R19" i="3"/>
  <c r="R21" i="3"/>
  <c r="R20" i="3"/>
  <c r="R23" i="3"/>
  <c r="Q120" i="3"/>
  <c r="Q121" i="3"/>
  <c r="Q123" i="3"/>
  <c r="Q124" i="3"/>
  <c r="Q130" i="3"/>
  <c r="Q183" i="3"/>
  <c r="R183" i="3"/>
  <c r="P127" i="3"/>
  <c r="Q166" i="3"/>
  <c r="Q175" i="3"/>
  <c r="R175" i="3"/>
  <c r="Q184" i="3"/>
  <c r="R184" i="3"/>
  <c r="Q185" i="3"/>
  <c r="R185" i="3"/>
  <c r="R176" i="3"/>
  <c r="R178" i="3"/>
  <c r="R208" i="3"/>
  <c r="S27" i="3"/>
  <c r="S61" i="3"/>
  <c r="S13" i="3"/>
  <c r="S16" i="3"/>
  <c r="S65" i="3"/>
  <c r="S14" i="3"/>
  <c r="S17" i="3"/>
  <c r="S18" i="3"/>
  <c r="S15" i="3"/>
  <c r="S19" i="3"/>
  <c r="S21" i="3"/>
  <c r="S20" i="3"/>
  <c r="S23" i="3"/>
  <c r="S82" i="3"/>
  <c r="S90" i="3"/>
  <c r="S92" i="3"/>
  <c r="S88" i="3"/>
  <c r="S32" i="3"/>
  <c r="S36" i="3"/>
  <c r="S201" i="3"/>
  <c r="S202" i="3"/>
  <c r="S176" i="3"/>
  <c r="S200" i="3"/>
  <c r="S144" i="3"/>
  <c r="R146" i="3"/>
  <c r="S146" i="3"/>
  <c r="S167" i="3"/>
  <c r="S169" i="3"/>
  <c r="S164" i="3"/>
  <c r="S165" i="3"/>
  <c r="S138" i="3"/>
  <c r="R138" i="3"/>
  <c r="S205" i="3"/>
  <c r="S135" i="3"/>
  <c r="S133" i="3"/>
  <c r="S140" i="3"/>
  <c r="S152" i="3"/>
  <c r="S153" i="3"/>
  <c r="S124" i="3"/>
  <c r="S130" i="3"/>
  <c r="R130" i="3"/>
  <c r="Q127" i="3"/>
  <c r="S166" i="3"/>
  <c r="S175" i="3"/>
  <c r="R140" i="3"/>
  <c r="R135" i="3"/>
  <c r="S185" i="3"/>
  <c r="S121" i="3"/>
  <c r="S123" i="3"/>
  <c r="R133" i="3"/>
  <c r="S184" i="3"/>
  <c r="S120" i="3"/>
  <c r="T27" i="3"/>
  <c r="T62" i="3"/>
  <c r="T61" i="3"/>
  <c r="T13" i="3"/>
  <c r="T16" i="3"/>
  <c r="T65" i="3"/>
  <c r="T14" i="3"/>
  <c r="T17" i="3"/>
  <c r="T18" i="3"/>
  <c r="T15" i="3"/>
  <c r="T19" i="3"/>
  <c r="T21" i="3"/>
  <c r="T20" i="3"/>
  <c r="T23" i="3"/>
  <c r="T82" i="3"/>
  <c r="T90" i="3"/>
  <c r="T92" i="3"/>
  <c r="T88" i="3"/>
  <c r="T32" i="3"/>
  <c r="T36" i="3"/>
  <c r="T201" i="3"/>
  <c r="T202" i="3"/>
  <c r="T176" i="3"/>
  <c r="T200" i="3"/>
  <c r="T144" i="3"/>
  <c r="T146" i="3"/>
  <c r="T167" i="3"/>
  <c r="T169" i="3"/>
  <c r="T164" i="3"/>
  <c r="T165" i="3"/>
  <c r="T138" i="3"/>
  <c r="T205" i="3"/>
  <c r="T160" i="3"/>
  <c r="T133" i="3"/>
  <c r="T135" i="3"/>
  <c r="T140" i="3"/>
  <c r="T152" i="3"/>
  <c r="T153" i="3"/>
  <c r="T193" i="3"/>
  <c r="T124" i="3"/>
  <c r="T130" i="3"/>
  <c r="S127" i="3"/>
  <c r="T166" i="3"/>
  <c r="T175" i="3"/>
  <c r="T158" i="3"/>
  <c r="T120" i="3"/>
  <c r="T156" i="3"/>
  <c r="T121" i="3"/>
  <c r="T155" i="3"/>
  <c r="T123" i="3"/>
  <c r="T182" i="3"/>
  <c r="T184" i="3"/>
  <c r="T185" i="3"/>
  <c r="U27" i="3"/>
  <c r="U62" i="3"/>
  <c r="U61" i="3"/>
  <c r="U13" i="3"/>
  <c r="U65" i="3"/>
  <c r="U14" i="3"/>
  <c r="U15" i="3"/>
  <c r="U21" i="3"/>
  <c r="U20" i="3"/>
  <c r="U82" i="3"/>
  <c r="U90" i="3"/>
  <c r="U92" i="3"/>
  <c r="U88" i="3"/>
  <c r="U32" i="3"/>
  <c r="U36" i="3"/>
  <c r="U201" i="3"/>
  <c r="U202" i="3"/>
  <c r="U176" i="3"/>
  <c r="U200" i="3"/>
  <c r="U144" i="3"/>
  <c r="U146" i="3"/>
  <c r="U167" i="3"/>
  <c r="U169" i="3"/>
  <c r="U164" i="3"/>
  <c r="U165" i="3"/>
  <c r="U138" i="3"/>
  <c r="U205" i="3"/>
  <c r="U135" i="3"/>
  <c r="U140" i="3"/>
  <c r="U152" i="3"/>
  <c r="U153" i="3"/>
  <c r="U193" i="3"/>
  <c r="U124" i="3"/>
  <c r="U130" i="3"/>
  <c r="T127" i="3"/>
  <c r="U166" i="3"/>
  <c r="U175" i="3"/>
  <c r="U120" i="3"/>
  <c r="U185" i="3"/>
  <c r="V27" i="3"/>
  <c r="V62" i="3"/>
  <c r="V61" i="3"/>
  <c r="V13" i="3"/>
  <c r="V65" i="3"/>
  <c r="V14" i="3"/>
  <c r="V15" i="3"/>
  <c r="V21" i="3"/>
  <c r="V20" i="3"/>
  <c r="V82" i="3"/>
  <c r="V90" i="3"/>
  <c r="V92" i="3"/>
  <c r="V88" i="3"/>
  <c r="V32" i="3"/>
  <c r="V36" i="3"/>
  <c r="V201" i="3"/>
  <c r="V202" i="3"/>
  <c r="V176" i="3"/>
  <c r="V200" i="3"/>
  <c r="V144" i="3"/>
  <c r="V146" i="3"/>
  <c r="V167" i="3"/>
  <c r="V169" i="3"/>
  <c r="V164" i="3"/>
  <c r="V165" i="3"/>
  <c r="V138" i="3"/>
  <c r="V205" i="3"/>
  <c r="V135" i="3"/>
  <c r="V140" i="3"/>
  <c r="V152" i="3"/>
  <c r="V153" i="3"/>
  <c r="V193" i="3"/>
  <c r="W193" i="3"/>
  <c r="W190" i="3"/>
  <c r="W191" i="3"/>
  <c r="W192" i="3"/>
  <c r="W195" i="3"/>
  <c r="W27" i="3"/>
  <c r="W14" i="3"/>
  <c r="W13" i="3"/>
  <c r="W15" i="3"/>
  <c r="W21" i="3"/>
  <c r="W20" i="3"/>
  <c r="V124" i="3"/>
  <c r="V130" i="3"/>
  <c r="U127" i="3"/>
  <c r="V166" i="3"/>
  <c r="V175" i="3"/>
  <c r="W175" i="3"/>
  <c r="V120" i="3"/>
  <c r="V185" i="3"/>
  <c r="W185" i="3"/>
  <c r="W176" i="3"/>
  <c r="X27" i="3"/>
  <c r="X62" i="3"/>
  <c r="X61" i="3"/>
  <c r="X53" i="3"/>
  <c r="X13" i="3"/>
  <c r="X16" i="3"/>
  <c r="X66" i="3"/>
  <c r="X65" i="3"/>
  <c r="X14" i="3"/>
  <c r="X17" i="3"/>
  <c r="X18" i="3"/>
  <c r="X15" i="3"/>
  <c r="X19" i="3"/>
  <c r="X21" i="3"/>
  <c r="X20" i="3"/>
  <c r="X23" i="3"/>
  <c r="X82" i="3"/>
  <c r="X90" i="3"/>
  <c r="X92" i="3"/>
  <c r="X88" i="3"/>
  <c r="X32" i="3"/>
  <c r="X36" i="3"/>
  <c r="X201" i="3"/>
  <c r="X202" i="3"/>
  <c r="X176" i="3"/>
  <c r="X200" i="3"/>
  <c r="X144" i="3"/>
  <c r="W146" i="3"/>
  <c r="X146" i="3"/>
  <c r="X167" i="3"/>
  <c r="X169" i="3"/>
  <c r="X164" i="3"/>
  <c r="X165" i="3"/>
  <c r="X138" i="3"/>
  <c r="W138" i="3"/>
  <c r="X205" i="3"/>
  <c r="X135" i="3"/>
  <c r="X133" i="3"/>
  <c r="X140" i="3"/>
  <c r="X152" i="3"/>
  <c r="X153" i="3"/>
  <c r="X193" i="3"/>
  <c r="X124" i="3"/>
  <c r="X130" i="3"/>
  <c r="W130" i="3"/>
  <c r="V127" i="3"/>
  <c r="X166" i="3"/>
  <c r="X175" i="3"/>
  <c r="W140" i="3"/>
  <c r="W135" i="3"/>
  <c r="X185" i="3"/>
  <c r="X121" i="3"/>
  <c r="X123" i="3"/>
  <c r="X120" i="3"/>
  <c r="Y27" i="3"/>
  <c r="Y62" i="3"/>
  <c r="Y61" i="3"/>
  <c r="Y53" i="3"/>
  <c r="Y13" i="3"/>
  <c r="Y66" i="3"/>
  <c r="Y65" i="3"/>
  <c r="Y14" i="3"/>
  <c r="Y15" i="3"/>
  <c r="Y21" i="3"/>
  <c r="Y20" i="3"/>
  <c r="Y82" i="3"/>
  <c r="Y90" i="3"/>
  <c r="Y92" i="3"/>
  <c r="Y88" i="3"/>
  <c r="Y32" i="3"/>
  <c r="Y36" i="3"/>
  <c r="Y201" i="3"/>
  <c r="Y202" i="3"/>
  <c r="Y176" i="3"/>
  <c r="Y200" i="3"/>
  <c r="Y144" i="3"/>
  <c r="Y146" i="3"/>
  <c r="Y167" i="3"/>
  <c r="Y169" i="3"/>
  <c r="Y164" i="3"/>
  <c r="Y165" i="3"/>
  <c r="Y138" i="3"/>
  <c r="Y205" i="3"/>
  <c r="Y160" i="3"/>
  <c r="Y135" i="3"/>
  <c r="Y140" i="3"/>
  <c r="Y152" i="3"/>
  <c r="Y153" i="3"/>
  <c r="Y193" i="3"/>
  <c r="Y124" i="3"/>
  <c r="Y130" i="3"/>
  <c r="X127" i="3"/>
  <c r="Y166" i="3"/>
  <c r="Y175" i="3"/>
  <c r="Y158" i="3"/>
  <c r="Y120" i="3"/>
  <c r="Y156" i="3"/>
  <c r="Y155" i="3"/>
  <c r="Y185" i="3"/>
  <c r="Z27" i="3"/>
  <c r="Z62" i="3"/>
  <c r="Z61" i="3"/>
  <c r="Z53" i="3"/>
  <c r="Z13" i="3"/>
  <c r="Z66" i="3"/>
  <c r="Z65" i="3"/>
  <c r="Z14" i="3"/>
  <c r="Z15" i="3"/>
  <c r="Z21" i="3"/>
  <c r="Z20" i="3"/>
  <c r="Z82" i="3"/>
  <c r="Z90" i="3"/>
  <c r="Z92" i="3"/>
  <c r="Z88" i="3"/>
  <c r="Z32" i="3"/>
  <c r="Z36" i="3"/>
  <c r="Z201" i="3"/>
  <c r="Z202" i="3"/>
  <c r="Z176" i="3"/>
  <c r="Z200" i="3"/>
  <c r="Z144" i="3"/>
  <c r="Z146" i="3"/>
  <c r="Z167" i="3"/>
  <c r="Z169" i="3"/>
  <c r="Z164" i="3"/>
  <c r="Z165" i="3"/>
  <c r="Z138" i="3"/>
  <c r="Z205" i="3"/>
  <c r="Z135" i="3"/>
  <c r="Z140" i="3"/>
  <c r="Z152" i="3"/>
  <c r="Z153" i="3"/>
  <c r="Z193" i="3"/>
  <c r="Z124" i="3"/>
  <c r="Z130" i="3"/>
  <c r="Y127" i="3"/>
  <c r="Z166" i="3"/>
  <c r="Z175" i="3"/>
  <c r="Z120" i="3"/>
  <c r="Z185" i="3"/>
  <c r="AA27" i="3"/>
  <c r="AA62" i="3"/>
  <c r="AA61" i="3"/>
  <c r="AA53" i="3"/>
  <c r="AA13" i="3"/>
  <c r="AA66" i="3"/>
  <c r="AA65" i="3"/>
  <c r="AA14" i="3"/>
  <c r="AA15" i="3"/>
  <c r="AA21" i="3"/>
  <c r="AA20" i="3"/>
  <c r="AA82" i="3"/>
  <c r="AA90" i="3"/>
  <c r="AA92" i="3"/>
  <c r="AA88" i="3"/>
  <c r="AA32" i="3"/>
  <c r="AA36" i="3"/>
  <c r="AA201" i="3"/>
  <c r="AA202" i="3"/>
  <c r="AA176" i="3"/>
  <c r="AA200" i="3"/>
  <c r="AA144" i="3"/>
  <c r="AA146" i="3"/>
  <c r="AA167" i="3"/>
  <c r="AA169" i="3"/>
  <c r="AA164" i="3"/>
  <c r="AA165" i="3"/>
  <c r="AA138" i="3"/>
  <c r="AA205" i="3"/>
  <c r="AA135" i="3"/>
  <c r="AA140" i="3"/>
  <c r="AA152" i="3"/>
  <c r="AA153" i="3"/>
  <c r="AA193" i="3"/>
  <c r="AB193" i="3"/>
  <c r="AB190" i="3"/>
  <c r="AB191" i="3"/>
  <c r="AB192" i="3"/>
  <c r="AB195" i="3"/>
  <c r="AB27" i="3"/>
  <c r="AB14" i="3"/>
  <c r="AB13" i="3"/>
  <c r="AB15" i="3"/>
  <c r="AB21" i="3"/>
  <c r="AB20" i="3"/>
  <c r="AA124" i="3"/>
  <c r="AA130" i="3"/>
  <c r="Z127" i="3"/>
  <c r="AA166" i="3"/>
  <c r="AA175" i="3"/>
  <c r="AB175" i="3"/>
  <c r="AA120" i="3"/>
  <c r="AA185" i="3"/>
  <c r="AB185" i="3"/>
  <c r="AB176" i="3"/>
  <c r="AC27" i="3"/>
  <c r="AC61" i="3"/>
  <c r="AC54" i="3"/>
  <c r="AC53" i="3"/>
  <c r="AC13" i="3"/>
  <c r="AC16" i="3"/>
  <c r="AC65" i="3"/>
  <c r="AC14" i="3"/>
  <c r="AC17" i="3"/>
  <c r="AC18" i="3"/>
  <c r="AC15" i="3"/>
  <c r="AC19" i="3"/>
  <c r="AC21" i="3"/>
  <c r="AC20" i="3"/>
  <c r="AC23" i="3"/>
  <c r="AC82" i="3"/>
  <c r="AC90" i="3"/>
  <c r="AC92" i="3"/>
  <c r="AC88" i="3"/>
  <c r="AC32" i="3"/>
  <c r="AC36" i="3"/>
  <c r="AC201" i="3"/>
  <c r="AC202" i="3"/>
  <c r="AC176" i="3"/>
  <c r="AC200" i="3"/>
  <c r="AC144" i="3"/>
  <c r="AB146" i="3"/>
  <c r="AC146" i="3"/>
  <c r="AC167" i="3"/>
  <c r="AC169" i="3"/>
  <c r="AC164" i="3"/>
  <c r="AC165" i="3"/>
  <c r="AC138" i="3"/>
  <c r="AB138" i="3"/>
  <c r="AC205" i="3"/>
  <c r="AC135" i="3"/>
  <c r="AC133" i="3"/>
  <c r="AC140" i="3"/>
  <c r="AC152" i="3"/>
  <c r="AC153" i="3"/>
  <c r="AC193" i="3"/>
  <c r="AC124" i="3"/>
  <c r="AC130" i="3"/>
  <c r="AB130" i="3"/>
  <c r="AA127" i="3"/>
  <c r="AC166" i="3"/>
  <c r="AC175" i="3"/>
  <c r="AB140" i="3"/>
  <c r="AB135" i="3"/>
  <c r="AC185" i="3"/>
  <c r="AC121" i="3"/>
  <c r="AC123" i="3"/>
  <c r="AC120" i="3"/>
  <c r="AD27" i="3"/>
  <c r="AD61" i="3"/>
  <c r="AD54" i="3"/>
  <c r="AD53" i="3"/>
  <c r="AD13" i="3"/>
  <c r="AD65" i="3"/>
  <c r="AD14" i="3"/>
  <c r="AD15" i="3"/>
  <c r="AD21" i="3"/>
  <c r="AD20" i="3"/>
  <c r="AD82" i="3"/>
  <c r="AD90" i="3"/>
  <c r="AD92" i="3"/>
  <c r="AD88" i="3"/>
  <c r="AD32" i="3"/>
  <c r="AD36" i="3"/>
  <c r="AD201" i="3"/>
  <c r="AD202" i="3"/>
  <c r="AD176" i="3"/>
  <c r="AD200" i="3"/>
  <c r="AD144" i="3"/>
  <c r="AD146" i="3"/>
  <c r="AD167" i="3"/>
  <c r="AD169" i="3"/>
  <c r="AD164" i="3"/>
  <c r="AD165" i="3"/>
  <c r="AD138" i="3"/>
  <c r="AD205" i="3"/>
  <c r="AD160" i="3"/>
  <c r="AD135" i="3"/>
  <c r="AD140" i="3"/>
  <c r="AD152" i="3"/>
  <c r="AD153" i="3"/>
  <c r="AD193" i="3"/>
  <c r="AD124" i="3"/>
  <c r="AD130" i="3"/>
  <c r="AC127" i="3"/>
  <c r="AD166" i="3"/>
  <c r="AD175" i="3"/>
  <c r="AD158" i="3"/>
  <c r="AD120" i="3"/>
  <c r="AD156" i="3"/>
  <c r="AD155" i="3"/>
  <c r="AD185" i="3"/>
  <c r="AE27" i="3"/>
  <c r="AE61" i="3"/>
  <c r="AE54" i="3"/>
  <c r="AE53" i="3"/>
  <c r="AE13" i="3"/>
  <c r="AE65" i="3"/>
  <c r="AE14" i="3"/>
  <c r="AE15" i="3"/>
  <c r="AE21" i="3"/>
  <c r="AE20" i="3"/>
  <c r="AE82" i="3"/>
  <c r="AE90" i="3"/>
  <c r="AE92" i="3"/>
  <c r="AE88" i="3"/>
  <c r="AE32" i="3"/>
  <c r="AE36" i="3"/>
  <c r="AE201" i="3"/>
  <c r="AE202" i="3"/>
  <c r="AE176" i="3"/>
  <c r="AE200" i="3"/>
  <c r="AE144" i="3"/>
  <c r="AE146" i="3"/>
  <c r="AE167" i="3"/>
  <c r="AE169" i="3"/>
  <c r="AE164" i="3"/>
  <c r="AE165" i="3"/>
  <c r="AE138" i="3"/>
  <c r="AE205" i="3"/>
  <c r="AE135" i="3"/>
  <c r="AE140" i="3"/>
  <c r="AE152" i="3"/>
  <c r="AE153" i="3"/>
  <c r="AE193" i="3"/>
  <c r="AE124" i="3"/>
  <c r="AE130" i="3"/>
  <c r="AD127" i="3"/>
  <c r="AE166" i="3"/>
  <c r="AE175" i="3"/>
  <c r="AE120" i="3"/>
  <c r="AE185" i="3"/>
  <c r="AF27" i="3"/>
  <c r="AF61" i="3"/>
  <c r="AF54" i="3"/>
  <c r="AF53" i="3"/>
  <c r="AF13" i="3"/>
  <c r="AF65" i="3"/>
  <c r="AF14" i="3"/>
  <c r="AF15" i="3"/>
  <c r="AF21" i="3"/>
  <c r="AF20" i="3"/>
  <c r="AF82" i="3"/>
  <c r="AF90" i="3"/>
  <c r="AF92" i="3"/>
  <c r="AF88" i="3"/>
  <c r="AF32" i="3"/>
  <c r="AF36" i="3"/>
  <c r="AF201" i="3"/>
  <c r="AF202" i="3"/>
  <c r="AF176" i="3"/>
  <c r="AF200" i="3"/>
  <c r="AF144" i="3"/>
  <c r="AF146" i="3"/>
  <c r="AF167" i="3"/>
  <c r="AF169" i="3"/>
  <c r="AF164" i="3"/>
  <c r="AF165" i="3"/>
  <c r="AF138" i="3"/>
  <c r="AF205" i="3"/>
  <c r="AF135" i="3"/>
  <c r="AF140" i="3"/>
  <c r="AF152" i="3"/>
  <c r="AF153" i="3"/>
  <c r="AF193" i="3"/>
  <c r="AG193" i="3"/>
  <c r="AG190" i="3"/>
  <c r="AG191" i="3"/>
  <c r="AG192" i="3"/>
  <c r="AG195" i="3"/>
  <c r="AG27" i="3"/>
  <c r="AG14" i="3"/>
  <c r="AG13" i="3"/>
  <c r="AG15" i="3"/>
  <c r="AG21" i="3"/>
  <c r="AG20" i="3"/>
  <c r="AF124" i="3"/>
  <c r="AF130" i="3"/>
  <c r="AE127" i="3"/>
  <c r="AF166" i="3"/>
  <c r="AF175" i="3"/>
  <c r="AG175" i="3"/>
  <c r="AF120" i="3"/>
  <c r="AF185" i="3"/>
  <c r="AG185" i="3"/>
  <c r="AG176" i="3"/>
  <c r="AH27" i="3"/>
  <c r="AH62" i="3"/>
  <c r="AH61" i="3"/>
  <c r="AH83" i="3"/>
  <c r="AH84" i="3"/>
  <c r="AH82" i="3"/>
  <c r="AH90" i="3"/>
  <c r="AH92" i="3"/>
  <c r="AH88" i="3"/>
  <c r="AH32" i="3"/>
  <c r="AH36" i="3"/>
  <c r="AH201" i="3"/>
  <c r="AH202" i="3"/>
  <c r="AG146" i="3"/>
  <c r="AH146" i="3"/>
  <c r="AH167" i="3"/>
  <c r="AH169" i="3"/>
  <c r="AH164" i="3"/>
  <c r="AH165" i="3"/>
  <c r="AG138" i="3"/>
  <c r="AH140" i="3"/>
  <c r="AH152" i="3"/>
  <c r="AH153" i="3"/>
  <c r="AH193" i="3"/>
  <c r="AH124" i="3"/>
  <c r="AH130" i="3"/>
  <c r="AG130" i="3"/>
  <c r="AF127" i="3"/>
  <c r="AH166" i="3"/>
  <c r="AH175" i="3"/>
  <c r="AG140" i="3"/>
  <c r="AG135" i="3"/>
  <c r="AI27" i="3"/>
  <c r="AI62" i="3"/>
  <c r="AI61" i="3"/>
  <c r="AI83" i="3"/>
  <c r="AI84" i="3"/>
  <c r="AI82" i="3"/>
  <c r="AI90" i="3"/>
  <c r="AI92" i="3"/>
  <c r="AI88" i="3"/>
  <c r="AI32" i="3"/>
  <c r="AI36" i="3"/>
  <c r="AI201" i="3"/>
  <c r="AI202" i="3"/>
  <c r="AI146" i="3"/>
  <c r="AI167" i="3"/>
  <c r="AI169" i="3"/>
  <c r="AI164" i="3"/>
  <c r="AI165" i="3"/>
  <c r="AI160" i="3"/>
  <c r="AI140" i="3"/>
  <c r="AI152" i="3"/>
  <c r="AI153" i="3"/>
  <c r="AI193" i="3"/>
  <c r="AI124" i="3"/>
  <c r="AI130" i="3"/>
  <c r="AH127" i="3"/>
  <c r="AI166" i="3"/>
  <c r="AI175" i="3"/>
  <c r="AI158" i="3"/>
  <c r="AI156" i="3"/>
  <c r="AI155" i="3"/>
  <c r="AJ27" i="3"/>
  <c r="AJ62" i="3"/>
  <c r="AJ61" i="3"/>
  <c r="AJ83" i="3"/>
  <c r="AJ84" i="3"/>
  <c r="AJ82" i="3"/>
  <c r="AJ90" i="3"/>
  <c r="AJ92" i="3"/>
  <c r="AJ88" i="3"/>
  <c r="AJ32" i="3"/>
  <c r="AJ36" i="3"/>
  <c r="AJ201" i="3"/>
  <c r="AJ202" i="3"/>
  <c r="AJ146" i="3"/>
  <c r="AJ167" i="3"/>
  <c r="AJ169" i="3"/>
  <c r="AJ164" i="3"/>
  <c r="AJ165" i="3"/>
  <c r="AJ140" i="3"/>
  <c r="AJ152" i="3"/>
  <c r="AJ153" i="3"/>
  <c r="AJ193" i="3"/>
  <c r="AJ124" i="3"/>
  <c r="AJ130" i="3"/>
  <c r="AI127" i="3"/>
  <c r="AJ166" i="3"/>
  <c r="AJ175" i="3"/>
  <c r="AK208" i="3"/>
  <c r="AK27" i="3"/>
  <c r="AK62" i="3"/>
  <c r="AK61" i="3"/>
  <c r="AK83" i="3"/>
  <c r="AK84" i="3"/>
  <c r="AK82" i="3"/>
  <c r="AK90" i="3"/>
  <c r="AK92" i="3"/>
  <c r="AK88" i="3"/>
  <c r="AK32" i="3"/>
  <c r="AK36" i="3"/>
  <c r="AK201" i="3"/>
  <c r="AK202" i="3"/>
  <c r="AK145" i="3"/>
  <c r="AK200" i="3"/>
  <c r="AK144" i="3"/>
  <c r="AK146" i="3"/>
  <c r="AK147" i="3"/>
  <c r="AK167" i="3"/>
  <c r="AK169" i="3"/>
  <c r="AK139" i="3"/>
  <c r="AK203" i="3"/>
  <c r="AK136" i="3"/>
  <c r="AK204" i="3"/>
  <c r="AK164" i="3"/>
  <c r="AK165" i="3"/>
  <c r="AK138" i="3"/>
  <c r="AK205" i="3"/>
  <c r="AK206" i="3"/>
  <c r="AK137" i="3"/>
  <c r="AK140" i="3"/>
  <c r="AK141" i="3"/>
  <c r="AK148" i="3"/>
  <c r="AK152" i="3"/>
  <c r="AK153" i="3"/>
  <c r="AK119" i="3"/>
  <c r="AK126" i="3"/>
  <c r="AK189" i="3"/>
  <c r="AK193" i="3"/>
  <c r="AK196" i="3"/>
  <c r="AK124" i="3"/>
  <c r="AK130" i="3"/>
  <c r="AJ127" i="3"/>
  <c r="AK166" i="3"/>
  <c r="AK175" i="3"/>
  <c r="AK207" i="3"/>
  <c r="AK209" i="3"/>
  <c r="AK211" i="3"/>
  <c r="AK118" i="3"/>
  <c r="AH210" i="3"/>
  <c r="AI210" i="3"/>
  <c r="AJ210" i="3"/>
  <c r="AK210" i="3"/>
  <c r="AL210" i="3"/>
  <c r="AL208" i="3"/>
  <c r="AL206" i="3"/>
  <c r="AL189" i="3"/>
  <c r="AL193" i="3"/>
  <c r="AL190" i="3"/>
  <c r="AL191" i="3"/>
  <c r="AL192" i="3"/>
  <c r="AL195" i="3"/>
  <c r="AL196" i="3"/>
  <c r="AL27" i="3"/>
  <c r="AL175" i="3"/>
  <c r="AL207" i="3"/>
  <c r="AL209" i="3"/>
  <c r="AL211" i="3"/>
  <c r="AC210" i="3"/>
  <c r="AD210" i="3"/>
  <c r="AE210" i="3"/>
  <c r="AF210" i="3"/>
  <c r="AG210" i="3"/>
  <c r="AG211" i="3"/>
  <c r="X210" i="3"/>
  <c r="Y210" i="3"/>
  <c r="Z210" i="3"/>
  <c r="AA210" i="3"/>
  <c r="AB210" i="3"/>
  <c r="AB211" i="3"/>
  <c r="R211" i="3"/>
  <c r="W211" i="3"/>
  <c r="W210" i="3"/>
  <c r="V210" i="3"/>
  <c r="U210" i="3"/>
  <c r="T210" i="3"/>
  <c r="S210" i="3"/>
  <c r="R210" i="3"/>
  <c r="Q210" i="3"/>
  <c r="P210" i="3"/>
  <c r="O210" i="3"/>
  <c r="N118" i="3"/>
  <c r="O230" i="3"/>
  <c r="O228" i="3"/>
  <c r="O225" i="3"/>
  <c r="O224" i="3"/>
  <c r="O205" i="3"/>
  <c r="O202" i="3"/>
  <c r="O201" i="3"/>
  <c r="O200" i="3"/>
  <c r="O198" i="3"/>
  <c r="O195" i="3"/>
  <c r="O192" i="3"/>
  <c r="O193" i="3"/>
  <c r="O191" i="3"/>
  <c r="O190" i="3"/>
  <c r="O189" i="3"/>
  <c r="O186" i="3"/>
  <c r="O185" i="3"/>
  <c r="O184" i="3"/>
  <c r="O183" i="3"/>
  <c r="O182" i="3"/>
  <c r="O181" i="3"/>
  <c r="O180" i="3"/>
  <c r="O178" i="3"/>
  <c r="O177" i="3"/>
  <c r="O176" i="3"/>
  <c r="O175" i="3"/>
  <c r="O194" i="3"/>
  <c r="O89" i="3"/>
  <c r="O91" i="3"/>
  <c r="O112" i="3"/>
  <c r="J112" i="3"/>
  <c r="I112" i="3"/>
  <c r="O90" i="3"/>
  <c r="N90" i="3"/>
  <c r="O147" i="3"/>
  <c r="O137" i="3"/>
  <c r="O141" i="3"/>
  <c r="O148" i="3"/>
  <c r="O196" i="3"/>
  <c r="O187" i="3"/>
  <c r="O84" i="3"/>
  <c r="O83" i="3"/>
  <c r="O82" i="3"/>
  <c r="O79" i="3"/>
  <c r="O78" i="3"/>
  <c r="O66" i="3"/>
  <c r="O62" i="3"/>
  <c r="O58" i="3"/>
  <c r="O54" i="3"/>
  <c r="O50" i="3"/>
  <c r="O37" i="3"/>
  <c r="J200" i="3"/>
  <c r="J176" i="3"/>
  <c r="J225" i="3"/>
  <c r="J51" i="3"/>
  <c r="J49" i="3"/>
  <c r="N50" i="3"/>
  <c r="L51" i="3"/>
  <c r="L49" i="3"/>
  <c r="G51" i="3"/>
  <c r="G49" i="3"/>
  <c r="L50" i="3"/>
  <c r="K51" i="3"/>
  <c r="K49" i="3"/>
  <c r="F51" i="3"/>
  <c r="F49" i="3"/>
  <c r="K50" i="3"/>
  <c r="E51" i="3"/>
  <c r="E49" i="3"/>
  <c r="J50" i="3"/>
  <c r="J55" i="3"/>
  <c r="J53" i="3"/>
  <c r="N54" i="3"/>
  <c r="L55" i="3"/>
  <c r="L53" i="3"/>
  <c r="G55" i="3"/>
  <c r="G53" i="3"/>
  <c r="L54" i="3"/>
  <c r="K55" i="3"/>
  <c r="K53" i="3"/>
  <c r="F55" i="3"/>
  <c r="F53" i="3"/>
  <c r="K54" i="3"/>
  <c r="E55" i="3"/>
  <c r="E53" i="3"/>
  <c r="J54" i="3"/>
  <c r="J59" i="3"/>
  <c r="J57" i="3"/>
  <c r="N58" i="3"/>
  <c r="L59" i="3"/>
  <c r="L57" i="3"/>
  <c r="G59" i="3"/>
  <c r="G57" i="3"/>
  <c r="L58" i="3"/>
  <c r="K59" i="3"/>
  <c r="K57" i="3"/>
  <c r="F59" i="3"/>
  <c r="F57" i="3"/>
  <c r="K58" i="3"/>
  <c r="E59" i="3"/>
  <c r="E57" i="3"/>
  <c r="J58" i="3"/>
  <c r="J63" i="3"/>
  <c r="J61" i="3"/>
  <c r="N62" i="3"/>
  <c r="L63" i="3"/>
  <c r="L61" i="3"/>
  <c r="G63" i="3"/>
  <c r="G61" i="3"/>
  <c r="L62" i="3"/>
  <c r="K63" i="3"/>
  <c r="K61" i="3"/>
  <c r="F63" i="3"/>
  <c r="F61" i="3"/>
  <c r="K62" i="3"/>
  <c r="E63" i="3"/>
  <c r="E61" i="3"/>
  <c r="J62" i="3"/>
  <c r="I59" i="3"/>
  <c r="I55" i="3"/>
  <c r="I51" i="3"/>
  <c r="I63" i="3"/>
  <c r="I65" i="3"/>
  <c r="N66" i="3"/>
  <c r="L66" i="3"/>
  <c r="K66" i="3"/>
  <c r="J66" i="3"/>
  <c r="O15" i="3"/>
  <c r="P54" i="3"/>
  <c r="Q54" i="3"/>
  <c r="S54" i="3"/>
  <c r="S53" i="3"/>
  <c r="T54" i="3"/>
  <c r="U54" i="3"/>
  <c r="V54" i="3"/>
  <c r="P58" i="3"/>
  <c r="Q58" i="3"/>
  <c r="S58" i="3"/>
  <c r="S57" i="3"/>
  <c r="T58" i="3"/>
  <c r="U58" i="3"/>
  <c r="V58" i="3"/>
  <c r="X58" i="3"/>
  <c r="X57" i="3"/>
  <c r="Y58" i="3"/>
  <c r="Z58" i="3"/>
  <c r="AA58" i="3"/>
  <c r="AC58" i="3"/>
  <c r="AC57" i="3"/>
  <c r="AD58" i="3"/>
  <c r="AE58" i="3"/>
  <c r="AF58" i="3"/>
  <c r="P62" i="3"/>
  <c r="Q62" i="3"/>
  <c r="T53" i="3"/>
  <c r="T57" i="3"/>
  <c r="Y57" i="3"/>
  <c r="AD57" i="3"/>
  <c r="P53" i="3"/>
  <c r="U53" i="3"/>
  <c r="P57" i="3"/>
  <c r="U57" i="3"/>
  <c r="Z57" i="3"/>
  <c r="AE57" i="3"/>
  <c r="P61" i="3"/>
  <c r="Q53" i="3"/>
  <c r="V53" i="3"/>
  <c r="Q57" i="3"/>
  <c r="V57" i="3"/>
  <c r="AA57" i="3"/>
  <c r="AF57" i="3"/>
  <c r="Q61" i="3"/>
  <c r="M15" i="3"/>
  <c r="G15" i="3"/>
  <c r="H15" i="3"/>
  <c r="M226" i="3"/>
  <c r="N78" i="3"/>
  <c r="S78" i="3"/>
  <c r="X78" i="3"/>
  <c r="L78" i="3"/>
  <c r="N79" i="3"/>
  <c r="S79" i="3"/>
  <c r="X79" i="3"/>
  <c r="L79" i="3"/>
  <c r="N83" i="3"/>
  <c r="I83" i="3"/>
  <c r="E83" i="3"/>
  <c r="J83" i="3"/>
  <c r="F83" i="3"/>
  <c r="K83" i="3"/>
  <c r="G21" i="3"/>
  <c r="G83" i="3"/>
  <c r="L83" i="3"/>
  <c r="N84" i="3"/>
  <c r="I84" i="3"/>
  <c r="E84" i="3"/>
  <c r="J84" i="3"/>
  <c r="F84" i="3"/>
  <c r="K84" i="3"/>
  <c r="G20" i="3"/>
  <c r="G84" i="3"/>
  <c r="L84" i="3"/>
  <c r="H208" i="3"/>
  <c r="D206" i="3"/>
  <c r="E198" i="3"/>
  <c r="E199" i="3"/>
  <c r="E200" i="3"/>
  <c r="E201" i="3"/>
  <c r="E202" i="3"/>
  <c r="E203" i="3"/>
  <c r="E204" i="3"/>
  <c r="E205" i="3"/>
  <c r="E206" i="3"/>
  <c r="F198" i="3"/>
  <c r="F199" i="3"/>
  <c r="F200" i="3"/>
  <c r="F201" i="3"/>
  <c r="F202" i="3"/>
  <c r="F203" i="3"/>
  <c r="F204" i="3"/>
  <c r="F205" i="3"/>
  <c r="F206" i="3"/>
  <c r="G198" i="3"/>
  <c r="G199" i="3"/>
  <c r="G200" i="3"/>
  <c r="G201" i="3"/>
  <c r="G202" i="3"/>
  <c r="G203" i="3"/>
  <c r="G204" i="3"/>
  <c r="G205" i="3"/>
  <c r="G206" i="3"/>
  <c r="H206" i="3"/>
  <c r="E189" i="3"/>
  <c r="F189" i="3"/>
  <c r="G189" i="3"/>
  <c r="E190" i="3"/>
  <c r="F190" i="3"/>
  <c r="G190" i="3"/>
  <c r="E191" i="3"/>
  <c r="F191" i="3"/>
  <c r="G191" i="3"/>
  <c r="E192" i="3"/>
  <c r="F192" i="3"/>
  <c r="G192" i="3"/>
  <c r="E193" i="3"/>
  <c r="F193" i="3"/>
  <c r="G193" i="3"/>
  <c r="E194" i="3"/>
  <c r="F194" i="3"/>
  <c r="G194" i="3"/>
  <c r="E195" i="3"/>
  <c r="F195" i="3"/>
  <c r="G195" i="3"/>
  <c r="G18" i="3"/>
  <c r="H18" i="3"/>
  <c r="H19" i="3"/>
  <c r="H21" i="3"/>
  <c r="H20" i="3"/>
  <c r="H23" i="3"/>
  <c r="G25" i="3"/>
  <c r="H25" i="3"/>
  <c r="G26" i="3"/>
  <c r="H26" i="3"/>
  <c r="G27" i="3"/>
  <c r="H27" i="3"/>
  <c r="H28" i="3"/>
  <c r="H29" i="3"/>
  <c r="G30" i="3"/>
  <c r="H30" i="3"/>
  <c r="H31" i="3"/>
  <c r="H174" i="3"/>
  <c r="H175" i="3"/>
  <c r="E176" i="3"/>
  <c r="F176" i="3"/>
  <c r="G176" i="3"/>
  <c r="E177" i="3"/>
  <c r="F177" i="3"/>
  <c r="G177" i="3"/>
  <c r="E178" i="3"/>
  <c r="F178" i="3"/>
  <c r="G178" i="3"/>
  <c r="E180" i="3"/>
  <c r="F180" i="3"/>
  <c r="G180" i="3"/>
  <c r="E181" i="3"/>
  <c r="F181" i="3"/>
  <c r="G181" i="3"/>
  <c r="E182" i="3"/>
  <c r="F182" i="3"/>
  <c r="G182" i="3"/>
  <c r="E183" i="3"/>
  <c r="F183" i="3"/>
  <c r="G183" i="3"/>
  <c r="E184" i="3"/>
  <c r="F184" i="3"/>
  <c r="G184" i="3"/>
  <c r="E185" i="3"/>
  <c r="F185" i="3"/>
  <c r="G185" i="3"/>
  <c r="E186" i="3"/>
  <c r="F186" i="3"/>
  <c r="G186" i="3"/>
  <c r="I206" i="3"/>
  <c r="J198" i="3"/>
  <c r="J201" i="3"/>
  <c r="J202" i="3"/>
  <c r="J203" i="3"/>
  <c r="J204" i="3"/>
  <c r="K198" i="3"/>
  <c r="K200" i="3"/>
  <c r="K201" i="3"/>
  <c r="K202" i="3"/>
  <c r="K203" i="3"/>
  <c r="K204" i="3"/>
  <c r="L198" i="3"/>
  <c r="L200" i="3"/>
  <c r="L201" i="3"/>
  <c r="L202" i="3"/>
  <c r="L203" i="3"/>
  <c r="L204" i="3"/>
  <c r="J189" i="3"/>
  <c r="K189" i="3"/>
  <c r="L189" i="3"/>
  <c r="J190" i="3"/>
  <c r="K190" i="3"/>
  <c r="L190" i="3"/>
  <c r="J191" i="3"/>
  <c r="K191" i="3"/>
  <c r="L191" i="3"/>
  <c r="J192" i="3"/>
  <c r="K192" i="3"/>
  <c r="L192" i="3"/>
  <c r="J193" i="3"/>
  <c r="K193" i="3"/>
  <c r="L193" i="3"/>
  <c r="J194" i="3"/>
  <c r="K194" i="3"/>
  <c r="L194" i="3"/>
  <c r="I195" i="3"/>
  <c r="J195" i="3"/>
  <c r="K195" i="3"/>
  <c r="L195" i="3"/>
  <c r="M18" i="3"/>
  <c r="M19" i="3"/>
  <c r="M21" i="3"/>
  <c r="M20" i="3"/>
  <c r="M23" i="3"/>
  <c r="M25" i="3"/>
  <c r="M26" i="3"/>
  <c r="M27" i="3"/>
  <c r="M28" i="3"/>
  <c r="M29" i="3"/>
  <c r="M30" i="3"/>
  <c r="M31" i="3"/>
  <c r="M174" i="3"/>
  <c r="M175" i="3"/>
  <c r="K176" i="3"/>
  <c r="L176" i="3"/>
  <c r="J177" i="3"/>
  <c r="K177" i="3"/>
  <c r="L177" i="3"/>
  <c r="M177" i="3"/>
  <c r="J178" i="3"/>
  <c r="K178" i="3"/>
  <c r="L178" i="3"/>
  <c r="J180" i="3"/>
  <c r="K180" i="3"/>
  <c r="L180" i="3"/>
  <c r="J181" i="3"/>
  <c r="K181" i="3"/>
  <c r="L181" i="3"/>
  <c r="J182" i="3"/>
  <c r="K182" i="3"/>
  <c r="L182" i="3"/>
  <c r="J183" i="3"/>
  <c r="K183" i="3"/>
  <c r="L183" i="3"/>
  <c r="J184" i="3"/>
  <c r="K184" i="3"/>
  <c r="L184" i="3"/>
  <c r="J185" i="3"/>
  <c r="K185" i="3"/>
  <c r="L185" i="3"/>
  <c r="J186" i="3"/>
  <c r="K186" i="3"/>
  <c r="L186" i="3"/>
  <c r="N206" i="3"/>
  <c r="N91" i="3"/>
  <c r="L91" i="3"/>
  <c r="L90" i="3"/>
  <c r="K91" i="3"/>
  <c r="K90" i="3"/>
  <c r="K92" i="3"/>
  <c r="K88" i="3"/>
  <c r="J91" i="3"/>
  <c r="J90" i="3"/>
  <c r="J92" i="3"/>
  <c r="J88" i="3"/>
  <c r="O18" i="3"/>
  <c r="O23" i="3"/>
  <c r="N195" i="3"/>
  <c r="N196" i="3"/>
  <c r="N19" i="3"/>
  <c r="N23" i="3"/>
  <c r="N28" i="3"/>
  <c r="N29" i="3"/>
  <c r="N31" i="3"/>
  <c r="N174" i="3"/>
  <c r="N187" i="3"/>
  <c r="N207" i="3"/>
  <c r="N85" i="3"/>
  <c r="N136" i="3"/>
  <c r="N86" i="3"/>
  <c r="O28" i="3"/>
  <c r="O29" i="3"/>
  <c r="O31" i="3"/>
  <c r="O174" i="3"/>
  <c r="N147" i="3"/>
  <c r="N167" i="3"/>
  <c r="N169" i="3"/>
  <c r="L136" i="3"/>
  <c r="L169" i="3"/>
  <c r="K136" i="3"/>
  <c r="K169" i="3"/>
  <c r="J136" i="3"/>
  <c r="J169" i="3"/>
  <c r="N164" i="3"/>
  <c r="L164" i="3"/>
  <c r="K164" i="3"/>
  <c r="J164" i="3"/>
  <c r="N165" i="3"/>
  <c r="L165" i="3"/>
  <c r="K165" i="3"/>
  <c r="J165" i="3"/>
  <c r="K225" i="3"/>
  <c r="P225" i="3"/>
  <c r="N137" i="3"/>
  <c r="N141" i="3"/>
  <c r="N148" i="3"/>
  <c r="N152" i="3"/>
  <c r="E160" i="3"/>
  <c r="J160" i="3"/>
  <c r="N153" i="3"/>
  <c r="L153" i="3"/>
  <c r="K153" i="3"/>
  <c r="J153" i="3"/>
  <c r="N166" i="3"/>
  <c r="L166" i="3"/>
  <c r="K166" i="3"/>
  <c r="J166" i="3"/>
  <c r="E158" i="3"/>
  <c r="J158" i="3"/>
  <c r="E156" i="3"/>
  <c r="J156" i="3"/>
  <c r="E155" i="3"/>
  <c r="J155" i="3"/>
  <c r="O122" i="3"/>
  <c r="L225" i="3"/>
  <c r="Q225" i="3"/>
  <c r="F160" i="3"/>
  <c r="K160" i="3"/>
  <c r="P160" i="3"/>
  <c r="P195" i="3"/>
  <c r="F158" i="3"/>
  <c r="K158" i="3"/>
  <c r="P158" i="3"/>
  <c r="F156" i="3"/>
  <c r="K156" i="3"/>
  <c r="F155" i="3"/>
  <c r="K155" i="3"/>
  <c r="P122" i="3"/>
  <c r="G160" i="3"/>
  <c r="L160" i="3"/>
  <c r="Q160" i="3"/>
  <c r="R194" i="3"/>
  <c r="Q195" i="3"/>
  <c r="R177" i="3"/>
  <c r="G158" i="3"/>
  <c r="L158" i="3"/>
  <c r="Q158" i="3"/>
  <c r="G156" i="3"/>
  <c r="L156" i="3"/>
  <c r="Q156" i="3"/>
  <c r="G155" i="3"/>
  <c r="L155" i="3"/>
  <c r="Q155" i="3"/>
  <c r="Q122" i="3"/>
  <c r="N225" i="3"/>
  <c r="S225" i="3"/>
  <c r="I160" i="3"/>
  <c r="N160" i="3"/>
  <c r="S160" i="3"/>
  <c r="R128" i="3"/>
  <c r="S195" i="3"/>
  <c r="I158" i="3"/>
  <c r="N158" i="3"/>
  <c r="S158" i="3"/>
  <c r="I156" i="3"/>
  <c r="N156" i="3"/>
  <c r="S156" i="3"/>
  <c r="I155" i="3"/>
  <c r="N155" i="3"/>
  <c r="S155" i="3"/>
  <c r="T225" i="3"/>
  <c r="T195" i="3"/>
  <c r="U225" i="3"/>
  <c r="U160" i="3"/>
  <c r="U195" i="3"/>
  <c r="U158" i="3"/>
  <c r="V225" i="3"/>
  <c r="V160" i="3"/>
  <c r="V195" i="3"/>
  <c r="V158" i="3"/>
  <c r="V156" i="3"/>
  <c r="V155" i="3"/>
  <c r="W194" i="3"/>
  <c r="W177" i="3"/>
  <c r="W178" i="3"/>
  <c r="X225" i="3"/>
  <c r="X160" i="3"/>
  <c r="W128" i="3"/>
  <c r="X195" i="3"/>
  <c r="X158" i="3"/>
  <c r="X156" i="3"/>
  <c r="X155" i="3"/>
  <c r="Y225" i="3"/>
  <c r="Y195" i="3"/>
  <c r="Z225" i="3"/>
  <c r="Z160" i="3"/>
  <c r="Z195" i="3"/>
  <c r="Z158" i="3"/>
  <c r="AB177" i="3"/>
  <c r="AB178" i="3"/>
  <c r="AA158" i="3"/>
  <c r="AA156" i="3"/>
  <c r="AA155" i="3"/>
  <c r="AA160" i="3"/>
  <c r="C253" i="3"/>
  <c r="C254" i="3"/>
  <c r="AA225" i="3"/>
  <c r="AC225" i="3"/>
  <c r="AD225" i="3"/>
  <c r="AE225" i="3"/>
  <c r="AF225" i="3"/>
  <c r="AH225" i="3"/>
  <c r="AI225" i="3"/>
  <c r="AJ225" i="3"/>
  <c r="AK225" i="3"/>
  <c r="AC78" i="3"/>
  <c r="AC79" i="3"/>
  <c r="AA195" i="3"/>
  <c r="AB194" i="3"/>
  <c r="AC160" i="3"/>
  <c r="AB128" i="3"/>
  <c r="AC195" i="3"/>
  <c r="AC158" i="3"/>
  <c r="AC156" i="3"/>
  <c r="AC155" i="3"/>
  <c r="AD195" i="3"/>
  <c r="AE160" i="3"/>
  <c r="AE195" i="3"/>
  <c r="AE158" i="3"/>
  <c r="AH78" i="3"/>
  <c r="AH79" i="3"/>
  <c r="AF160" i="3"/>
  <c r="AF195" i="3"/>
  <c r="AF158" i="3"/>
  <c r="AF156" i="3"/>
  <c r="AF155" i="3"/>
  <c r="AG194" i="3"/>
  <c r="AG177" i="3"/>
  <c r="AG178" i="3"/>
  <c r="AH160" i="3"/>
  <c r="AG128" i="3"/>
  <c r="AH195" i="3"/>
  <c r="AH158" i="3"/>
  <c r="AH156" i="3"/>
  <c r="AH155" i="3"/>
  <c r="AI195" i="3"/>
  <c r="AJ160" i="3"/>
  <c r="AJ195" i="3"/>
  <c r="AJ158" i="3"/>
  <c r="AL136" i="3"/>
  <c r="AL139" i="3"/>
  <c r="R213" i="3"/>
  <c r="C248" i="3"/>
  <c r="C250" i="3"/>
  <c r="R214" i="3"/>
  <c r="W213" i="3"/>
  <c r="W214" i="3"/>
  <c r="AB213" i="3"/>
  <c r="AB214" i="3"/>
  <c r="AG213" i="3"/>
  <c r="AG214" i="3"/>
  <c r="AL177" i="3"/>
  <c r="AL178" i="3"/>
  <c r="AK158" i="3"/>
  <c r="AK156" i="3"/>
  <c r="AK155" i="3"/>
  <c r="AK160" i="3"/>
  <c r="AL213" i="3"/>
  <c r="AL214" i="3"/>
  <c r="N217" i="3"/>
  <c r="N218" i="3"/>
  <c r="N219" i="3"/>
  <c r="C265" i="3"/>
  <c r="C7" i="3"/>
  <c r="N89" i="3"/>
  <c r="L89" i="3"/>
  <c r="K89" i="3"/>
  <c r="J89" i="3"/>
  <c r="O35" i="3"/>
  <c r="P33" i="3"/>
  <c r="P35" i="3"/>
  <c r="Q89" i="3"/>
  <c r="Q33" i="3"/>
  <c r="Q35" i="3"/>
  <c r="S89" i="3"/>
  <c r="S33" i="3"/>
  <c r="S35" i="3"/>
  <c r="C6" i="3"/>
  <c r="C8" i="3"/>
  <c r="C270" i="3"/>
  <c r="I5" i="26"/>
  <c r="I6" i="26"/>
  <c r="I7" i="26"/>
  <c r="I8" i="26"/>
  <c r="I9" i="26"/>
  <c r="I10" i="26"/>
  <c r="I11" i="26"/>
  <c r="I12" i="26"/>
  <c r="I13" i="26"/>
  <c r="I14" i="26"/>
  <c r="I15" i="26"/>
  <c r="I16" i="26"/>
  <c r="I17" i="26"/>
  <c r="C268" i="3"/>
  <c r="J5" i="26"/>
  <c r="K5" i="26"/>
  <c r="J6" i="26"/>
  <c r="K6" i="26"/>
  <c r="J7" i="26"/>
  <c r="K7" i="26"/>
  <c r="J8" i="26"/>
  <c r="K8" i="26"/>
  <c r="J9" i="26"/>
  <c r="K9" i="26"/>
  <c r="J10" i="26"/>
  <c r="K10" i="26"/>
  <c r="J11" i="26"/>
  <c r="K11" i="26"/>
  <c r="J12" i="26"/>
  <c r="K12" i="26"/>
  <c r="J13" i="26"/>
  <c r="K13" i="26"/>
  <c r="J14" i="26"/>
  <c r="K14" i="26"/>
  <c r="J15" i="26"/>
  <c r="K15" i="26"/>
  <c r="J16" i="26"/>
  <c r="K16" i="26"/>
  <c r="K18" i="26"/>
  <c r="K19" i="26"/>
  <c r="K20" i="26"/>
  <c r="C269" i="3"/>
  <c r="C272" i="3"/>
  <c r="C271" i="3"/>
  <c r="R33" i="3"/>
  <c r="M139" i="3"/>
  <c r="H139" i="3"/>
  <c r="G136" i="3"/>
  <c r="H136" i="3"/>
  <c r="H215" i="3"/>
  <c r="M136" i="3"/>
  <c r="M215" i="3"/>
  <c r="F136" i="3"/>
  <c r="E136" i="3"/>
  <c r="E86" i="3"/>
  <c r="C239" i="3"/>
  <c r="F19" i="3"/>
  <c r="F23" i="3"/>
  <c r="F28" i="3"/>
  <c r="F29" i="3"/>
  <c r="F82" i="3"/>
  <c r="M229" i="3"/>
  <c r="O80" i="3"/>
  <c r="O22" i="3"/>
  <c r="D196" i="3"/>
  <c r="D19" i="3"/>
  <c r="D23" i="3"/>
  <c r="D28" i="3"/>
  <c r="D29" i="3"/>
  <c r="D31" i="3"/>
  <c r="D174" i="3"/>
  <c r="D187" i="3"/>
  <c r="D207" i="3"/>
  <c r="D209" i="3"/>
  <c r="E208" i="3"/>
  <c r="E196" i="3"/>
  <c r="E19" i="3"/>
  <c r="E23" i="3"/>
  <c r="E28" i="3"/>
  <c r="E29" i="3"/>
  <c r="E31" i="3"/>
  <c r="E174" i="3"/>
  <c r="E187" i="3"/>
  <c r="E207" i="3"/>
  <c r="E209" i="3"/>
  <c r="F208" i="3"/>
  <c r="F196" i="3"/>
  <c r="F31" i="3"/>
  <c r="F174" i="3"/>
  <c r="F187" i="3"/>
  <c r="F207" i="3"/>
  <c r="F209" i="3"/>
  <c r="F118" i="3"/>
  <c r="F85" i="3"/>
  <c r="G208" i="3"/>
  <c r="G196" i="3"/>
  <c r="G19" i="3"/>
  <c r="G23" i="3"/>
  <c r="G28" i="3"/>
  <c r="G29" i="3"/>
  <c r="G31" i="3"/>
  <c r="G174" i="3"/>
  <c r="G187" i="3"/>
  <c r="G207" i="3"/>
  <c r="G209" i="3"/>
  <c r="G118" i="3"/>
  <c r="G85" i="3"/>
  <c r="I208" i="3"/>
  <c r="I196" i="3"/>
  <c r="I19" i="3"/>
  <c r="I23" i="3"/>
  <c r="I28" i="3"/>
  <c r="I29" i="3"/>
  <c r="I31" i="3"/>
  <c r="I174" i="3"/>
  <c r="I187" i="3"/>
  <c r="I207" i="3"/>
  <c r="I209" i="3"/>
  <c r="I118" i="3"/>
  <c r="I85" i="3"/>
  <c r="J208" i="3"/>
  <c r="J196" i="3"/>
  <c r="J19" i="3"/>
  <c r="J23" i="3"/>
  <c r="J28" i="3"/>
  <c r="J29" i="3"/>
  <c r="J31" i="3"/>
  <c r="J174" i="3"/>
  <c r="J187" i="3"/>
  <c r="J207" i="3"/>
  <c r="J209" i="3"/>
  <c r="J118" i="3"/>
  <c r="J85" i="3"/>
  <c r="K208" i="3"/>
  <c r="K196" i="3"/>
  <c r="K19" i="3"/>
  <c r="K23" i="3"/>
  <c r="K28" i="3"/>
  <c r="K29" i="3"/>
  <c r="K31" i="3"/>
  <c r="K174" i="3"/>
  <c r="K187" i="3"/>
  <c r="K207" i="3"/>
  <c r="K209" i="3"/>
  <c r="K118" i="3"/>
  <c r="K85" i="3"/>
  <c r="L208" i="3"/>
  <c r="L196" i="3"/>
  <c r="L19" i="3"/>
  <c r="L23" i="3"/>
  <c r="L28" i="3"/>
  <c r="L29" i="3"/>
  <c r="L31" i="3"/>
  <c r="L174" i="3"/>
  <c r="L187" i="3"/>
  <c r="L207" i="3"/>
  <c r="L209" i="3"/>
  <c r="L118" i="3"/>
  <c r="L85" i="3"/>
  <c r="F86" i="3"/>
  <c r="G86" i="3"/>
  <c r="I136" i="3"/>
  <c r="I86" i="3"/>
  <c r="J86" i="3"/>
  <c r="K86" i="3"/>
  <c r="L86" i="3"/>
  <c r="D118" i="3"/>
  <c r="D85" i="3"/>
  <c r="D136" i="3"/>
  <c r="D86" i="3"/>
  <c r="E118" i="3"/>
  <c r="E85" i="3"/>
  <c r="W65" i="3"/>
  <c r="W68" i="3"/>
  <c r="AK80" i="3"/>
  <c r="AJ80" i="3"/>
  <c r="AI80" i="3"/>
  <c r="AH80" i="3"/>
  <c r="AF80" i="3"/>
  <c r="AE80" i="3"/>
  <c r="AD80" i="3"/>
  <c r="AC80" i="3"/>
  <c r="AA80" i="3"/>
  <c r="Z80" i="3"/>
  <c r="Y80" i="3"/>
  <c r="X80" i="3"/>
  <c r="V80" i="3"/>
  <c r="U80" i="3"/>
  <c r="T80" i="3"/>
  <c r="S80" i="3"/>
  <c r="P80" i="3"/>
  <c r="Q80" i="3"/>
  <c r="N80" i="3"/>
  <c r="T89" i="3"/>
  <c r="T33" i="3"/>
  <c r="U89" i="3"/>
  <c r="U33" i="3"/>
  <c r="V89" i="3"/>
  <c r="V33" i="3"/>
  <c r="X89" i="3"/>
  <c r="X33" i="3"/>
  <c r="Y89" i="3"/>
  <c r="Y33" i="3"/>
  <c r="Z89" i="3"/>
  <c r="Z33" i="3"/>
  <c r="AA89" i="3"/>
  <c r="AA33" i="3"/>
  <c r="AC89" i="3"/>
  <c r="AC33" i="3"/>
  <c r="AD89" i="3"/>
  <c r="AD33" i="3"/>
  <c r="AE89" i="3"/>
  <c r="AE33" i="3"/>
  <c r="AF89" i="3"/>
  <c r="AF33" i="3"/>
  <c r="AH89" i="3"/>
  <c r="AH33" i="3"/>
  <c r="AI89" i="3"/>
  <c r="AI33" i="3"/>
  <c r="AJ89" i="3"/>
  <c r="AJ33" i="3"/>
  <c r="AK89" i="3"/>
  <c r="AK33" i="3"/>
  <c r="AL194" i="3"/>
  <c r="E147" i="3"/>
  <c r="E137" i="3"/>
  <c r="E141" i="3"/>
  <c r="E148" i="3"/>
  <c r="E152" i="3"/>
  <c r="F147" i="3"/>
  <c r="F137" i="3"/>
  <c r="F141" i="3"/>
  <c r="F148" i="3"/>
  <c r="F152" i="3"/>
  <c r="G147" i="3"/>
  <c r="G137" i="3"/>
  <c r="G141" i="3"/>
  <c r="G148" i="3"/>
  <c r="G152" i="3"/>
  <c r="I147" i="3"/>
  <c r="I137" i="3"/>
  <c r="I141" i="3"/>
  <c r="I148" i="3"/>
  <c r="I152" i="3"/>
  <c r="J147" i="3"/>
  <c r="J137" i="3"/>
  <c r="J141" i="3"/>
  <c r="J148" i="3"/>
  <c r="J152" i="3"/>
  <c r="K147" i="3"/>
  <c r="K137" i="3"/>
  <c r="K141" i="3"/>
  <c r="K148" i="3"/>
  <c r="K152" i="3"/>
  <c r="L147" i="3"/>
  <c r="L137" i="3"/>
  <c r="L141" i="3"/>
  <c r="L148" i="3"/>
  <c r="L152" i="3"/>
  <c r="D147" i="3"/>
  <c r="D137" i="3"/>
  <c r="D141" i="3"/>
  <c r="D148" i="3"/>
  <c r="D152" i="3"/>
  <c r="D169" i="3"/>
  <c r="D167" i="3"/>
  <c r="R127" i="3"/>
  <c r="G166" i="3"/>
  <c r="F166" i="3"/>
  <c r="E166" i="3"/>
  <c r="I166" i="3"/>
  <c r="AK127" i="3"/>
  <c r="I228" i="3"/>
  <c r="J228" i="3"/>
  <c r="K228" i="3"/>
  <c r="L228" i="3"/>
  <c r="M228" i="3"/>
  <c r="N228" i="3"/>
  <c r="L167" i="3"/>
  <c r="K167" i="3"/>
  <c r="J167" i="3"/>
  <c r="I225" i="3"/>
  <c r="E217" i="3"/>
  <c r="F217" i="3"/>
  <c r="G217" i="3"/>
  <c r="H118" i="3"/>
  <c r="H119" i="3"/>
  <c r="H126" i="3"/>
  <c r="H217" i="3"/>
  <c r="I217" i="3"/>
  <c r="J217" i="3"/>
  <c r="K217" i="3"/>
  <c r="L217" i="3"/>
  <c r="M118" i="3"/>
  <c r="M119" i="3"/>
  <c r="M126" i="3"/>
  <c r="M217" i="3"/>
  <c r="AK195" i="3"/>
  <c r="E218" i="3"/>
  <c r="F218" i="3"/>
  <c r="G218" i="3"/>
  <c r="H218" i="3"/>
  <c r="I218" i="3"/>
  <c r="J218" i="3"/>
  <c r="K218" i="3"/>
  <c r="L218" i="3"/>
  <c r="M218" i="3"/>
  <c r="E219" i="3"/>
  <c r="F219" i="3"/>
  <c r="G219" i="3"/>
  <c r="H33" i="3"/>
  <c r="H219" i="3"/>
  <c r="I219" i="3"/>
  <c r="J219" i="3"/>
  <c r="K219" i="3"/>
  <c r="L219" i="3"/>
  <c r="M219" i="3"/>
  <c r="D217" i="3"/>
  <c r="D218" i="3"/>
  <c r="D219" i="3"/>
  <c r="AK154" i="3"/>
  <c r="AJ154" i="3"/>
  <c r="AI154" i="3"/>
  <c r="AH154" i="3"/>
  <c r="AF154" i="3"/>
  <c r="AE154" i="3"/>
  <c r="AD154" i="3"/>
  <c r="AC154" i="3"/>
  <c r="D1231" i="27"/>
  <c r="D1232" i="27"/>
  <c r="C1273" i="27"/>
  <c r="O74" i="3"/>
  <c r="C1026" i="27"/>
  <c r="J74" i="3"/>
  <c r="O75" i="3"/>
  <c r="C1214" i="27"/>
  <c r="N74" i="3"/>
  <c r="C966" i="27"/>
  <c r="I74" i="3"/>
  <c r="N75" i="3"/>
  <c r="C1153" i="27"/>
  <c r="L74" i="3"/>
  <c r="C905" i="27"/>
  <c r="G74" i="3"/>
  <c r="L75" i="3"/>
  <c r="C778" i="27"/>
  <c r="E74" i="3"/>
  <c r="J75" i="3"/>
  <c r="C1090" i="27"/>
  <c r="K74" i="3"/>
  <c r="C842" i="27"/>
  <c r="F74" i="3"/>
  <c r="K75" i="3"/>
  <c r="C717" i="27"/>
  <c r="D74" i="3"/>
  <c r="I75" i="3"/>
  <c r="D224" i="3"/>
  <c r="J13" i="3"/>
  <c r="J70" i="3"/>
  <c r="K13" i="3"/>
  <c r="K70" i="3"/>
  <c r="L13" i="3"/>
  <c r="L70" i="3"/>
  <c r="M13" i="3"/>
  <c r="M49" i="3"/>
  <c r="M53" i="3"/>
  <c r="M57" i="3"/>
  <c r="M61" i="3"/>
  <c r="M70" i="3"/>
  <c r="N70" i="3"/>
  <c r="O70" i="3"/>
  <c r="P70" i="3"/>
  <c r="Q70" i="3"/>
  <c r="R53" i="3"/>
  <c r="R57" i="3"/>
  <c r="R61" i="3"/>
  <c r="R70" i="3"/>
  <c r="S70" i="3"/>
  <c r="T70" i="3"/>
  <c r="U70" i="3"/>
  <c r="V70" i="3"/>
  <c r="W53" i="3"/>
  <c r="W57" i="3"/>
  <c r="W61" i="3"/>
  <c r="W70" i="3"/>
  <c r="X70" i="3"/>
  <c r="Y70" i="3"/>
  <c r="Z70" i="3"/>
  <c r="AA70" i="3"/>
  <c r="AB53" i="3"/>
  <c r="AB57" i="3"/>
  <c r="AB61" i="3"/>
  <c r="AB70" i="3"/>
  <c r="AC70" i="3"/>
  <c r="AD70" i="3"/>
  <c r="AE70" i="3"/>
  <c r="AF70" i="3"/>
  <c r="AG53" i="3"/>
  <c r="AG57" i="3"/>
  <c r="AG61" i="3"/>
  <c r="AG70" i="3"/>
  <c r="AH70" i="3"/>
  <c r="AI70" i="3"/>
  <c r="AJ70" i="3"/>
  <c r="AK70" i="3"/>
  <c r="AL53" i="3"/>
  <c r="AL57" i="3"/>
  <c r="AL61" i="3"/>
  <c r="AL70" i="3"/>
  <c r="J14" i="3"/>
  <c r="J71" i="3"/>
  <c r="K14" i="3"/>
  <c r="K71" i="3"/>
  <c r="L14" i="3"/>
  <c r="L71" i="3"/>
  <c r="M14" i="3"/>
  <c r="M51" i="3"/>
  <c r="M55" i="3"/>
  <c r="M59" i="3"/>
  <c r="M63" i="3"/>
  <c r="M65" i="3"/>
  <c r="M71" i="3"/>
  <c r="N71" i="3"/>
  <c r="O71" i="3"/>
  <c r="P71" i="3"/>
  <c r="Q71" i="3"/>
  <c r="R65" i="3"/>
  <c r="R71" i="3"/>
  <c r="S71" i="3"/>
  <c r="T71" i="3"/>
  <c r="U71" i="3"/>
  <c r="V71" i="3"/>
  <c r="W71" i="3"/>
  <c r="X71" i="3"/>
  <c r="Y71" i="3"/>
  <c r="Z71" i="3"/>
  <c r="AA71" i="3"/>
  <c r="AB65" i="3"/>
  <c r="AB71" i="3"/>
  <c r="AC71" i="3"/>
  <c r="AD71" i="3"/>
  <c r="AE71" i="3"/>
  <c r="AF71" i="3"/>
  <c r="AG65" i="3"/>
  <c r="AG71" i="3"/>
  <c r="AH71" i="3"/>
  <c r="AI71" i="3"/>
  <c r="AJ71" i="3"/>
  <c r="AK71" i="3"/>
  <c r="AL65" i="3"/>
  <c r="AL71" i="3"/>
  <c r="J72" i="3"/>
  <c r="K72" i="3"/>
  <c r="L72" i="3"/>
  <c r="M42" i="3"/>
  <c r="M43" i="3"/>
  <c r="M44" i="3"/>
  <c r="M45" i="3"/>
  <c r="M46" i="3"/>
  <c r="M72" i="3"/>
  <c r="N72" i="3"/>
  <c r="N47" i="3"/>
  <c r="O72" i="3"/>
  <c r="O47" i="3"/>
  <c r="P42" i="3"/>
  <c r="P43" i="3"/>
  <c r="P44" i="3"/>
  <c r="P45" i="3"/>
  <c r="P46" i="3"/>
  <c r="P72" i="3"/>
  <c r="P47" i="3"/>
  <c r="Q42" i="3"/>
  <c r="Q43" i="3"/>
  <c r="Q44" i="3"/>
  <c r="Q45" i="3"/>
  <c r="Q46" i="3"/>
  <c r="Q72" i="3"/>
  <c r="R42" i="3"/>
  <c r="R43" i="3"/>
  <c r="R44" i="3"/>
  <c r="R45" i="3"/>
  <c r="R46" i="3"/>
  <c r="R72" i="3"/>
  <c r="Q47" i="3"/>
  <c r="S42" i="3"/>
  <c r="S43" i="3"/>
  <c r="S44" i="3"/>
  <c r="S45" i="3"/>
  <c r="S46" i="3"/>
  <c r="S72" i="3"/>
  <c r="S47" i="3"/>
  <c r="T42" i="3"/>
  <c r="T43" i="3"/>
  <c r="T44" i="3"/>
  <c r="T45" i="3"/>
  <c r="T46" i="3"/>
  <c r="T72" i="3"/>
  <c r="T47" i="3"/>
  <c r="U42" i="3"/>
  <c r="U43" i="3"/>
  <c r="U44" i="3"/>
  <c r="U45" i="3"/>
  <c r="U46" i="3"/>
  <c r="U72" i="3"/>
  <c r="U47" i="3"/>
  <c r="V42" i="3"/>
  <c r="V43" i="3"/>
  <c r="V44" i="3"/>
  <c r="V45" i="3"/>
  <c r="V46" i="3"/>
  <c r="V72" i="3"/>
  <c r="W42" i="3"/>
  <c r="W43" i="3"/>
  <c r="W44" i="3"/>
  <c r="W45" i="3"/>
  <c r="W46" i="3"/>
  <c r="W72" i="3"/>
  <c r="V47" i="3"/>
  <c r="X42" i="3"/>
  <c r="X43" i="3"/>
  <c r="X44" i="3"/>
  <c r="X45" i="3"/>
  <c r="X46" i="3"/>
  <c r="X72" i="3"/>
  <c r="X47" i="3"/>
  <c r="Y42" i="3"/>
  <c r="Y43" i="3"/>
  <c r="Y44" i="3"/>
  <c r="Y45" i="3"/>
  <c r="Y46" i="3"/>
  <c r="Y72" i="3"/>
  <c r="Y47" i="3"/>
  <c r="Z42" i="3"/>
  <c r="Z43" i="3"/>
  <c r="Z44" i="3"/>
  <c r="Z45" i="3"/>
  <c r="Z46" i="3"/>
  <c r="Z72" i="3"/>
  <c r="Z47" i="3"/>
  <c r="AA42" i="3"/>
  <c r="AA43" i="3"/>
  <c r="AA44" i="3"/>
  <c r="AA45" i="3"/>
  <c r="AA46" i="3"/>
  <c r="AA72" i="3"/>
  <c r="AB42" i="3"/>
  <c r="AB43" i="3"/>
  <c r="AB44" i="3"/>
  <c r="AB45" i="3"/>
  <c r="AB46" i="3"/>
  <c r="AB72" i="3"/>
  <c r="AA47" i="3"/>
  <c r="AC42" i="3"/>
  <c r="AC43" i="3"/>
  <c r="AC44" i="3"/>
  <c r="AC45" i="3"/>
  <c r="AC46" i="3"/>
  <c r="AC72" i="3"/>
  <c r="AC47" i="3"/>
  <c r="AD42" i="3"/>
  <c r="AD43" i="3"/>
  <c r="AD44" i="3"/>
  <c r="AD45" i="3"/>
  <c r="AD46" i="3"/>
  <c r="AD72" i="3"/>
  <c r="AD47" i="3"/>
  <c r="AE42" i="3"/>
  <c r="AE43" i="3"/>
  <c r="AE44" i="3"/>
  <c r="AE45" i="3"/>
  <c r="AE46" i="3"/>
  <c r="AE72" i="3"/>
  <c r="AE47" i="3"/>
  <c r="AF42" i="3"/>
  <c r="AF43" i="3"/>
  <c r="AF44" i="3"/>
  <c r="AF45" i="3"/>
  <c r="AF46" i="3"/>
  <c r="AF72" i="3"/>
  <c r="AG42" i="3"/>
  <c r="AG43" i="3"/>
  <c r="AG44" i="3"/>
  <c r="AG45" i="3"/>
  <c r="AG46" i="3"/>
  <c r="AG72" i="3"/>
  <c r="AF47" i="3"/>
  <c r="AH42" i="3"/>
  <c r="AH43" i="3"/>
  <c r="AH44" i="3"/>
  <c r="AH45" i="3"/>
  <c r="AH46" i="3"/>
  <c r="AH72" i="3"/>
  <c r="AH47" i="3"/>
  <c r="AI42" i="3"/>
  <c r="AI43" i="3"/>
  <c r="AI44" i="3"/>
  <c r="AI45" i="3"/>
  <c r="AI46" i="3"/>
  <c r="AI72" i="3"/>
  <c r="AI47" i="3"/>
  <c r="AJ42" i="3"/>
  <c r="AJ43" i="3"/>
  <c r="AJ44" i="3"/>
  <c r="AJ45" i="3"/>
  <c r="AJ46" i="3"/>
  <c r="AJ72" i="3"/>
  <c r="AJ47" i="3"/>
  <c r="AK42" i="3"/>
  <c r="AK43" i="3"/>
  <c r="AK44" i="3"/>
  <c r="AK45" i="3"/>
  <c r="AK46" i="3"/>
  <c r="AK72" i="3"/>
  <c r="AL42" i="3"/>
  <c r="AL43" i="3"/>
  <c r="AL44" i="3"/>
  <c r="AL45" i="3"/>
  <c r="AL46" i="3"/>
  <c r="AL72" i="3"/>
  <c r="D51" i="3"/>
  <c r="D49" i="3"/>
  <c r="D55" i="3"/>
  <c r="D53" i="3"/>
  <c r="D59" i="3"/>
  <c r="D57" i="3"/>
  <c r="D63" i="3"/>
  <c r="D61" i="3"/>
  <c r="D13" i="3"/>
  <c r="D70" i="3"/>
  <c r="E13" i="3"/>
  <c r="E70" i="3"/>
  <c r="F13" i="3"/>
  <c r="F70" i="3"/>
  <c r="G13" i="3"/>
  <c r="G70" i="3"/>
  <c r="H13" i="3"/>
  <c r="H49" i="3"/>
  <c r="H53" i="3"/>
  <c r="H57" i="3"/>
  <c r="H61" i="3"/>
  <c r="H70" i="3"/>
  <c r="D14" i="3"/>
  <c r="D71" i="3"/>
  <c r="E14" i="3"/>
  <c r="E71" i="3"/>
  <c r="F14" i="3"/>
  <c r="F71" i="3"/>
  <c r="G14" i="3"/>
  <c r="G71" i="3"/>
  <c r="H14" i="3"/>
  <c r="H51" i="3"/>
  <c r="H55" i="3"/>
  <c r="H59" i="3"/>
  <c r="H63" i="3"/>
  <c r="H65" i="3"/>
  <c r="H71" i="3"/>
  <c r="D72" i="3"/>
  <c r="E72" i="3"/>
  <c r="F72" i="3"/>
  <c r="G42" i="3"/>
  <c r="G43" i="3"/>
  <c r="G44" i="3"/>
  <c r="G45" i="3"/>
  <c r="G46" i="3"/>
  <c r="G72" i="3"/>
  <c r="H42" i="3"/>
  <c r="H43" i="3"/>
  <c r="H44" i="3"/>
  <c r="H45" i="3"/>
  <c r="H46" i="3"/>
  <c r="H72" i="3"/>
  <c r="I72" i="3"/>
  <c r="I71" i="3"/>
  <c r="I70" i="3"/>
  <c r="I79" i="3"/>
  <c r="I78" i="3"/>
  <c r="L80" i="3"/>
  <c r="D92" i="3"/>
  <c r="D89" i="3"/>
  <c r="D88" i="3"/>
  <c r="D47" i="3"/>
  <c r="G37" i="3"/>
  <c r="F37" i="3"/>
  <c r="E37" i="3"/>
  <c r="D37" i="3"/>
  <c r="I62" i="3"/>
  <c r="I66" i="3"/>
  <c r="I58" i="3"/>
  <c r="I54" i="3"/>
  <c r="I50" i="3"/>
  <c r="M47" i="3"/>
  <c r="AL229" i="3"/>
  <c r="AL205" i="3"/>
  <c r="AL202" i="3"/>
  <c r="AL201" i="3"/>
  <c r="AL200" i="3"/>
  <c r="AL199" i="3"/>
  <c r="AL198" i="3"/>
  <c r="AK157" i="3"/>
  <c r="AK159" i="3"/>
  <c r="AK161" i="3"/>
  <c r="AK162" i="3"/>
  <c r="AJ157" i="3"/>
  <c r="AJ159" i="3"/>
  <c r="AJ161" i="3"/>
  <c r="AJ162" i="3"/>
  <c r="AI157" i="3"/>
  <c r="AI159" i="3"/>
  <c r="AI161" i="3"/>
  <c r="AI162" i="3"/>
  <c r="AH157" i="3"/>
  <c r="AH159" i="3"/>
  <c r="AH161" i="3"/>
  <c r="AH162" i="3"/>
  <c r="AL144" i="3"/>
  <c r="AL146" i="3"/>
  <c r="AL133" i="3"/>
  <c r="AL134" i="3"/>
  <c r="AL135" i="3"/>
  <c r="AL138" i="3"/>
  <c r="AL140" i="3"/>
  <c r="AL120" i="3"/>
  <c r="AL121" i="3"/>
  <c r="AL122" i="3"/>
  <c r="AL123" i="3"/>
  <c r="AL124" i="3"/>
  <c r="AL127" i="3"/>
  <c r="AL128" i="3"/>
  <c r="AL129" i="3"/>
  <c r="AL130" i="3"/>
  <c r="H142" i="3"/>
  <c r="M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R47" i="3"/>
  <c r="W47" i="3"/>
  <c r="AB47" i="3"/>
  <c r="AG47" i="3"/>
  <c r="AL47" i="3"/>
  <c r="AK47" i="3"/>
  <c r="AL84" i="3"/>
  <c r="AL83" i="3"/>
  <c r="AL81" i="3"/>
  <c r="AK81" i="3"/>
  <c r="AJ81" i="3"/>
  <c r="AI81" i="3"/>
  <c r="AH81" i="3"/>
  <c r="AL80" i="3"/>
  <c r="AL36" i="3"/>
  <c r="AG36" i="3"/>
  <c r="AL37" i="3"/>
  <c r="AL24" i="3"/>
  <c r="AK24" i="3"/>
  <c r="AJ24" i="3"/>
  <c r="AI24" i="3"/>
  <c r="AH24" i="3"/>
  <c r="AL22" i="3"/>
  <c r="AK22" i="3"/>
  <c r="AJ22" i="3"/>
  <c r="AI22" i="3"/>
  <c r="AH22" i="3"/>
  <c r="AG229" i="3"/>
  <c r="AG205" i="3"/>
  <c r="AG202" i="3"/>
  <c r="AG201" i="3"/>
  <c r="AG200" i="3"/>
  <c r="AG199" i="3"/>
  <c r="AG198" i="3"/>
  <c r="AF157" i="3"/>
  <c r="AF159" i="3"/>
  <c r="AF161" i="3"/>
  <c r="AF162" i="3"/>
  <c r="AE157" i="3"/>
  <c r="AE159" i="3"/>
  <c r="AE161" i="3"/>
  <c r="AE162" i="3"/>
  <c r="AD157" i="3"/>
  <c r="AD159" i="3"/>
  <c r="AD161" i="3"/>
  <c r="AD162" i="3"/>
  <c r="AC157" i="3"/>
  <c r="AC159" i="3"/>
  <c r="AC161" i="3"/>
  <c r="AC162" i="3"/>
  <c r="AG144" i="3"/>
  <c r="AG127" i="3"/>
  <c r="AG129" i="3"/>
  <c r="AG81" i="3"/>
  <c r="AF81" i="3"/>
  <c r="AE81" i="3"/>
  <c r="AD81" i="3"/>
  <c r="AC81" i="3"/>
  <c r="AG80" i="3"/>
  <c r="AB36" i="3"/>
  <c r="AG37" i="3"/>
  <c r="AG24" i="3"/>
  <c r="AF24" i="3"/>
  <c r="AE24" i="3"/>
  <c r="AD24" i="3"/>
  <c r="AC24" i="3"/>
  <c r="AG22" i="3"/>
  <c r="AF22" i="3"/>
  <c r="AE22" i="3"/>
  <c r="AD22" i="3"/>
  <c r="AC22" i="3"/>
  <c r="K22" i="26"/>
  <c r="K21" i="26"/>
  <c r="I92" i="3"/>
  <c r="I89" i="3"/>
  <c r="I88" i="3"/>
  <c r="G92" i="3"/>
  <c r="G104" i="3"/>
  <c r="G89" i="3"/>
  <c r="G88" i="3"/>
  <c r="F92" i="3"/>
  <c r="F89" i="3"/>
  <c r="F88" i="3"/>
  <c r="E92" i="3"/>
  <c r="E89" i="3"/>
  <c r="E88" i="3"/>
  <c r="J109" i="3"/>
  <c r="I109" i="3"/>
  <c r="I106" i="3"/>
  <c r="G106" i="3"/>
  <c r="F103" i="3"/>
  <c r="F100" i="3"/>
  <c r="E100" i="3"/>
  <c r="D97" i="3"/>
  <c r="E97" i="3"/>
  <c r="D94" i="3"/>
  <c r="N82" i="3"/>
  <c r="N81" i="3"/>
  <c r="L82" i="3"/>
  <c r="K82" i="3"/>
  <c r="L81" i="3"/>
  <c r="K81" i="3"/>
  <c r="K80" i="3"/>
  <c r="N168" i="3"/>
  <c r="N157" i="3"/>
  <c r="N159" i="3"/>
  <c r="N161" i="3"/>
  <c r="N162" i="3"/>
  <c r="L168" i="3"/>
  <c r="K168" i="3"/>
  <c r="L157" i="3"/>
  <c r="L159" i="3"/>
  <c r="L161" i="3"/>
  <c r="L162" i="3"/>
  <c r="K157" i="3"/>
  <c r="K159" i="3"/>
  <c r="K161" i="3"/>
  <c r="K162" i="3"/>
  <c r="N230" i="3"/>
  <c r="N224" i="3"/>
  <c r="L230" i="3"/>
  <c r="K230" i="3"/>
  <c r="L224" i="3"/>
  <c r="K224" i="3"/>
  <c r="N37" i="3"/>
  <c r="M36" i="3"/>
  <c r="H36" i="3"/>
  <c r="M37" i="3"/>
  <c r="L37" i="3"/>
  <c r="K37" i="3"/>
  <c r="I169" i="3"/>
  <c r="J168" i="3"/>
  <c r="I168" i="3"/>
  <c r="I167" i="3"/>
  <c r="I165" i="3"/>
  <c r="I164" i="3"/>
  <c r="I161" i="3"/>
  <c r="J161" i="3"/>
  <c r="I159" i="3"/>
  <c r="J159" i="3"/>
  <c r="I157" i="3"/>
  <c r="I162" i="3"/>
  <c r="J157" i="3"/>
  <c r="I153" i="3"/>
  <c r="G169" i="3"/>
  <c r="G168" i="3"/>
  <c r="G167" i="3"/>
  <c r="G165" i="3"/>
  <c r="G164" i="3"/>
  <c r="G161" i="3"/>
  <c r="G159" i="3"/>
  <c r="G157" i="3"/>
  <c r="G162" i="3"/>
  <c r="G153" i="3"/>
  <c r="J162" i="3"/>
  <c r="J230" i="3"/>
  <c r="I230" i="3"/>
  <c r="J224" i="3"/>
  <c r="I224" i="3"/>
  <c r="G230" i="3"/>
  <c r="G224" i="3"/>
  <c r="J82" i="3"/>
  <c r="I82" i="3"/>
  <c r="G82" i="3"/>
  <c r="J80" i="3"/>
  <c r="I80" i="3"/>
  <c r="G80" i="3"/>
  <c r="J37" i="3"/>
  <c r="I37" i="3"/>
  <c r="F169" i="3"/>
  <c r="F165" i="3"/>
  <c r="F153" i="3"/>
  <c r="E165" i="3"/>
  <c r="E161" i="3"/>
  <c r="E159" i="3"/>
  <c r="E157" i="3"/>
  <c r="E153" i="3"/>
  <c r="F230" i="3"/>
  <c r="F224" i="3"/>
  <c r="E224" i="3"/>
  <c r="E169" i="3"/>
  <c r="D153" i="3"/>
  <c r="H198" i="3"/>
  <c r="D165" i="3"/>
  <c r="H140" i="3"/>
  <c r="E168" i="3"/>
  <c r="D84" i="3"/>
  <c r="D83" i="3"/>
  <c r="AB198" i="3"/>
  <c r="F161" i="3"/>
  <c r="F159" i="3"/>
  <c r="F157" i="3"/>
  <c r="W198" i="3"/>
  <c r="M202" i="3"/>
  <c r="H202" i="3"/>
  <c r="R198" i="3"/>
  <c r="M198" i="3"/>
  <c r="H130" i="3"/>
  <c r="H146" i="3"/>
  <c r="M146" i="3"/>
  <c r="F162" i="3"/>
  <c r="H128" i="3"/>
  <c r="D80" i="3"/>
  <c r="D22" i="3"/>
  <c r="E80" i="3"/>
  <c r="E22" i="3"/>
  <c r="E24" i="3"/>
  <c r="E47" i="3"/>
  <c r="H124" i="3"/>
  <c r="E167" i="3"/>
  <c r="F47" i="3"/>
  <c r="F22" i="3"/>
  <c r="E82" i="3"/>
  <c r="H134" i="3"/>
  <c r="E162" i="3"/>
  <c r="R202" i="3"/>
  <c r="W202" i="3"/>
  <c r="AB202" i="3"/>
  <c r="H122" i="3"/>
  <c r="M122" i="3"/>
  <c r="F80" i="3"/>
  <c r="E81" i="3"/>
  <c r="D24" i="3"/>
  <c r="D81" i="3"/>
  <c r="E230" i="3"/>
  <c r="M140" i="3"/>
  <c r="M130" i="3"/>
  <c r="F24" i="3"/>
  <c r="F81" i="3"/>
  <c r="D82" i="3"/>
  <c r="E35" i="3"/>
  <c r="E34" i="3"/>
  <c r="H129" i="3"/>
  <c r="M129" i="3"/>
  <c r="D35" i="3"/>
  <c r="D34" i="3"/>
  <c r="F34" i="3"/>
  <c r="F35" i="3"/>
  <c r="M134" i="3"/>
  <c r="M128" i="3"/>
  <c r="M124" i="3"/>
  <c r="R129" i="3"/>
  <c r="W129" i="3"/>
  <c r="AB129" i="3"/>
  <c r="H127" i="3"/>
  <c r="P161" i="3"/>
  <c r="Q161" i="3"/>
  <c r="P159" i="3"/>
  <c r="P157" i="3"/>
  <c r="P162" i="3"/>
  <c r="S161" i="3"/>
  <c r="Q159" i="3"/>
  <c r="Q157" i="3"/>
  <c r="Q162" i="3"/>
  <c r="T161" i="3"/>
  <c r="S159" i="3"/>
  <c r="S157" i="3"/>
  <c r="U161" i="3"/>
  <c r="S162" i="3"/>
  <c r="T159" i="3"/>
  <c r="T157" i="3"/>
  <c r="T162" i="3"/>
  <c r="V161" i="3"/>
  <c r="U159" i="3"/>
  <c r="U157" i="3"/>
  <c r="U162" i="3"/>
  <c r="D125" i="3"/>
  <c r="D131" i="3"/>
  <c r="D149" i="3"/>
  <c r="G47" i="3"/>
  <c r="X161" i="3"/>
  <c r="V159" i="3"/>
  <c r="V157" i="3"/>
  <c r="M127" i="3"/>
  <c r="V162" i="3"/>
  <c r="H138" i="3"/>
  <c r="H205" i="3"/>
  <c r="H229" i="3"/>
  <c r="H83" i="3"/>
  <c r="H120" i="3"/>
  <c r="I22" i="3"/>
  <c r="E125" i="3"/>
  <c r="E131" i="3"/>
  <c r="E149" i="3"/>
  <c r="G22" i="3"/>
  <c r="H47" i="3"/>
  <c r="H135" i="3"/>
  <c r="H199" i="3"/>
  <c r="H200" i="3"/>
  <c r="Y161" i="3"/>
  <c r="X159" i="3"/>
  <c r="X157" i="3"/>
  <c r="X162" i="3"/>
  <c r="J81" i="3"/>
  <c r="H133" i="3"/>
  <c r="H123" i="3"/>
  <c r="I81" i="3"/>
  <c r="I24" i="3"/>
  <c r="G24" i="3"/>
  <c r="G81" i="3"/>
  <c r="H80" i="3"/>
  <c r="H84" i="3"/>
  <c r="H22" i="3"/>
  <c r="H121" i="3"/>
  <c r="Z161" i="3"/>
  <c r="AA161" i="3"/>
  <c r="Y159" i="3"/>
  <c r="Y157" i="3"/>
  <c r="Y162" i="3"/>
  <c r="J24" i="3"/>
  <c r="I47" i="3"/>
  <c r="J47" i="3"/>
  <c r="K47" i="3"/>
  <c r="H144" i="3"/>
  <c r="K22" i="3"/>
  <c r="H24" i="3"/>
  <c r="H81" i="3"/>
  <c r="AA159" i="3"/>
  <c r="Z159" i="3"/>
  <c r="Z157" i="3"/>
  <c r="AA157" i="3"/>
  <c r="AA162" i="3"/>
  <c r="K24" i="3"/>
  <c r="Z162" i="3"/>
  <c r="F167" i="3"/>
  <c r="H201" i="3"/>
  <c r="L47" i="3"/>
  <c r="M200" i="3"/>
  <c r="M199" i="3"/>
  <c r="N22" i="3"/>
  <c r="M120" i="3"/>
  <c r="M138" i="3"/>
  <c r="M205" i="3"/>
  <c r="L22" i="3"/>
  <c r="M135" i="3"/>
  <c r="M83" i="3"/>
  <c r="R36" i="3"/>
  <c r="N24" i="3"/>
  <c r="M121" i="3"/>
  <c r="M84" i="3"/>
  <c r="M22" i="3"/>
  <c r="M123" i="3"/>
  <c r="L24" i="3"/>
  <c r="M133" i="3"/>
  <c r="M80" i="3"/>
  <c r="R37" i="3"/>
  <c r="M201" i="3"/>
  <c r="R201" i="3"/>
  <c r="F168" i="3"/>
  <c r="W36" i="3"/>
  <c r="W37" i="3"/>
  <c r="M144" i="3"/>
  <c r="M81" i="3"/>
  <c r="M24" i="3"/>
  <c r="P22" i="3"/>
  <c r="O81" i="3"/>
  <c r="O24" i="3"/>
  <c r="AB37" i="3"/>
  <c r="W201" i="3"/>
  <c r="P81" i="3"/>
  <c r="P24" i="3"/>
  <c r="AB201" i="3"/>
  <c r="H82" i="3"/>
  <c r="R205" i="3"/>
  <c r="S22" i="3"/>
  <c r="S81" i="3"/>
  <c r="R200" i="3"/>
  <c r="G35" i="3"/>
  <c r="F125" i="3"/>
  <c r="F131" i="3"/>
  <c r="F149" i="3"/>
  <c r="Q22" i="3"/>
  <c r="Q81" i="3"/>
  <c r="R229" i="3"/>
  <c r="S24" i="3"/>
  <c r="U22" i="3"/>
  <c r="R22" i="3"/>
  <c r="T81" i="3"/>
  <c r="T22" i="3"/>
  <c r="G34" i="3"/>
  <c r="H32" i="3"/>
  <c r="H34" i="3"/>
  <c r="H35" i="3"/>
  <c r="R80" i="3"/>
  <c r="Q24" i="3"/>
  <c r="U81" i="3"/>
  <c r="R81" i="3"/>
  <c r="R24" i="3"/>
  <c r="T24" i="3"/>
  <c r="W205" i="3"/>
  <c r="H145" i="3"/>
  <c r="H147" i="3"/>
  <c r="V81" i="3"/>
  <c r="V22" i="3"/>
  <c r="W229" i="3"/>
  <c r="W80" i="3"/>
  <c r="W200" i="3"/>
  <c r="X81" i="3"/>
  <c r="X22" i="3"/>
  <c r="W22" i="3"/>
  <c r="U24" i="3"/>
  <c r="H204" i="3"/>
  <c r="H137" i="3"/>
  <c r="W81" i="3"/>
  <c r="Y22" i="3"/>
  <c r="Y81" i="3"/>
  <c r="H203" i="3"/>
  <c r="H141" i="3"/>
  <c r="H148" i="3"/>
  <c r="Z81" i="3"/>
  <c r="Z22" i="3"/>
  <c r="V24" i="3"/>
  <c r="W24" i="3"/>
  <c r="W127" i="3"/>
  <c r="I34" i="3"/>
  <c r="I35" i="3"/>
  <c r="G125" i="3"/>
  <c r="G131" i="3"/>
  <c r="G149" i="3"/>
  <c r="AA81" i="3"/>
  <c r="AB229" i="3"/>
  <c r="AA22" i="3"/>
  <c r="AB205" i="3"/>
  <c r="AB200" i="3"/>
  <c r="X24" i="3"/>
  <c r="H125" i="3"/>
  <c r="H131" i="3"/>
  <c r="H149" i="3"/>
  <c r="AB80" i="3"/>
  <c r="AB81" i="3"/>
  <c r="AB22" i="3"/>
  <c r="Y24" i="3"/>
  <c r="Z24" i="3"/>
  <c r="AB127" i="3"/>
  <c r="AA24" i="3"/>
  <c r="J34" i="3"/>
  <c r="J35" i="3"/>
  <c r="AB24" i="3"/>
  <c r="I125" i="3"/>
  <c r="I131" i="3"/>
  <c r="I149" i="3"/>
  <c r="J125" i="3"/>
  <c r="J131" i="3"/>
  <c r="J149" i="3"/>
  <c r="K35" i="3"/>
  <c r="K34" i="3"/>
  <c r="M82" i="3"/>
  <c r="L34" i="3"/>
  <c r="M34" i="3"/>
  <c r="L35" i="3"/>
  <c r="M35" i="3"/>
  <c r="K125" i="3"/>
  <c r="K131" i="3"/>
  <c r="K149" i="3"/>
  <c r="M145" i="3"/>
  <c r="M147" i="3"/>
  <c r="M204" i="3"/>
  <c r="M137" i="3"/>
  <c r="M141" i="3"/>
  <c r="M148" i="3"/>
  <c r="M203" i="3"/>
  <c r="L125" i="3"/>
  <c r="L131" i="3"/>
  <c r="L149" i="3"/>
  <c r="N35" i="3"/>
  <c r="N34" i="3"/>
  <c r="M125" i="3"/>
  <c r="M131" i="3"/>
  <c r="M149" i="3"/>
  <c r="AB144" i="3"/>
  <c r="W144" i="3"/>
  <c r="R144" i="3"/>
  <c r="N125" i="3"/>
  <c r="N131" i="3"/>
  <c r="N149" i="3"/>
  <c r="AB199" i="3"/>
  <c r="W199" i="3"/>
  <c r="R199" i="3"/>
  <c r="O218" i="3"/>
  <c r="O217" i="3"/>
  <c r="O219" i="3"/>
  <c r="P228" i="3"/>
  <c r="Q228" i="3"/>
  <c r="R228" i="3"/>
  <c r="S228" i="3"/>
  <c r="T228" i="3"/>
  <c r="U228" i="3"/>
  <c r="V228" i="3"/>
  <c r="W228" i="3"/>
  <c r="X228" i="3"/>
  <c r="Y228" i="3"/>
  <c r="Z228" i="3"/>
  <c r="AA228" i="3"/>
  <c r="AB228" i="3"/>
  <c r="AC228" i="3"/>
  <c r="AD228" i="3"/>
  <c r="AE228" i="3"/>
  <c r="AF228" i="3"/>
  <c r="AG228" i="3"/>
  <c r="AH228" i="3"/>
  <c r="AI228" i="3"/>
  <c r="AJ228" i="3"/>
  <c r="AK228" i="3"/>
  <c r="AL228" i="3"/>
  <c r="AL119" i="3"/>
  <c r="AL126" i="3"/>
  <c r="P218" i="3"/>
  <c r="Q218" i="3"/>
  <c r="R218" i="3"/>
  <c r="S218" i="3"/>
  <c r="T218" i="3"/>
  <c r="U218" i="3"/>
  <c r="V218" i="3"/>
  <c r="W218" i="3"/>
  <c r="X218" i="3"/>
  <c r="Y218" i="3"/>
  <c r="Z218" i="3"/>
  <c r="AA218" i="3"/>
  <c r="AB218" i="3"/>
  <c r="AC218" i="3"/>
  <c r="AD218" i="3"/>
  <c r="AE218" i="3"/>
  <c r="AF218" i="3"/>
  <c r="AG218" i="3"/>
  <c r="AH218" i="3"/>
  <c r="AI218" i="3"/>
  <c r="AJ218" i="3"/>
  <c r="AK218" i="3"/>
  <c r="AL218" i="3"/>
  <c r="P217" i="3"/>
  <c r="P219" i="3"/>
  <c r="Q217" i="3"/>
  <c r="Q219" i="3"/>
  <c r="R118" i="3"/>
  <c r="R217" i="3"/>
  <c r="R219" i="3"/>
  <c r="S217" i="3"/>
  <c r="S219" i="3"/>
  <c r="T217" i="3"/>
  <c r="T219" i="3"/>
  <c r="U217" i="3"/>
  <c r="U219" i="3"/>
  <c r="V217" i="3"/>
  <c r="V219" i="3"/>
  <c r="W33" i="3"/>
  <c r="W118" i="3"/>
  <c r="W217" i="3"/>
  <c r="W219" i="3"/>
  <c r="X217" i="3"/>
  <c r="X219" i="3"/>
  <c r="Y217" i="3"/>
  <c r="Y219" i="3"/>
  <c r="Z217" i="3"/>
  <c r="Z219" i="3"/>
  <c r="AA217" i="3"/>
  <c r="AA219" i="3"/>
  <c r="AB33" i="3"/>
  <c r="AB118" i="3"/>
  <c r="AB217" i="3"/>
  <c r="AB219" i="3"/>
  <c r="AC217" i="3"/>
  <c r="AC219" i="3"/>
  <c r="AD217" i="3"/>
  <c r="AD219" i="3"/>
  <c r="AE217" i="3"/>
  <c r="AE219" i="3"/>
  <c r="AF217" i="3"/>
  <c r="AF219" i="3"/>
  <c r="AG33" i="3"/>
  <c r="AG118" i="3"/>
  <c r="AG217" i="3"/>
  <c r="AG219" i="3"/>
  <c r="AH217" i="3"/>
  <c r="AH219" i="3"/>
  <c r="AI217" i="3"/>
  <c r="AI219" i="3"/>
  <c r="AJ217" i="3"/>
  <c r="AJ219" i="3"/>
  <c r="AK217" i="3"/>
  <c r="AK219" i="3"/>
  <c r="AL33" i="3"/>
  <c r="AL118" i="3"/>
  <c r="AL217" i="3"/>
  <c r="AL219" i="3"/>
  <c r="AL204" i="3"/>
  <c r="AL203" i="3"/>
  <c r="AK168" i="3"/>
  <c r="AJ168" i="3"/>
  <c r="AI168" i="3"/>
  <c r="AH168" i="3"/>
  <c r="AL137" i="3"/>
  <c r="AL141" i="3"/>
  <c r="AL125" i="3"/>
  <c r="AL131" i="3"/>
  <c r="AL145" i="3"/>
  <c r="AL147" i="3"/>
  <c r="AL148" i="3"/>
  <c r="AL149" i="3"/>
  <c r="AK125" i="3"/>
  <c r="AK131" i="3"/>
  <c r="AK149" i="3"/>
  <c r="AJ125" i="3"/>
  <c r="AJ131" i="3"/>
  <c r="AJ149" i="3"/>
  <c r="AI125" i="3"/>
  <c r="AI131" i="3"/>
  <c r="AI149" i="3"/>
  <c r="AH125" i="3"/>
  <c r="AH131" i="3"/>
  <c r="AH149" i="3"/>
  <c r="AL82" i="3"/>
  <c r="AL35" i="3"/>
  <c r="AK35" i="3"/>
  <c r="AJ35" i="3"/>
  <c r="AI35" i="3"/>
  <c r="AH35" i="3"/>
  <c r="AL32" i="3"/>
  <c r="AL34" i="3"/>
  <c r="AK34" i="3"/>
  <c r="AJ34" i="3"/>
  <c r="AI34" i="3"/>
  <c r="AH34" i="3"/>
  <c r="AG204" i="3"/>
  <c r="AG203" i="3"/>
  <c r="AF168" i="3"/>
  <c r="AE168" i="3"/>
  <c r="AD168" i="3"/>
  <c r="AC168" i="3"/>
  <c r="AG137" i="3"/>
  <c r="AG141" i="3"/>
  <c r="AG125" i="3"/>
  <c r="AG131" i="3"/>
  <c r="AG145" i="3"/>
  <c r="AG147" i="3"/>
  <c r="AG148" i="3"/>
  <c r="AG149" i="3"/>
  <c r="AF125" i="3"/>
  <c r="AF131" i="3"/>
  <c r="AF149" i="3"/>
  <c r="AE125" i="3"/>
  <c r="AE131" i="3"/>
  <c r="AE149" i="3"/>
  <c r="AD125" i="3"/>
  <c r="AD131" i="3"/>
  <c r="AD149" i="3"/>
  <c r="AC125" i="3"/>
  <c r="AC131" i="3"/>
  <c r="AC149" i="3"/>
  <c r="AG82" i="3"/>
  <c r="AG35" i="3"/>
  <c r="AF35" i="3"/>
  <c r="AE35" i="3"/>
  <c r="AD35" i="3"/>
  <c r="AC35" i="3"/>
  <c r="AG32" i="3"/>
  <c r="AG34" i="3"/>
  <c r="AF34" i="3"/>
  <c r="AE34" i="3"/>
  <c r="AD34" i="3"/>
  <c r="AC34" i="3"/>
  <c r="AB137" i="3"/>
  <c r="AB141" i="3"/>
  <c r="AB125" i="3"/>
  <c r="AB131" i="3"/>
  <c r="AB145" i="3"/>
  <c r="AB147" i="3"/>
  <c r="AB148" i="3"/>
  <c r="AB149" i="3"/>
  <c r="AA125" i="3"/>
  <c r="AA131" i="3"/>
  <c r="AA149" i="3"/>
  <c r="C9" i="3"/>
  <c r="AB203" i="3"/>
  <c r="AA168" i="3"/>
  <c r="AB204" i="3"/>
  <c r="AB32" i="3"/>
  <c r="AB34" i="3"/>
  <c r="AB35" i="3"/>
  <c r="AA34" i="3"/>
  <c r="AA35" i="3"/>
  <c r="Z125" i="3"/>
  <c r="Z131" i="3"/>
  <c r="Z149" i="3"/>
  <c r="AB82" i="3"/>
  <c r="Z168" i="3"/>
  <c r="Y125" i="3"/>
  <c r="Y131" i="3"/>
  <c r="Y149" i="3"/>
  <c r="Z34" i="3"/>
  <c r="Z35" i="3"/>
  <c r="Y168" i="3"/>
  <c r="X125" i="3"/>
  <c r="X131" i="3"/>
  <c r="X149" i="3"/>
  <c r="Y34" i="3"/>
  <c r="Y35" i="3"/>
  <c r="X168" i="3"/>
  <c r="W137" i="3"/>
  <c r="W141" i="3"/>
  <c r="W125" i="3"/>
  <c r="W131" i="3"/>
  <c r="W145" i="3"/>
  <c r="W147" i="3"/>
  <c r="W148" i="3"/>
  <c r="W149" i="3"/>
  <c r="V125" i="3"/>
  <c r="V131" i="3"/>
  <c r="V149" i="3"/>
  <c r="X34" i="3"/>
  <c r="X35" i="3"/>
  <c r="W203" i="3"/>
  <c r="V168" i="3"/>
  <c r="W204" i="3"/>
  <c r="W32" i="3"/>
  <c r="W34" i="3"/>
  <c r="W35" i="3"/>
  <c r="V34" i="3"/>
  <c r="V35" i="3"/>
  <c r="U125" i="3"/>
  <c r="U131" i="3"/>
  <c r="U149" i="3"/>
  <c r="W82" i="3"/>
  <c r="U168" i="3"/>
  <c r="T125" i="3"/>
  <c r="T131" i="3"/>
  <c r="T149" i="3"/>
  <c r="U34" i="3"/>
  <c r="U35" i="3"/>
  <c r="T168" i="3"/>
  <c r="S125" i="3"/>
  <c r="S131" i="3"/>
  <c r="S149" i="3"/>
  <c r="T34" i="3"/>
  <c r="T35" i="3"/>
  <c r="S168" i="3"/>
  <c r="R137" i="3"/>
  <c r="R141" i="3"/>
  <c r="R125" i="3"/>
  <c r="R131" i="3"/>
  <c r="R145" i="3"/>
  <c r="R147" i="3"/>
  <c r="R148" i="3"/>
  <c r="R149" i="3"/>
  <c r="S34" i="3"/>
  <c r="Q125" i="3"/>
  <c r="Q131" i="3"/>
  <c r="Q149" i="3"/>
  <c r="R203" i="3"/>
  <c r="R204" i="3"/>
  <c r="Q168" i="3"/>
  <c r="Q34" i="3"/>
  <c r="R35" i="3"/>
  <c r="R32" i="3"/>
  <c r="R34" i="3"/>
  <c r="P125" i="3"/>
  <c r="P131" i="3"/>
  <c r="P149" i="3"/>
  <c r="R82" i="3"/>
  <c r="P168" i="3"/>
  <c r="O125" i="3"/>
  <c r="O131" i="3"/>
  <c r="O149" i="3"/>
  <c r="P34" i="3"/>
  <c r="O3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C9" authorId="0" shapeId="0" xr:uid="{16652FA8-5BFE-4ABD-BAF4-8C9CDEB86343}">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D15" authorId="0" shapeId="0" xr:uid="{00000000-0006-0000-0200-000007000000}">
      <text>
        <r>
          <rPr>
            <sz val="9"/>
            <color indexed="81"/>
            <rFont val="Tahoma"/>
            <family val="2"/>
          </rPr>
          <t>Management guided revenue between $76B and $78B on 10/25/2016.</t>
        </r>
      </text>
    </comment>
    <comment ref="E15" authorId="0" shapeId="0" xr:uid="{00000000-0006-0000-0200-000008000000}">
      <text>
        <r>
          <rPr>
            <sz val="9"/>
            <color indexed="81"/>
            <rFont val="Tahoma"/>
            <family val="2"/>
          </rPr>
          <t>Management guided revenue between $51.5B and $53.5B on 1/31/2017.</t>
        </r>
      </text>
    </comment>
    <comment ref="F15" authorId="0" shapeId="0" xr:uid="{00000000-0006-0000-0200-000009000000}">
      <text>
        <r>
          <rPr>
            <sz val="9"/>
            <color indexed="81"/>
            <rFont val="Tahoma"/>
            <family val="2"/>
          </rPr>
          <t>Management guided revenue between $43.5B and $45.5B on 5/2/2017.</t>
        </r>
        <r>
          <rPr>
            <sz val="9"/>
            <color indexed="81"/>
            <rFont val="Tahoma"/>
            <family val="2"/>
          </rPr>
          <t xml:space="preserve">
</t>
        </r>
      </text>
    </comment>
    <comment ref="G15" authorId="0" shapeId="0" xr:uid="{00000000-0006-0000-0200-00000A000000}">
      <text>
        <r>
          <rPr>
            <sz val="9"/>
            <color indexed="81"/>
            <rFont val="Tahoma"/>
            <family val="2"/>
          </rPr>
          <t>Management guided revenue between $49B and $52B on 8/1/2017.</t>
        </r>
      </text>
    </comment>
    <comment ref="O15" authorId="0" shapeId="0" xr:uid="{5FBF4838-17FB-46C1-8719-412D38733132}">
      <text>
        <r>
          <rPr>
            <sz val="9"/>
            <color indexed="81"/>
            <rFont val="Tahoma"/>
            <family val="2"/>
          </rPr>
          <t>Management guided revenue between $55B and $59B. 
Source: F1Q2019 Earnings Call</t>
        </r>
      </text>
    </comment>
    <comment ref="P15" authorId="0" shapeId="0" xr:uid="{2A107A7B-00F6-4EBD-824E-A62BBF98EADE}">
      <text>
        <r>
          <rPr>
            <sz val="9"/>
            <color indexed="81"/>
            <rFont val="Tahoma"/>
            <family val="2"/>
          </rPr>
          <t>Management guided revenue between $52.5B and $54.5B. 
Source: F2Q2019 Earnings Call 4/30/2019</t>
        </r>
      </text>
    </comment>
    <comment ref="D19" authorId="0" shapeId="0" xr:uid="{00000000-0006-0000-0200-000010000000}">
      <text>
        <r>
          <rPr>
            <sz val="9"/>
            <color indexed="81"/>
            <rFont val="Tahoma"/>
            <family val="2"/>
          </rPr>
          <t>Management guided gross margin between 38% and 38.5% on 10/25/2016.</t>
        </r>
      </text>
    </comment>
    <comment ref="E19" authorId="0" shapeId="0" xr:uid="{00000000-0006-0000-0200-000011000000}">
      <text>
        <r>
          <rPr>
            <sz val="9"/>
            <color indexed="81"/>
            <rFont val="Tahoma"/>
            <family val="2"/>
          </rPr>
          <t>Management guided gross margin between 38% and 39% on 1/31/2017.</t>
        </r>
      </text>
    </comment>
    <comment ref="F19" authorId="0" shapeId="0" xr:uid="{00000000-0006-0000-0200-000012000000}">
      <text>
        <r>
          <rPr>
            <sz val="9"/>
            <color indexed="81"/>
            <rFont val="Tahoma"/>
            <family val="2"/>
          </rPr>
          <t>Management guided gross margin between 37.5% and 38.5% on 5/2/2017.</t>
        </r>
      </text>
    </comment>
    <comment ref="G19" authorId="0" shapeId="0" xr:uid="{00000000-0006-0000-0200-000013000000}">
      <text>
        <r>
          <rPr>
            <sz val="9"/>
            <color indexed="81"/>
            <rFont val="Tahoma"/>
            <family val="2"/>
          </rPr>
          <t>Management guided gross margin between 37.5% and 38% on  8/1/2017.</t>
        </r>
      </text>
    </comment>
    <comment ref="O19" authorId="0" shapeId="0" xr:uid="{163CAE58-D59A-4F05-8C11-AACD9F58C7D6}">
      <text>
        <r>
          <rPr>
            <sz val="9"/>
            <color indexed="81"/>
            <rFont val="Tahoma"/>
            <family val="2"/>
          </rPr>
          <t>Management guided gross margin between 37% and 38%. 
Source: F1Q2019 Earnings Call</t>
        </r>
      </text>
    </comment>
    <comment ref="P19" authorId="0" shapeId="0" xr:uid="{210DA36C-120E-4620-8852-92ED9E3C7B2E}">
      <text>
        <r>
          <rPr>
            <sz val="9"/>
            <color indexed="81"/>
            <rFont val="Tahoma"/>
            <family val="2"/>
          </rPr>
          <t>Management guided gross margin between 37% and 38%. 
Source: F2Q2019 Earnings Call 4/30/2019</t>
        </r>
      </text>
    </comment>
    <comment ref="D22" authorId="0" shapeId="0" xr:uid="{00000000-0006-0000-0200-000019000000}">
      <text>
        <r>
          <rPr>
            <sz val="9"/>
            <color indexed="81"/>
            <rFont val="Tahoma"/>
            <family val="2"/>
          </rPr>
          <t>Management guided operating expenses between $6.9B and $7B on 10/25/2016.</t>
        </r>
      </text>
    </comment>
    <comment ref="E22" authorId="0" shapeId="0" xr:uid="{00000000-0006-0000-0200-00001A000000}">
      <text>
        <r>
          <rPr>
            <sz val="9"/>
            <color indexed="81"/>
            <rFont val="Tahoma"/>
            <family val="2"/>
          </rPr>
          <t>Management guided operating expenses between $6.5B and $6.6B on 1/31/2017.</t>
        </r>
      </text>
    </comment>
    <comment ref="F22" authorId="0" shapeId="0" xr:uid="{00000000-0006-0000-0200-00001B000000}">
      <text>
        <r>
          <rPr>
            <sz val="9"/>
            <color indexed="81"/>
            <rFont val="Tahoma"/>
            <family val="2"/>
          </rPr>
          <t>Management guided operating expenses between $6.6B and $6.7B on 5/2/2017.</t>
        </r>
      </text>
    </comment>
    <comment ref="G22" authorId="0" shapeId="0" xr:uid="{00000000-0006-0000-0200-00001C000000}">
      <text>
        <r>
          <rPr>
            <sz val="9"/>
            <color indexed="81"/>
            <rFont val="Tahoma"/>
            <family val="2"/>
          </rPr>
          <t>Management guided operating expenses between $6.7B and $6.8B on 8/1/2017.</t>
        </r>
      </text>
    </comment>
    <comment ref="O22" authorId="0" shapeId="0" xr:uid="{C8FC59EE-FE1F-493B-B2E6-E843D22E09AA}">
      <text>
        <r>
          <rPr>
            <sz val="9"/>
            <color indexed="81"/>
            <rFont val="Tahoma"/>
            <family val="2"/>
          </rPr>
          <t>Management guided operating expenses between $8.5B and $8.6B. 
Source: F1Q2019 Earnings Call</t>
        </r>
      </text>
    </comment>
    <comment ref="P22" authorId="0" shapeId="0" xr:uid="{151A995D-6647-4B82-8F64-366CB5A8409F}">
      <text>
        <r>
          <rPr>
            <sz val="9"/>
            <color indexed="81"/>
            <rFont val="Tahoma"/>
            <family val="2"/>
          </rPr>
          <t>Management guided operating expenses between $8.7B and $8.8B.
Source: F2Q2019 Earnings Call 4/30/2019</t>
        </r>
      </text>
    </comment>
    <comment ref="D28" authorId="0" shapeId="0" xr:uid="{00000000-0006-0000-0200-000024000000}">
      <text>
        <r>
          <rPr>
            <sz val="9"/>
            <color indexed="81"/>
            <rFont val="Tahoma"/>
            <family val="2"/>
          </rPr>
          <t>Management guided other income of $400M on 7/26/2016.</t>
        </r>
      </text>
    </comment>
    <comment ref="E28" authorId="0" shapeId="0" xr:uid="{00000000-0006-0000-0200-000025000000}">
      <text>
        <r>
          <rPr>
            <sz val="9"/>
            <color indexed="81"/>
            <rFont val="Tahoma"/>
            <family val="2"/>
          </rPr>
          <t>Management guided other income of $400M on 1/31/2017.</t>
        </r>
      </text>
    </comment>
    <comment ref="F28" authorId="0" shapeId="0" xr:uid="{00000000-0006-0000-0200-000026000000}">
      <text>
        <r>
          <rPr>
            <sz val="9"/>
            <color indexed="81"/>
            <rFont val="Tahoma"/>
            <family val="2"/>
          </rPr>
          <t>Management guided other income of $450M on 5/2/2017.</t>
        </r>
      </text>
    </comment>
    <comment ref="G28" authorId="0" shapeId="0" xr:uid="{00000000-0006-0000-0200-000027000000}">
      <text>
        <r>
          <rPr>
            <sz val="9"/>
            <color indexed="81"/>
            <rFont val="Tahoma"/>
            <family val="2"/>
          </rPr>
          <t>Management guided other income of $500M on 8/1/2017.</t>
        </r>
      </text>
    </comment>
    <comment ref="O28" authorId="0" shapeId="0" xr:uid="{5F1507FE-90B4-484E-9D57-380B284F4580}">
      <text>
        <r>
          <rPr>
            <sz val="9"/>
            <color indexed="81"/>
            <rFont val="Tahoma"/>
            <family val="2"/>
          </rPr>
          <t xml:space="preserve">Management guided other income/(exp) to $300M. 
Source: F1Q2019 </t>
        </r>
      </text>
    </comment>
    <comment ref="P28" authorId="0" shapeId="0" xr:uid="{6A2307AF-13E9-4582-9D76-06B508DF82CF}">
      <text>
        <r>
          <rPr>
            <sz val="9"/>
            <color indexed="81"/>
            <rFont val="Tahoma"/>
            <family val="2"/>
          </rPr>
          <t>Management guided other income/(exp) to $250M. 
Source: F2Q2019 Earnings Call 4/30/2019</t>
        </r>
      </text>
    </comment>
    <comment ref="D30" authorId="0" shapeId="0" xr:uid="{00000000-0006-0000-0200-00002D000000}">
      <text>
        <r>
          <rPr>
            <sz val="9"/>
            <color indexed="81"/>
            <rFont val="Tahoma"/>
            <family val="2"/>
          </rPr>
          <t>Management guided the tax rate to 26% on 10/25/2016.</t>
        </r>
      </text>
    </comment>
    <comment ref="E30" authorId="0" shapeId="0" xr:uid="{00000000-0006-0000-0200-00002E000000}">
      <text>
        <r>
          <rPr>
            <sz val="9"/>
            <color indexed="81"/>
            <rFont val="Tahoma"/>
            <family val="2"/>
          </rPr>
          <t>Management guided the tax rate to 26% on 1/31/2017.</t>
        </r>
      </text>
    </comment>
    <comment ref="F30" authorId="0" shapeId="0" xr:uid="{00000000-0006-0000-0200-00002F000000}">
      <text>
        <r>
          <rPr>
            <sz val="9"/>
            <color indexed="81"/>
            <rFont val="Tahoma"/>
            <family val="2"/>
          </rPr>
          <t>Management guided the tax rate to 25.5% on 5/2/2017.</t>
        </r>
      </text>
    </comment>
    <comment ref="O30" authorId="0" shapeId="0" xr:uid="{BF914699-F834-4BA6-AF15-925C9269E422}">
      <text>
        <r>
          <rPr>
            <sz val="9"/>
            <color indexed="81"/>
            <rFont val="Tahoma"/>
            <family val="2"/>
          </rPr>
          <t xml:space="preserve">Management expects the tax rate to be 17%. 
Source: F1Q2019 </t>
        </r>
      </text>
    </comment>
    <comment ref="P30" authorId="0" shapeId="0" xr:uid="{53A2E1CE-FA84-4883-AF6F-85A4F68D588E}">
      <text>
        <r>
          <rPr>
            <sz val="9"/>
            <color indexed="81"/>
            <rFont val="Tahoma"/>
            <family val="2"/>
          </rPr>
          <t>Management expects the tax rate to be 16.5%.
Source: F2Q2019 Earnings Call 4/30/2019</t>
        </r>
      </text>
    </comment>
    <comment ref="P35" authorId="0" shapeId="0" xr:uid="{EAD444FC-5CCC-4BB9-99E3-8B805CE3A348}">
      <text>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N44" authorId="0" shapeId="0" xr:uid="{13D97A17-93E4-4F42-8F0C-684707E71677}">
      <text>
        <r>
          <rPr>
            <b/>
            <sz val="9"/>
            <color indexed="81"/>
            <rFont val="Tahoma"/>
            <family val="2"/>
          </rPr>
          <t xml:space="preserve">F1Q2019 Earnings Call: </t>
        </r>
        <r>
          <rPr>
            <sz val="9"/>
            <color indexed="81"/>
            <rFont val="Tahoma"/>
            <family val="2"/>
          </rPr>
          <t>"...our business in Greater China. Our revenue there was down by $4.8 billion from last year with declines across iPhone, Mac and iPad. Most of the shortfall relative to our original guidance and over 100% of our worldwide year-over-year revenue decline was driven by our performance in Greater China."</t>
        </r>
        <r>
          <rPr>
            <sz val="9"/>
            <color indexed="81"/>
            <rFont val="Tahoma"/>
            <family val="2"/>
          </rPr>
          <t xml:space="preserve">
</t>
        </r>
      </text>
    </comment>
    <comment ref="O44" authorId="0" shapeId="0" xr:uid="{B537C90A-6C5B-4DD5-80AC-0B6B2187879C}">
      <text>
        <r>
          <rPr>
            <b/>
            <sz val="9"/>
            <color indexed="81"/>
            <rFont val="Tahoma"/>
            <family val="2"/>
          </rPr>
          <t>F2Q2019 Earnings Call:</t>
        </r>
        <r>
          <rPr>
            <sz val="9"/>
            <color indexed="81"/>
            <rFont val="Tahoma"/>
            <family val="2"/>
          </rPr>
          <t xml:space="preserve"> "...we did experience a revenue decline in emerging markets. But we feel positive about our trajectory. Our year-over-year revenue performance in Greater China improved relative to the December quarter, and we've seen very positive customer response to the pricing actions we've taken in that market, our trade-in and financing programs in our retail stores, the effects of government measures to stimulate the economy, and improved trade dialog between the United States and China.
Our App Store results are still reflecting the impact of the slowdown in regulatory approval in gaming apps in China, but we're encouraged by the recent increase in the pace of approvals. We believe strongly in our long-term opportunity in China, thanks to our robust ecosystem, our talented developer community, and the country's growing population of tech-savvy consumers who value the very best products and services." </t>
        </r>
      </text>
    </comment>
    <comment ref="J49" authorId="0" shapeId="0" xr:uid="{4C880421-C8CF-43E0-A6E6-0A5AD6D3CF5C}">
      <text>
        <r>
          <rPr>
            <b/>
            <sz val="9"/>
            <color indexed="81"/>
            <rFont val="Tahoma"/>
            <family val="2"/>
          </rPr>
          <t>F2Q2018 Earnings Call:</t>
        </r>
        <r>
          <rPr>
            <sz val="9"/>
            <color indexed="81"/>
            <rFont val="Tahoma"/>
            <family val="2"/>
          </rPr>
          <t xml:space="preserve"> "iPhone's second quarter performance capped a tremendous fiscal first half with $100 billion in iPhone revenue, an increase of $12 billion over last year, setting a new first half record and achieving our highest first half growth rate in three years. iPhone gained share during the quarter based on IDC's latest estimates for the global smartphone market.
And customers chose iPhone X more than any other iPhone each week in the March quarter, just as they did following its launch in the December quarter. Since we split the line with the launch of iPhone 6 and 6 Plus in 2014, this is the first cycle in which the top of the line iPhone model has also been the most popular."
</t>
        </r>
      </text>
    </comment>
    <comment ref="K49" authorId="0" shapeId="0" xr:uid="{C1B826DE-CEC9-42D8-96C8-4A956C7F87ED}">
      <text>
        <r>
          <rPr>
            <b/>
            <sz val="9"/>
            <color indexed="81"/>
            <rFont val="Tahoma"/>
            <family val="2"/>
          </rPr>
          <t>F3Q2018 Earnings Call: "</t>
        </r>
        <r>
          <rPr>
            <sz val="9"/>
            <color indexed="81"/>
            <rFont val="Tahoma"/>
            <family val="2"/>
          </rPr>
          <t xml:space="preserve">First, iPhone had a very strong quarter. Revenue was up 20% year-over-year and our active installed base grew by double-digits, driven by switchers, first time smartphone buyers and our existing customers whose loyalty we greatly appreciate. iPhone X was the most popular iPhone in the quarter once again, with a customer satisfaction score of 98% according to 451 Research. Based on the latest data from IDC, iPhone grew faster than the global smartphone market, gaining share in many markets including the U.S., Greater China, Canada, Germany, Australia, Russia, Mexico and the Middle East and Africa."
</t>
        </r>
      </text>
    </comment>
    <comment ref="L49" authorId="0" shapeId="0" xr:uid="{F6765F3E-6C71-454D-A990-5884941778E3}">
      <text>
        <r>
          <rPr>
            <b/>
            <sz val="9"/>
            <color indexed="81"/>
            <rFont val="Tahoma"/>
            <family val="2"/>
          </rPr>
          <t xml:space="preserve">F4Q2018 Earnings Call: </t>
        </r>
        <r>
          <rPr>
            <sz val="9"/>
            <color indexed="81"/>
            <rFont val="Tahoma"/>
            <family val="2"/>
          </rPr>
          <t>"It was a big year and a big quarter for iPhone. Q4 revenue was up 29% over last year, an increase of over $8 billion to a new September quarter record fueled by continued momentum for iPhone 8, 8 Plus and X, and the very successful launch of iPhone XS and iPhone XS Max.
These latest devices are our most advanced iPhones ever with the industry's first 7-nanometer A12 Bionic chip with an Apple designed 8-core Neural Engine capable of executing an astounding 5 trillion operations per second. The A12 Bionic is many years in the making and a huge technological leap forward.
It sets the iPhone experience far apart from the competition, using real-time machine learning to transform the way we experience photos, gaming, augmented reality and more. It makes full use of the dual camera system that shoots portrait mode photos with Smart HDR and dynamic depth of field and Face ID is even faster."</t>
        </r>
      </text>
    </comment>
    <comment ref="N49" authorId="0" shapeId="0" xr:uid="{8299539F-5A01-4727-B726-356D53AE0433}">
      <text>
        <r>
          <rPr>
            <b/>
            <sz val="9"/>
            <color indexed="81"/>
            <rFont val="Tahoma"/>
            <family val="2"/>
          </rPr>
          <t xml:space="preserve">F1Q2019 Earnings Call: </t>
        </r>
        <r>
          <rPr>
            <sz val="9"/>
            <color indexed="81"/>
            <rFont val="Tahoma"/>
            <family val="2"/>
          </rPr>
          <t xml:space="preserve">"Returning to iPhone, I'd like to talk about our results in the context of those lower than expected upgrades. iPhone XR, iPhone Xs, and iPhone Xs Max are by far the best iPhones we've ever shipped... Now, our customers are holding on to their older iPhones a bit longer than in the past. When you pair this with the macroeconomic factors, particularly in emerging markets, it resulted in iPhone revenue that was down 15% from last year. Our iPhone results accounted for significantly more than our entire year-over-year revenue decline. In fact, outside of iPhone, our business grew strongly by 19%."
"So, what's behind this? It's important to understand what's going on from the customer perspective at the point of purchase. We believe that it's the sum of several factors. </t>
        </r>
        <r>
          <rPr>
            <b/>
            <sz val="9"/>
            <color indexed="81"/>
            <rFont val="Tahoma"/>
            <family val="2"/>
          </rPr>
          <t>First, foreign exchange.</t>
        </r>
        <r>
          <rPr>
            <sz val="9"/>
            <color indexed="81"/>
            <rFont val="Tahoma"/>
            <family val="2"/>
          </rPr>
          <t xml:space="preserve"> The relative strength of the U.S. dollar has made our products more expensive in many parts of the world.
</t>
        </r>
        <r>
          <rPr>
            <b/>
            <sz val="9"/>
            <color indexed="81"/>
            <rFont val="Tahoma"/>
            <family val="2"/>
          </rPr>
          <t xml:space="preserve">Second; subsidies. </t>
        </r>
        <r>
          <rPr>
            <sz val="9"/>
            <color indexed="81"/>
            <rFont val="Tahoma"/>
            <family val="2"/>
          </rPr>
          <t xml:space="preserve">For various reasons, iPhone subsidies are becoming increasingly less common.
</t>
        </r>
        <r>
          <rPr>
            <b/>
            <sz val="9"/>
            <color indexed="81"/>
            <rFont val="Tahoma"/>
            <family val="2"/>
          </rPr>
          <t>Third, our battery replacement</t>
        </r>
        <r>
          <rPr>
            <sz val="9"/>
            <color indexed="81"/>
            <rFont val="Tahoma"/>
            <family val="2"/>
          </rPr>
          <t xml:space="preserve"> program."</t>
        </r>
      </text>
    </comment>
    <comment ref="O49" authorId="0" shapeId="0" xr:uid="{B4A0A088-8E8D-4517-8F68-739073307EEF}">
      <text>
        <r>
          <rPr>
            <b/>
            <sz val="9"/>
            <color indexed="81"/>
            <rFont val="Tahoma"/>
            <family val="2"/>
          </rPr>
          <t>F2Q2019 Earnings Call:</t>
        </r>
        <r>
          <rPr>
            <sz val="9"/>
            <color indexed="81"/>
            <rFont val="Tahoma"/>
            <family val="2"/>
          </rPr>
          <t xml:space="preserve"> "iPhone revenue was $31.1 billion. We're seeing positive customer response to recent pricing actions in certain emerging markets, as well as enhancements to our trade-in and financing programs. And our year-over-year performance improved relative to our December quarter results in Greater China, in the Americas and in Japan."</t>
        </r>
      </text>
    </comment>
    <comment ref="P50" authorId="0" shapeId="0" xr:uid="{EC3D909D-2481-4546-B416-3BEF24DB5A8C}">
      <text>
        <r>
          <rPr>
            <b/>
            <sz val="9"/>
            <color indexed="81"/>
            <rFont val="Tahoma"/>
            <family val="2"/>
          </rPr>
          <t xml:space="preserve">Primary Input: </t>
        </r>
        <r>
          <rPr>
            <sz val="9"/>
            <color indexed="81"/>
            <rFont val="Tahoma"/>
            <family val="2"/>
          </rPr>
          <t xml:space="preserve">If you think iPhones will do well this quarter (maybe weakness in China improves) then increase this growth rate. If not decrease the rate.
</t>
        </r>
      </text>
    </comment>
    <comment ref="N53" authorId="0" shapeId="0" xr:uid="{95AD62B9-8AE6-4B39-ABB3-2B25F8160B6F}">
      <text>
        <r>
          <rPr>
            <b/>
            <sz val="9"/>
            <color indexed="81"/>
            <rFont val="Tahoma"/>
            <family val="2"/>
          </rPr>
          <t xml:space="preserve">F1Q2019 Earnings Call: </t>
        </r>
        <r>
          <rPr>
            <sz val="9"/>
            <color indexed="81"/>
            <rFont val="Tahoma"/>
            <family val="2"/>
          </rPr>
          <t xml:space="preserve">"iPad revenue was up 17%, its highest growth rate in almost six years powered by the new iPad Pro released in November with its edge-to-edge Liquid Retina display, Face ID and A12X Bionic chip, the new iPad Pro has been described by reviewers as a tablet with no equal and the most powerful mobile device ever made."
</t>
        </r>
      </text>
    </comment>
    <comment ref="O53" authorId="0" shapeId="0" xr:uid="{CAA41CBB-8FCA-4A01-AA53-936BEE119A01}">
      <text>
        <r>
          <rPr>
            <b/>
            <sz val="9"/>
            <color indexed="81"/>
            <rFont val="Tahoma"/>
            <family val="2"/>
          </rPr>
          <t>F2Q2019 Earnings Call:</t>
        </r>
        <r>
          <rPr>
            <sz val="9"/>
            <color indexed="81"/>
            <rFont val="Tahoma"/>
            <family val="2"/>
          </rPr>
          <t xml:space="preserve"> "We had great results for iPad with $4.9 billion in revenue and growth accelerating from the December quarter to 22%. iPad revenue grew in all five of our geographic segments, with a return to growth in Greater China and strong double-digit growth in all other segments. We had our best March quarter ever for iPad in Japan, and we were especially pleased by performance in Korea, Thailand and Mexico where revenue more than doubled over last year."
"iPad revenue growth has been fueled primarily by the great customer response to our new iPad Pros. These completely redesigned iPads with full-screen Liquid Retina display, Face ID, powerful A12X Bionic chip with Neural Engine and support for the new Apple Pencil and Smart Keyboard make iPad Pro the perfect PC laptop replacement for both consumers and professionals."</t>
        </r>
      </text>
    </comment>
    <comment ref="O54" authorId="0" shapeId="0" xr:uid="{D51EB985-0345-40D0-9C4D-0FB652368D18}">
      <text>
        <r>
          <rPr>
            <b/>
            <sz val="9"/>
            <color indexed="81"/>
            <rFont val="Tahoma"/>
            <family val="2"/>
          </rPr>
          <t>Primary Input:</t>
        </r>
        <r>
          <rPr>
            <sz val="9"/>
            <color indexed="81"/>
            <rFont val="Tahoma"/>
            <family val="2"/>
          </rPr>
          <t xml:space="preserve"> If you think iPad strength from the release of the iPad Pro in November will continue increase this growth rate. If not decrease the rate.</t>
        </r>
      </text>
    </comment>
    <comment ref="P54" authorId="0" shapeId="0" xr:uid="{2137EBDE-6C63-4792-9783-C9DB6890ED4D}">
      <text>
        <r>
          <rPr>
            <b/>
            <sz val="9"/>
            <color indexed="81"/>
            <rFont val="Tahoma"/>
            <family val="2"/>
          </rPr>
          <t>Primary Input:</t>
        </r>
        <r>
          <rPr>
            <sz val="9"/>
            <color indexed="81"/>
            <rFont val="Tahoma"/>
            <family val="2"/>
          </rPr>
          <t xml:space="preserve"> If you think iPad strength from the release of the iPad Pro in November will continue increase this growth rate. If not decrease the rate.</t>
        </r>
      </text>
    </comment>
    <comment ref="N57" authorId="0" shapeId="0" xr:uid="{55FA25EE-A607-4330-9735-D9EEA28E94AB}">
      <text>
        <r>
          <rPr>
            <b/>
            <sz val="9"/>
            <color indexed="81"/>
            <rFont val="Tahoma"/>
            <family val="2"/>
          </rPr>
          <t xml:space="preserve">F1Q2019 Earnings call: </t>
        </r>
        <r>
          <rPr>
            <sz val="9"/>
            <color indexed="81"/>
            <rFont val="Tahoma"/>
            <family val="2"/>
          </rPr>
          <t xml:space="preserve">"We had our best quarter ever for Mac revenue which was up 9% fueled by our new MacBook Air and Mac Mini introduced in October. "
</t>
        </r>
      </text>
    </comment>
    <comment ref="O57" authorId="0" shapeId="0" xr:uid="{E1C95F0E-95B3-4E61-8DAF-21CC8E62859D}">
      <text>
        <r>
          <rPr>
            <b/>
            <sz val="9"/>
            <color indexed="81"/>
            <rFont val="Tahoma"/>
            <family val="2"/>
          </rPr>
          <t>F2Q2019 Earnings Call: "</t>
        </r>
        <r>
          <rPr>
            <sz val="9"/>
            <color indexed="81"/>
            <rFont val="Tahoma"/>
            <family val="2"/>
          </rPr>
          <t>Next, I'd like to talk about the Mac. Revenue was $5.5 billion compared to $5.8 billion a year ago with the decline driven primarily by processor constraint on certain popular models. In spite of this challenge, we generated double-digit Mac revenue growth in Japan and Korea setting new all-time Mac revenue records in both markets. On a global basis, nearly half of the customers purchasing Macs during the quarter were new to Mac and the active installed base of Macs reached a new all-time high."</t>
        </r>
      </text>
    </comment>
    <comment ref="P58" authorId="0" shapeId="0" xr:uid="{F1FFDF13-F0F4-44E4-A1B4-DEB75B6A5048}">
      <text>
        <r>
          <rPr>
            <b/>
            <sz val="9"/>
            <color indexed="81"/>
            <rFont val="Tahoma"/>
            <family val="2"/>
          </rPr>
          <t>Primary Input:</t>
        </r>
        <r>
          <rPr>
            <sz val="9"/>
            <color indexed="81"/>
            <rFont val="Tahoma"/>
            <family val="2"/>
          </rPr>
          <t xml:space="preserve"> If you think Mac strength from the release of the new MacBook Air and Mac Mini in October will continue increase this growth rate. If not decrease the rate.</t>
        </r>
      </text>
    </comment>
    <comment ref="N61" authorId="0" shapeId="0" xr:uid="{9848366E-557C-4244-8A94-6A658F4AD56E}">
      <text>
        <r>
          <rPr>
            <b/>
            <sz val="9"/>
            <color indexed="81"/>
            <rFont val="Tahoma"/>
            <family val="2"/>
          </rPr>
          <t xml:space="preserve">F1Q2019 Earnings Call: </t>
        </r>
        <r>
          <rPr>
            <sz val="9"/>
            <color indexed="81"/>
            <rFont val="Tahoma"/>
            <family val="2"/>
          </rPr>
          <t xml:space="preserve">"We also had our best quarter ever for Wearables Home and Accessories with 33% growth in total and almost 50% growth from Wearables, thanks to strong sales of both Apple Watch and AirPods."
</t>
        </r>
      </text>
    </comment>
    <comment ref="O61" authorId="0" shapeId="0" xr:uid="{99D0297F-B56C-43E2-9917-E5939BD35ED0}">
      <text>
        <r>
          <rPr>
            <b/>
            <sz val="9"/>
            <color indexed="81"/>
            <rFont val="Tahoma"/>
            <family val="2"/>
          </rPr>
          <t>F2Q2019 Earnings Call: "</t>
        </r>
        <r>
          <rPr>
            <sz val="9"/>
            <color indexed="81"/>
            <rFont val="Tahoma"/>
            <family val="2"/>
          </rPr>
          <t>Wearables Home and Accessories revenue set a new March quarter revenue record of $5.1 billion fueled primarily by the strong performance of our Wearables business, which grew close to 50%. Within this category, Apple Watch is the best-selling and most loved smartwatch in the world and produced its best results ever for a non-holiday quarter. It's reaching many new customers with three quarters of purchases going to customers who have never owned an Apple Watch before. Interest in AirPods has been off the charts and we're working hard to catch up with the incredible customer demand."</t>
        </r>
      </text>
    </comment>
    <comment ref="P62" authorId="0" shapeId="0" xr:uid="{C1016C52-D83C-4B27-8D29-56318B4B8FE5}">
      <text>
        <r>
          <rPr>
            <b/>
            <sz val="9"/>
            <color indexed="81"/>
            <rFont val="Tahoma"/>
            <family val="2"/>
          </rPr>
          <t>Primary Input:</t>
        </r>
        <r>
          <rPr>
            <sz val="9"/>
            <color indexed="81"/>
            <rFont val="Tahoma"/>
            <family val="2"/>
          </rPr>
          <t xml:space="preserve"> If you think the success of the Apple Watch and AirPods will continue to increase this growth rate. If not decrease the rate.</t>
        </r>
      </text>
    </comment>
    <comment ref="N65" authorId="0" shapeId="0" xr:uid="{DC0B2AAD-814B-402B-B89E-3489906AD554}">
      <text>
        <r>
          <rPr>
            <b/>
            <sz val="9"/>
            <color indexed="81"/>
            <rFont val="Tahoma"/>
            <family val="2"/>
          </rPr>
          <t xml:space="preserve">F1Q2019 Earnings Call: </t>
        </r>
        <r>
          <rPr>
            <sz val="9"/>
            <color indexed="81"/>
            <rFont val="Tahoma"/>
            <family val="2"/>
          </rPr>
          <t xml:space="preserve">"...had all-time records across multiple categories of Services including the App Store, Apple Pay, cloud services and our App Store search ad business and we had a December quarter record for AppleCare."
</t>
        </r>
      </text>
    </comment>
    <comment ref="O65" authorId="0" shapeId="0" xr:uid="{6A8BC7FD-A13D-44E8-8AD8-7914755196B9}">
      <text>
        <r>
          <rPr>
            <b/>
            <sz val="9"/>
            <color indexed="81"/>
            <rFont val="Tahoma"/>
            <family val="2"/>
          </rPr>
          <t xml:space="preserve">F2Q2019 Earnings Call: </t>
        </r>
        <r>
          <rPr>
            <sz val="9"/>
            <color indexed="81"/>
            <rFont val="Tahoma"/>
            <family val="2"/>
          </rPr>
          <t>"Turning to Services. As Tim said, it was our best quarter ever with $11.5 billion in revenue, an increase of 16% from last year. We generated double-digit revenue growth across the App Store, Apple Music, cloud services, AppleCare, Apple Pay and our App Store search ad business. And we set all-time services revenue records in four of our five geographic segments."
"Customer engagement in our ecosystem continues to grow. The number of transacting accounts on our digital content stores reached another new all-time high during the quarter with the number of paid accounts, also setting a new all-time record and growing by strong double-digits over last year. And we now have over 390 million paid subscriptions across our Services portfolio, an increase of 120 million versus just 12 months ago. All subscription categories are growing strong double-digits and as we mentioned a quarter ago, we expect the number of paid subscriptions to surpass 0.5 billion during 2020."
"On the App Store, our subscription business is extremely diversified and is growing strongly around the world. In fact, the number of paid third-party subscriptions increased by over 40% compared to last year in each of our geographic segments. And across all third-party subscription apps, the largest accounted for only 0.3% of our total Services revenue."</t>
        </r>
      </text>
    </comment>
    <comment ref="W65" authorId="0" shapeId="0" xr:uid="{00000000-0006-0000-0200-000039000000}">
      <text>
        <r>
          <rPr>
            <sz val="9"/>
            <color indexed="81"/>
            <rFont val="Tahoma"/>
            <family val="2"/>
          </rPr>
          <t xml:space="preserve">Management expects to double the size of Services business by 2020. First disclosed on F1Q17 call, reiterated on F2Q17 call.
</t>
        </r>
        <r>
          <rPr>
            <b/>
            <sz val="9"/>
            <color indexed="81"/>
            <rFont val="Tahoma"/>
            <family val="2"/>
          </rPr>
          <t xml:space="preserve">
F1Q2019 Earnings Call update:</t>
        </r>
        <r>
          <rPr>
            <sz val="9"/>
            <color indexed="81"/>
            <rFont val="Tahoma"/>
            <family val="2"/>
          </rPr>
          <t xml:space="preserve"> "Turning to Services. It was our best quarter ever with revenue of $10.9 billion, up 19% year-over-year with new December quarter records in all five of our geographic segments. Many Services categories set new all-time revenue records and we are on track to achieve our goal of doubling our fiscal 2016 Services revenue by 2020.
To be clear and as we've already explained 90 days ago, our 2020 goal remains unchanged and it excludes the impact of the revenue reclassification between products and services we recorded in connection with ASC 606, the new revenue recognition accounting standard that we adopted at the beginning of fiscal 2019."
Also discussed on the F4Q2018 Earnings call at about minute 25.</t>
        </r>
      </text>
    </comment>
    <comment ref="P66" authorId="0" shapeId="0" xr:uid="{1FAAFDB0-0BF5-4D45-899D-B097F84F0FC8}">
      <text>
        <r>
          <rPr>
            <b/>
            <sz val="9"/>
            <color indexed="81"/>
            <rFont val="Tahoma"/>
            <family val="2"/>
          </rPr>
          <t>Primary Input:</t>
        </r>
        <r>
          <rPr>
            <sz val="9"/>
            <color indexed="81"/>
            <rFont val="Tahoma"/>
            <family val="2"/>
          </rPr>
          <t xml:space="preserve"> If you think the latest service offerings will results in faster than expected expansion of the service business than increase this growth rate. If not decrease the rate.</t>
        </r>
      </text>
    </comment>
    <comment ref="W68" authorId="0" shapeId="0" xr:uid="{D3DEEF5C-8963-4F36-8AFC-21632E3E5C37}">
      <text>
        <r>
          <rPr>
            <sz val="9"/>
            <color indexed="81"/>
            <rFont val="Tahoma"/>
            <family val="2"/>
          </rPr>
          <t>Excluding impact of revenue recognition change between products and services (adopted F1Q2019)</t>
        </r>
      </text>
    </comment>
    <comment ref="B74" authorId="0" shapeId="0" xr:uid="{00000000-0006-0000-0200-00003A000000}">
      <text>
        <r>
          <rPr>
            <sz val="9"/>
            <color indexed="81"/>
            <rFont val="Tahoma"/>
            <family val="2"/>
          </rPr>
          <t>Strength in the U.S. Dollar will bring revenue and gross margin down, so it is an important metric to watch when forecasting. In addition, management typically gives the expected impact from fx changes in their guidance.</t>
        </r>
      </text>
    </comment>
    <comment ref="L78" authorId="0" shapeId="0" xr:uid="{F7F630CF-2FF8-49BA-8A30-6B332B2584FC}">
      <text>
        <r>
          <rPr>
            <b/>
            <sz val="9"/>
            <color indexed="81"/>
            <rFont val="Tahoma"/>
            <family val="2"/>
          </rPr>
          <t xml:space="preserve">F1Q2019 Earnings Call: </t>
        </r>
        <r>
          <rPr>
            <sz val="9"/>
            <color indexed="81"/>
            <rFont val="Tahoma"/>
            <family val="2"/>
          </rPr>
          <t xml:space="preserve">"On a sequential basis [note this implies F4Q2018 Product gross margin was 33.7%], products gross margin increased 60 basis points due to positive leverage from the holiday quarter, partially offset by higher cost structures as we launched several new products and by headwinds from foreign exchange."
</t>
        </r>
      </text>
    </comment>
    <comment ref="P78" authorId="0" shapeId="0" xr:uid="{56EC4DD0-21CE-48C3-8FB9-6C3580D3F1C8}">
      <text>
        <r>
          <rPr>
            <b/>
            <sz val="9"/>
            <color indexed="81"/>
            <rFont val="Tahoma"/>
            <family val="2"/>
          </rPr>
          <t>Primary Input:</t>
        </r>
        <r>
          <rPr>
            <sz val="9"/>
            <color indexed="81"/>
            <rFont val="Tahoma"/>
            <family val="2"/>
          </rPr>
          <t xml:space="preserve"> If you think fx, memory prices, and other input costs will improve, increase the product gross margin. If not decrease the margin.</t>
        </r>
      </text>
    </comment>
    <comment ref="L79" authorId="0" shapeId="0" xr:uid="{96239ED7-B8F4-4F19-8045-BF1744A41D08}">
      <text>
        <r>
          <rPr>
            <b/>
            <sz val="9"/>
            <color indexed="81"/>
            <rFont val="Tahoma"/>
            <family val="2"/>
          </rPr>
          <t xml:space="preserve">F1Q2019 Earnings Call: </t>
        </r>
        <r>
          <rPr>
            <sz val="9"/>
            <color indexed="81"/>
            <rFont val="Tahoma"/>
            <family val="2"/>
          </rPr>
          <t xml:space="preserve">"Services gross margin also increased 170 basis points sequentially due to favorable mix and leverage, partially offset by foreign exchange. While both products and services gross margins improved sequentially, total company gross margin was down 30 basis points due to a different mix between products and services."
</t>
        </r>
      </text>
    </comment>
    <comment ref="D80" authorId="0" shapeId="0" xr:uid="{00000000-0006-0000-0200-00003F000000}">
      <text>
        <r>
          <rPr>
            <sz val="9"/>
            <color indexed="81"/>
            <rFont val="Tahoma"/>
            <family val="2"/>
          </rPr>
          <t>Management guided gross margin between 38% and 38.5% on  10/25/2016.</t>
        </r>
      </text>
    </comment>
    <comment ref="E80" authorId="0" shapeId="0" xr:uid="{00000000-0006-0000-0200-000040000000}">
      <text>
        <r>
          <rPr>
            <sz val="9"/>
            <color indexed="81"/>
            <rFont val="Tahoma"/>
            <family val="2"/>
          </rPr>
          <t>Management guided gross margin between 38% and 39% on  1/31/2017.</t>
        </r>
      </text>
    </comment>
    <comment ref="F80" authorId="0" shapeId="0" xr:uid="{00000000-0006-0000-0200-000041000000}">
      <text>
        <r>
          <rPr>
            <sz val="9"/>
            <color indexed="81"/>
            <rFont val="Tahoma"/>
            <family val="2"/>
          </rPr>
          <t>Management guided gross margin between 37.5% and 38.5% on  5/2/2017.</t>
        </r>
      </text>
    </comment>
    <comment ref="G80" authorId="0" shapeId="0" xr:uid="{00000000-0006-0000-0200-000042000000}">
      <text>
        <r>
          <rPr>
            <sz val="9"/>
            <color indexed="81"/>
            <rFont val="Tahoma"/>
            <family val="2"/>
          </rPr>
          <t>Management guided gross margin between 37.5% and 38% on  8/1/2017.</t>
        </r>
      </text>
    </comment>
    <comment ref="O80" authorId="0" shapeId="0" xr:uid="{935B8680-66F1-4406-B00D-DC6D604B2436}">
      <text>
        <r>
          <rPr>
            <sz val="9"/>
            <color indexed="81"/>
            <rFont val="Tahoma"/>
            <family val="2"/>
          </rPr>
          <t>Management guided gross margin between 37% and 38%. 
Source: F1Q2019 Earnings Call</t>
        </r>
      </text>
    </comment>
    <comment ref="P80" authorId="0" shapeId="0" xr:uid="{7AC34218-83C8-4730-AF11-D25907071F8F}">
      <text>
        <r>
          <rPr>
            <sz val="9"/>
            <color indexed="81"/>
            <rFont val="Tahoma"/>
            <family val="2"/>
          </rPr>
          <t>Management guided gross margin between 37% and 38%.
Source: F2Q2019 Earnings Call 4/30/2019</t>
        </r>
      </text>
    </comment>
    <comment ref="D82" authorId="0" shapeId="0" xr:uid="{00000000-0006-0000-0200-000047000000}">
      <text>
        <r>
          <rPr>
            <sz val="9"/>
            <color indexed="81"/>
            <rFont val="Tahoma"/>
            <family val="2"/>
          </rPr>
          <t>Management guided the tax rate to 26% on 10/25/2016.</t>
        </r>
      </text>
    </comment>
    <comment ref="E82" authorId="0" shapeId="0" xr:uid="{00000000-0006-0000-0200-000048000000}">
      <text>
        <r>
          <rPr>
            <sz val="9"/>
            <color indexed="81"/>
            <rFont val="Tahoma"/>
            <family val="2"/>
          </rPr>
          <t>Management guided the tax rate to 26% on 1/31/2017.</t>
        </r>
      </text>
    </comment>
    <comment ref="F82" authorId="0" shapeId="0" xr:uid="{00000000-0006-0000-0200-000049000000}">
      <text>
        <r>
          <rPr>
            <sz val="9"/>
            <color indexed="81"/>
            <rFont val="Tahoma"/>
            <family val="2"/>
          </rPr>
          <t>Management guided the tax rate to 25.5% on 5/2/2017.</t>
        </r>
      </text>
    </comment>
    <comment ref="G82" authorId="0" shapeId="0" xr:uid="{00000000-0006-0000-0200-00004A000000}">
      <text>
        <r>
          <rPr>
            <sz val="9"/>
            <color indexed="81"/>
            <rFont val="Tahoma"/>
            <family val="2"/>
          </rPr>
          <t>Management guided the tax rate to 25.5% on 8/1/2017.</t>
        </r>
      </text>
    </comment>
    <comment ref="O82" authorId="0" shapeId="0" xr:uid="{30989630-B345-41E3-B47C-594F45AE7452}">
      <text>
        <r>
          <rPr>
            <sz val="9"/>
            <color indexed="81"/>
            <rFont val="Tahoma"/>
            <family val="2"/>
          </rPr>
          <t xml:space="preserve">Management expects the tax rate to be 17%. 
Source: F1Q2019 </t>
        </r>
      </text>
    </comment>
    <comment ref="P82" authorId="0" shapeId="0" xr:uid="{5F686980-922F-430B-8B5D-3067072B82C9}">
      <text>
        <r>
          <rPr>
            <sz val="9"/>
            <color indexed="81"/>
            <rFont val="Tahoma"/>
            <family val="2"/>
          </rPr>
          <t>Management expects the tax rate to be 16.5%.
Source: F2Q2019 Earnings Call 4/30/2019</t>
        </r>
      </text>
    </comment>
    <comment ref="D95" authorId="0" shapeId="0" xr:uid="{82226958-381B-43BF-A686-52E9BBE6F274}">
      <text>
        <r>
          <rPr>
            <sz val="9"/>
            <color indexed="81"/>
            <rFont val="Tahoma"/>
            <family val="2"/>
          </rPr>
          <t>In August 2016, the Company entered into an accelerated share repurchase arrangement (“ASR”) to purchase up to $3.0 billion of the Company's common stock. In November 2016, the purchase period for this ASR ended and an additional 4.4 million shares were delivered and retired. In total, 26.9 million shares were delivered under this ASR at an average repurchase price of $111.73.</t>
        </r>
      </text>
    </comment>
    <comment ref="D98" authorId="0" shapeId="0" xr:uid="{C79354C7-3EF6-4C56-BDE8-7C9D3A6029CE}">
      <text>
        <r>
          <rPr>
            <sz val="9"/>
            <color indexed="81"/>
            <rFont val="Tahoma"/>
            <family val="2"/>
          </rPr>
          <t>In November 2016, the Company entered into a new ASR to purchase up to $6.0 billion of the Company’s common stock. In exchange for an up-front payment of $6.0 billion, the financial institution party to the arrangement committed to deliver shares to the Company during the ASR’s purchase period, which will end in February 2017. The total number of shares ultimately delivered, and therefore the average price paid per share, will be determined at the end of the applicable
purchase period based on the volume weighted-average price of the Company’s common stock during that period.</t>
        </r>
      </text>
    </comment>
    <comment ref="E98" authorId="0" shapeId="0" xr:uid="{4DE3C54F-C7CE-4BB0-8B4E-1400439C0B33}">
      <text>
        <r>
          <rPr>
            <sz val="9"/>
            <color indexed="81"/>
            <rFont val="Tahoma"/>
            <family val="2"/>
          </rPr>
          <t>In November 2016, the Company entered into an accelerated share repurchase arrangement (“ASR”) to purchase up to $6.0 billion of the Company's common stock. In February 2017, the purchase period for this ASR ended and an additional 6.3 million shares were delivered and retired. In total, 51.2 million shares were delivered under this ASR at an average repurchase price of $117.29</t>
        </r>
      </text>
    </comment>
    <comment ref="E101" authorId="0" shapeId="0" xr:uid="{61037398-64CB-47D7-9B64-6EE171B5D921}">
      <text>
        <r>
          <rPr>
            <sz val="9"/>
            <color indexed="81"/>
            <rFont val="Tahoma"/>
            <family val="2"/>
          </rPr>
          <t>In February 2017, the Company entered into a new ASR to purchase up to $3.0 billion of the Company’s common stock. In exchange for an up-front payment of
$3.0 billion , the financial institution party to the arrangement committed to deliver shares to the Company during the ASR’s purchase period, which will end in
May 2017. The total number of shares ultimately delivered, and therefore the average price paid per share, will be determined at the end of the applicable
purchase period based on the volume-weighted average price of the Company’s common stock during that period.</t>
        </r>
      </text>
    </comment>
    <comment ref="F101" authorId="0" shapeId="0" xr:uid="{4AF0ACFC-8045-4B32-A036-94FEE8CEF7C4}">
      <text>
        <r>
          <rPr>
            <sz val="9"/>
            <color indexed="81"/>
            <rFont val="Tahoma"/>
            <family val="2"/>
          </rPr>
          <t>In February 2017, the Company entered into an
accelerated share repurchase arrangement (“ASR”)
to purchase up to $3.0 billion of the Company’s common stock. In May 2017, the purchase period
for this ASR ended and an additional 3.4 million shares were delivered and retired. In total, 20.9 million shares were delivered under this ASR at an
average repurchase price of $143.20</t>
        </r>
      </text>
    </comment>
    <comment ref="G102" authorId="0" shapeId="0" xr:uid="{F95B2669-2167-4293-BDA1-8CAA02E758E2}">
      <text>
        <r>
          <rPr>
            <sz val="9"/>
            <color indexed="81"/>
            <rFont val="Tahoma"/>
            <family val="2"/>
          </rPr>
          <t>In May 2017, the Company entered into an accelerated share repurchase arrangement (“ASR”) to purchase up to $3.0 billion of the Company’s common stock. In August 2017, the purchase period for this ASR ended and an additional 4.5 million shares were delivered and retired. In total, 20.1 million shares were delivered under this ASR at an average repurchase price of $149.20</t>
        </r>
      </text>
    </comment>
    <comment ref="G105" authorId="0" shapeId="0" xr:uid="{11D6984D-0685-49A5-8DE0-D3C4703B8882}">
      <text>
        <r>
          <rPr>
            <sz val="9"/>
            <color indexed="81"/>
            <rFont val="Tahoma"/>
            <family val="2"/>
          </rPr>
          <t>In August 2017, the Company entered into a new ASR to purchase up to $3.0 billion of the Company’s common stock. In exchange for an up-front payment of $3.0 billion , the financial institution party to the arrangement committed to deliver shares to the Company during the ASR’s purchase period, which will end in November 2017 . The total number of shares ultimately delivered, and therefore the average price paid per share, will be determined at the end of the applicable purchase period based on the volume-weighted average price of the Company’s common stock during that period.</t>
        </r>
      </text>
    </comment>
    <comment ref="B152" authorId="0" shapeId="0" xr:uid="{2CB34FEE-A6AB-41CF-9640-0F36775A7156}">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B155" authorId="0" shapeId="0" xr:uid="{00000000-0006-0000-0200-00004D000000}">
      <text>
        <r>
          <rPr>
            <sz val="9"/>
            <color indexed="81"/>
            <rFont val="Tahoma"/>
            <family val="2"/>
          </rPr>
          <t>Includes purchases of components by outsourcing partners and other vendors that manufacture sub-assemblies or assemble final products.</t>
        </r>
      </text>
    </comment>
    <comment ref="B213" authorId="1" shapeId="0" xr:uid="{00000000-0006-0000-0200-000050000000}">
      <text>
        <r>
          <rPr>
            <sz val="9"/>
            <color indexed="81"/>
            <rFont val="Tahoma"/>
            <family val="2"/>
          </rPr>
          <t xml:space="preserve">*FCFF calculated as Cash Flow from Operations (CFO) + After tax interest expense - CapEx.
</t>
        </r>
      </text>
    </comment>
    <comment ref="B232" authorId="0" shapeId="0" xr:uid="{32E6A039-0E2C-40DA-8D7F-CFF0FD0C95F0}">
      <text>
        <r>
          <rPr>
            <sz val="9"/>
            <color indexed="81"/>
            <rFont val="Tahoma"/>
            <family val="2"/>
          </rPr>
          <t>Multiple Note 1)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5/30/2019.</t>
        </r>
      </text>
    </comment>
    <comment ref="B240" authorId="0" shapeId="0" xr:uid="{6EA92302-95AA-48D3-B7F8-359F91AA5AD4}">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5/30/2019.</t>
        </r>
      </text>
    </comment>
    <comment ref="C242" authorId="0" shapeId="0" xr:uid="{09112918-90F5-4D12-9B35-23D555C621B4}">
      <text>
        <r>
          <rPr>
            <sz val="9"/>
            <color indexed="81"/>
            <rFont val="Tahoma"/>
            <family val="2"/>
          </rPr>
          <t>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t>
        </r>
      </text>
    </comment>
    <comment ref="C246" authorId="0" shapeId="0" xr:uid="{B7BEB93B-BBD0-4B5A-B563-26BC8C1B05A0}">
      <text>
        <r>
          <rPr>
            <sz val="9"/>
            <color indexed="81"/>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247" authorId="0" shapeId="0" xr:uid="{68A2B7D5-D938-4F5B-81E7-951B0FEBFBC4}">
      <text>
        <r>
          <rPr>
            <sz val="9"/>
            <color indexed="81"/>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C256" authorId="0" shapeId="0" xr:uid="{5A3083D9-A955-4DDF-B08F-54EFB99F8CE1}">
      <text>
        <r>
          <rPr>
            <sz val="9"/>
            <color indexed="81"/>
            <rFont val="Tahoma"/>
            <family val="2"/>
          </rPr>
          <t>&gt;Assumes constant networking capital in the constant growth stage.
&gt;Assumes debt balance and interest expense remains constant in the constant growth stage, and that book value of debt approximates fair value.</t>
        </r>
      </text>
    </comment>
    <comment ref="C260" authorId="0" shapeId="0" xr:uid="{284C6EBC-749C-4405-B63E-65EBD673DCA3}">
      <text>
        <r>
          <rPr>
            <sz val="9"/>
            <color indexed="81"/>
            <rFont val="Tahoma"/>
            <family val="2"/>
          </rPr>
          <t>The Stage 2 long-term WACC assumes the weight and cost of debt remains constant, and cost of equity reaches the long-term average based on a long-term beta of 1.25 using the historic average VIX of 18.43%, the historic average 10-year U.S. Treasury rate of 6.23%, and Constant Sharpe of 0.312.</t>
        </r>
      </text>
    </comment>
    <comment ref="C262"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264" authorId="2" shapeId="0" xr:uid="{00000000-0006-0000-0200-000054000000}">
      <text>
        <r>
          <rPr>
            <sz val="9"/>
            <color indexed="81"/>
            <rFont val="Tahoma"/>
            <family val="2"/>
          </rPr>
          <t xml:space="preserve">This adds back cash and removes debt from the enterprise value to arrive at the equity only value
</t>
        </r>
      </text>
    </comment>
    <comment ref="B267" authorId="0" shapeId="0" xr:uid="{B6455EE5-C411-412F-973F-FB472F7E9E1B}">
      <text>
        <r>
          <rPr>
            <sz val="9"/>
            <color indexed="81"/>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5/30/2019</t>
        </r>
      </text>
    </comment>
  </commentList>
</comments>
</file>

<file path=xl/sharedStrings.xml><?xml version="1.0" encoding="utf-8"?>
<sst xmlns="http://schemas.openxmlformats.org/spreadsheetml/2006/main" count="1162" uniqueCount="405">
  <si>
    <t>Gross Profit</t>
  </si>
  <si>
    <t xml:space="preserve">Operating Income </t>
  </si>
  <si>
    <t xml:space="preserve">Income before income taxes </t>
  </si>
  <si>
    <t>Basic shares outstanding</t>
  </si>
  <si>
    <t xml:space="preserve">Diluted shares outstanding </t>
  </si>
  <si>
    <t>Selling, general and administrative</t>
  </si>
  <si>
    <t>Research and development</t>
  </si>
  <si>
    <t>Effective tax rate</t>
  </si>
  <si>
    <t>(Dollars in millions, except per share data)</t>
  </si>
  <si>
    <t>Inventories</t>
  </si>
  <si>
    <t>Total Current Assets</t>
  </si>
  <si>
    <t xml:space="preserve">Property, plant and equipment, net </t>
  </si>
  <si>
    <t>Total Assets</t>
  </si>
  <si>
    <t>Assets</t>
  </si>
  <si>
    <t>Liabilities</t>
  </si>
  <si>
    <t>Total Current liabilities</t>
  </si>
  <si>
    <t>Other current assets</t>
  </si>
  <si>
    <t>Deferred tax assets</t>
  </si>
  <si>
    <t>Other noncurrent assets</t>
  </si>
  <si>
    <t>Total liabilities</t>
  </si>
  <si>
    <t>Equity</t>
  </si>
  <si>
    <t>Common stock</t>
  </si>
  <si>
    <t>Accumulated other comprehensive income</t>
  </si>
  <si>
    <t>Total liabilities and equity</t>
  </si>
  <si>
    <t>Cash flows from operating activities</t>
  </si>
  <si>
    <t>Net income (loss)</t>
  </si>
  <si>
    <t>Deferred income taxes, net</t>
  </si>
  <si>
    <t>Other</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</si>
  <si>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</si>
  <si>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</si>
  <si>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</si>
  <si>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</si>
  <si>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</si>
  <si>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</si>
  <si>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</si>
  <si>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</si>
  <si>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Change in operating assets and liabilities</t>
  </si>
  <si>
    <t>Multiple Valuation</t>
  </si>
  <si>
    <t>Ratios</t>
  </si>
  <si>
    <t>SG&amp;A to sales</t>
  </si>
  <si>
    <t>R&amp;D to sales</t>
  </si>
  <si>
    <t>Balance Sheet Ratios &amp; Assumptions</t>
  </si>
  <si>
    <t>Receivables turnover</t>
  </si>
  <si>
    <t>Inventory turnover</t>
  </si>
  <si>
    <t>Number of days of payables</t>
  </si>
  <si>
    <t>Cash Flow Ratios &amp; Assumptions</t>
  </si>
  <si>
    <t>F3Q19E</t>
  </si>
  <si>
    <t>F4Q19E</t>
  </si>
  <si>
    <t>Share repurchase assumptions: average price</t>
  </si>
  <si>
    <t>Share repurchase: amount in the period ($M)</t>
  </si>
  <si>
    <t>Free Cash Flow to Firm (FCFF)*</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</si>
  <si>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</si>
  <si>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</si>
  <si>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</si>
  <si>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</si>
  <si>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</si>
  <si>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</si>
  <si>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</si>
  <si>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</si>
  <si>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</si>
  <si>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WACC Inputs</t>
  </si>
  <si>
    <t>P/E used for valuation</t>
  </si>
  <si>
    <t>Apple Inc Income Statement</t>
  </si>
  <si>
    <t>Apple Inc Balance Sheet</t>
  </si>
  <si>
    <t>Apple Inc Cash Flow Statement</t>
  </si>
  <si>
    <t>Provisions for income tax</t>
  </si>
  <si>
    <t>Dec-16</t>
  </si>
  <si>
    <t>Mar-17</t>
  </si>
  <si>
    <t>June-17</t>
  </si>
  <si>
    <t>Sept-17</t>
  </si>
  <si>
    <t>Dec-17</t>
  </si>
  <si>
    <t>Mar-18</t>
  </si>
  <si>
    <t>June-18</t>
  </si>
  <si>
    <t>Sept-18</t>
  </si>
  <si>
    <t>Dec-18</t>
  </si>
  <si>
    <t>Mar-19</t>
  </si>
  <si>
    <t>June-19</t>
  </si>
  <si>
    <t>Sept-19</t>
  </si>
  <si>
    <t>Dividends per share</t>
  </si>
  <si>
    <t>Cash and equivalents</t>
  </si>
  <si>
    <t>Short-term marketable securities</t>
  </si>
  <si>
    <t xml:space="preserve">Accounts receivables </t>
  </si>
  <si>
    <t>Long-term marketable securities</t>
  </si>
  <si>
    <t>Goodwill</t>
  </si>
  <si>
    <t>Acquired intangible assets, net</t>
  </si>
  <si>
    <t>Accounts payable</t>
  </si>
  <si>
    <t>Deferred revenue</t>
  </si>
  <si>
    <t>Deferred revenue (non-current)</t>
  </si>
  <si>
    <t>Long-term debt</t>
  </si>
  <si>
    <t>Other non-current liabilities</t>
  </si>
  <si>
    <t>Commitments and contingencies</t>
  </si>
  <si>
    <t xml:space="preserve">Retained earnings </t>
  </si>
  <si>
    <t>Total shareholders' equity</t>
  </si>
  <si>
    <t>Share-based compensation expense</t>
  </si>
  <si>
    <t>Accounts receivable</t>
  </si>
  <si>
    <t>Vendor non-trade receivables</t>
  </si>
  <si>
    <t>Other current and non-current liabilities</t>
  </si>
  <si>
    <t>Purchases of marketable securities</t>
  </si>
  <si>
    <t>Proceeds from maturities of securities</t>
  </si>
  <si>
    <t>Proceeds from sales of securities</t>
  </si>
  <si>
    <t>Payments made for acquisitions</t>
  </si>
  <si>
    <t>Proceeds from issuance of common stock</t>
  </si>
  <si>
    <t>Excess tax benefits from equity awards</t>
  </si>
  <si>
    <t>Taxes paid related to equity awards</t>
  </si>
  <si>
    <t>Repurchase of common stock</t>
  </si>
  <si>
    <t>Proceeds from issuance of long-term debt</t>
  </si>
  <si>
    <t>Proceeds from issuance of commercial paper</t>
  </si>
  <si>
    <t>Other investing activities</t>
  </si>
  <si>
    <t>Other financing activities</t>
  </si>
  <si>
    <t>Total sales by geography</t>
  </si>
  <si>
    <t>Americas net sales ($M)</t>
  </si>
  <si>
    <t>Japan net sales  ($M)</t>
  </si>
  <si>
    <t>Rest of Asia Pacific ($M)</t>
  </si>
  <si>
    <t>Other current and non-current assets</t>
  </si>
  <si>
    <t>Beta (relative to the S&amp;P500)</t>
  </si>
  <si>
    <t>Revenue growth (in perpetuity)</t>
  </si>
  <si>
    <t>NPV of stage-one cash flows</t>
  </si>
  <si>
    <t>Constant CFO growth rate</t>
  </si>
  <si>
    <t>DCF Valuation</t>
  </si>
  <si>
    <t>PV of terminal value</t>
  </si>
  <si>
    <t xml:space="preserve">Net income </t>
  </si>
  <si>
    <t xml:space="preserve">Basic EPS </t>
  </si>
  <si>
    <t xml:space="preserve">Diluted EPS </t>
  </si>
  <si>
    <t>Greater China sales  ($M)</t>
  </si>
  <si>
    <t>P/E 3-month high</t>
  </si>
  <si>
    <t>P/E 3-month low</t>
  </si>
  <si>
    <t>DCF Period (approximate number of years)</t>
  </si>
  <si>
    <t>Commercial paper/current portion of LT debt</t>
  </si>
  <si>
    <t>FY 2019E</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</si>
  <si>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</si>
  <si>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</si>
  <si>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</si>
  <si>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</si>
  <si>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</si>
  <si>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</si>
  <si>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F1Q20E</t>
  </si>
  <si>
    <t>Dec-19</t>
  </si>
  <si>
    <t>Mar-20</t>
  </si>
  <si>
    <t>June-20</t>
  </si>
  <si>
    <t>Sept-20</t>
  </si>
  <si>
    <t>F2Q20E</t>
  </si>
  <si>
    <t>F3Q20E</t>
  </si>
  <si>
    <t>F4Q20E</t>
  </si>
  <si>
    <t>FY 2020E</t>
  </si>
  <si>
    <t>Europe net sales  ($M)</t>
  </si>
  <si>
    <t>By obtaining this model you are deemed to have read and agreed to our Terms of Use. Visit our website for details: https://www.gutenbergresearch.com/terms-of-use.html</t>
  </si>
  <si>
    <t>GR</t>
  </si>
  <si>
    <t>Sales by Geography</t>
  </si>
  <si>
    <t>Estimates by Product - iPhone</t>
  </si>
  <si>
    <t>Estimates by Product - iPad</t>
  </si>
  <si>
    <t>Ratio Analysis</t>
  </si>
  <si>
    <t>Services revenue ($M)</t>
  </si>
  <si>
    <t>Shares repurchased (in millions)</t>
  </si>
  <si>
    <t>Risk Free (12 mo ave 10yr US-T)</t>
  </si>
  <si>
    <t>Dec-20</t>
  </si>
  <si>
    <t>Mar-21</t>
  </si>
  <si>
    <t>June-21</t>
  </si>
  <si>
    <t>Sept-21</t>
  </si>
  <si>
    <t>F1Q21E</t>
  </si>
  <si>
    <t>F2Q21E</t>
  </si>
  <si>
    <t>F3Q21E</t>
  </si>
  <si>
    <t>F4Q21E</t>
  </si>
  <si>
    <t>FY 2021E</t>
  </si>
  <si>
    <t>F1Q17</t>
  </si>
  <si>
    <t xml:space="preserve">Other Important Data Points </t>
  </si>
  <si>
    <t>Trade Weighted U.S. Dollar Index</t>
  </si>
  <si>
    <t>FRED Graph Observations</t>
  </si>
  <si>
    <t>Federal Reserve Economic Data</t>
  </si>
  <si>
    <t>Link: https://fred.stlouisfed.org</t>
  </si>
  <si>
    <t>Help: https://fred.stlouisfed.org/help-faq</t>
  </si>
  <si>
    <t>Economic Research Division</t>
  </si>
  <si>
    <t>Federal Reserve Bank of St. Louis</t>
  </si>
  <si>
    <t>DTWEXB</t>
  </si>
  <si>
    <t>Frequency: Daily</t>
  </si>
  <si>
    <t>observation_date</t>
  </si>
  <si>
    <t>Average</t>
  </si>
  <si>
    <t xml:space="preserve">Net Cash and investments per share </t>
  </si>
  <si>
    <t>Debt-to-Equity Ratio</t>
  </si>
  <si>
    <t>Dividend growth rate (YoY)</t>
  </si>
  <si>
    <t>Commercial Paper and ST Debt-to-Total Debt</t>
  </si>
  <si>
    <t>Capex-to-Sales</t>
  </si>
  <si>
    <t>Capex growth rate (QoQ)</t>
  </si>
  <si>
    <t>Percent change in Dollar Index (YoY)</t>
  </si>
  <si>
    <t>Day Count (number of days in the quarter)</t>
  </si>
  <si>
    <t>Days of inventory on hand</t>
  </si>
  <si>
    <t>Days sales outstanding</t>
  </si>
  <si>
    <t>Payables turnover</t>
  </si>
  <si>
    <t>Cash conversion cycle</t>
  </si>
  <si>
    <t>Interest and dividend income</t>
  </si>
  <si>
    <t>Interest expense</t>
  </si>
  <si>
    <t>Other income/(expense)</t>
  </si>
  <si>
    <t>Total other income/(expense)</t>
  </si>
  <si>
    <t>Share Count Analysis</t>
  </si>
  <si>
    <t>Growth in total debt (QoQ)</t>
  </si>
  <si>
    <t>Segment &amp; Product Data</t>
  </si>
  <si>
    <t>Net Cash from Operations growth rate (YoY)</t>
  </si>
  <si>
    <t>F2Q17</t>
  </si>
  <si>
    <t>Services growth rate (YoY)</t>
  </si>
  <si>
    <t>Services Revenue</t>
  </si>
  <si>
    <t>EBITDA</t>
  </si>
  <si>
    <t>Total Deferred Revenue-to-Prior 4 Quarters of Revenue</t>
  </si>
  <si>
    <t>Mean monthly return</t>
  </si>
  <si>
    <t xml:space="preserve">Standard deviation </t>
  </si>
  <si>
    <t>Implied upper bound</t>
  </si>
  <si>
    <t>Implied Lower bound</t>
  </si>
  <si>
    <t>Implied target value</t>
  </si>
  <si>
    <t>Implied 50/50 average target value</t>
  </si>
  <si>
    <t xml:space="preserve">Implied target price band </t>
  </si>
  <si>
    <t>Deferred revenue (current portion)</t>
  </si>
  <si>
    <t>Vendor non-trade receivables turnover</t>
  </si>
  <si>
    <t>Payments for acquisition of PPE</t>
  </si>
  <si>
    <t>Payments for acquisition of intangible assets</t>
  </si>
  <si>
    <t>Share-based compensation to Sales</t>
  </si>
  <si>
    <t>Estimates by Product - Mac</t>
  </si>
  <si>
    <t>F3Q17</t>
  </si>
  <si>
    <t>Dividends paid (outflow reported as negative)</t>
  </si>
  <si>
    <t>F4Q17</t>
  </si>
  <si>
    <t>FY 2017</t>
  </si>
  <si>
    <t>F1Q18</t>
  </si>
  <si>
    <t>F2Q18</t>
  </si>
  <si>
    <t>F3Q18</t>
  </si>
  <si>
    <t>F4Q18</t>
  </si>
  <si>
    <t>FY 2018</t>
  </si>
  <si>
    <t>F1Q19</t>
  </si>
  <si>
    <t>Total net sales</t>
  </si>
  <si>
    <t>Product sales</t>
  </si>
  <si>
    <t>Service sales</t>
  </si>
  <si>
    <t>Total cost of sales</t>
  </si>
  <si>
    <t>Product cost of sales</t>
  </si>
  <si>
    <t>Service cost of sales</t>
  </si>
  <si>
    <t>Accrued expenses and other current liabilities</t>
  </si>
  <si>
    <t>May '17 ASR - Share repurchase assumptions: average price</t>
  </si>
  <si>
    <t>May '17ASR - Share repurchase: amount in the period ($M)</t>
  </si>
  <si>
    <t>May '17 ASR -Shares repurchased (in millions)</t>
  </si>
  <si>
    <t>Aug '17 ASR - Share repurchase assumptions: average price</t>
  </si>
  <si>
    <t>Aug '17ASR - Share repurchase: amount in the period ($M)</t>
  </si>
  <si>
    <t>Aug '17 ASR -Shares repurchased (in millions)</t>
  </si>
  <si>
    <t>Nov '16 ASR - Share repurchase assumptions: average price</t>
  </si>
  <si>
    <t>Nov '16 ASR - Share repurchase: amount in the period ($M)</t>
  </si>
  <si>
    <t>Nov '16 ASR -Shares repurchased (in millions)</t>
  </si>
  <si>
    <t>Aug '16 ASR - Share repurchase assumptions: average price</t>
  </si>
  <si>
    <t>Aug '16 ASR - Share repurchase: amount in the period ($M)</t>
  </si>
  <si>
    <t>Aug '16 ASR -Shares repurchased (in millions)</t>
  </si>
  <si>
    <t>Feb '17 ASR - Share repurchase assumptions: average price</t>
  </si>
  <si>
    <t>Feb '17 ASR - Share repurchase: amount in the period ($M)</t>
  </si>
  <si>
    <t>Feb '17 ASR -Shares repurchased (in millions)</t>
  </si>
  <si>
    <t>Nov '17 ASR - Share repurchase assumptions: average price</t>
  </si>
  <si>
    <t>Nov '17ASR - Share repurchase: amount in the period ($M)</t>
  </si>
  <si>
    <t>Nov '17 ASR -Shares repurchased (in millions)</t>
  </si>
  <si>
    <t>Notes &amp; Instructions</t>
  </si>
  <si>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</si>
  <si>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</si>
  <si>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</si>
  <si>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</si>
  <si>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</si>
  <si>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</si>
  <si>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</si>
  <si>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</si>
  <si>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</si>
  <si>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</si>
  <si>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</si>
  <si>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</si>
  <si>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</si>
  <si>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</si>
  <si>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</si>
  <si>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</si>
  <si>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Adjusted Close</t>
  </si>
  <si>
    <t>Volume</t>
  </si>
  <si>
    <t>Monthly return</t>
  </si>
  <si>
    <t>Diff from mean</t>
  </si>
  <si>
    <t>Diff Squared</t>
  </si>
  <si>
    <t>Mean</t>
  </si>
  <si>
    <t>Sum of squared differences</t>
  </si>
  <si>
    <t>Variance</t>
  </si>
  <si>
    <t>Standard Deviation</t>
  </si>
  <si>
    <t>check</t>
  </si>
  <si>
    <t>Absolute value of mean monthly return</t>
  </si>
  <si>
    <t>Dec-21</t>
  </si>
  <si>
    <t>Mar-22</t>
  </si>
  <si>
    <t>June-22</t>
  </si>
  <si>
    <t>Sept-22</t>
  </si>
  <si>
    <t>F1Q22E</t>
  </si>
  <si>
    <t>F2Q22E</t>
  </si>
  <si>
    <t>F3Q22E</t>
  </si>
  <si>
    <t>F4Q22E</t>
  </si>
  <si>
    <t>FY 2022E</t>
  </si>
  <si>
    <t>Dec-22</t>
  </si>
  <si>
    <t>Mar-23</t>
  </si>
  <si>
    <t>June-23</t>
  </si>
  <si>
    <t>Sept-23</t>
  </si>
  <si>
    <t>F1Q23E</t>
  </si>
  <si>
    <t>F2Q23E</t>
  </si>
  <si>
    <t>F3Q23E</t>
  </si>
  <si>
    <t>F4Q23E</t>
  </si>
  <si>
    <t>FY 2023E</t>
  </si>
  <si>
    <t>Mac revenue ($M)</t>
  </si>
  <si>
    <t>iPad revenue ($M)</t>
  </si>
  <si>
    <t>Wearables, Home &amp; Accessories</t>
  </si>
  <si>
    <t>Wearables, Home &amp; Accessories revenue ($M)</t>
  </si>
  <si>
    <t>iPhone products revenue ($M)</t>
  </si>
  <si>
    <t>iPhone product revenue growth rate  (YoY)</t>
  </si>
  <si>
    <t>iPad revenue growth rate  (YoY)</t>
  </si>
  <si>
    <t>Mac product revenue growth rate  (YoY)</t>
  </si>
  <si>
    <t>Wearables product revenue  growth rate  (YoY)</t>
  </si>
  <si>
    <t>Products - gross margin</t>
  </si>
  <si>
    <t>Services - gross margin</t>
  </si>
  <si>
    <t>Total - gross margin</t>
  </si>
  <si>
    <t>Operating margin</t>
  </si>
  <si>
    <t>Reconciliation</t>
  </si>
  <si>
    <t>Product revenue</t>
  </si>
  <si>
    <r>
      <t xml:space="preserve">Estimated iPhone </t>
    </r>
    <r>
      <rPr>
        <u/>
        <sz val="11"/>
        <color theme="1"/>
        <rFont val="Calibri"/>
        <family val="2"/>
        <scheme val="minor"/>
      </rPr>
      <t>service</t>
    </r>
    <r>
      <rPr>
        <sz val="11"/>
        <color theme="1"/>
        <rFont val="Calibri"/>
        <family val="2"/>
        <scheme val="minor"/>
      </rPr>
      <t xml:space="preserve"> revenue (prior to FY2018)</t>
    </r>
  </si>
  <si>
    <r>
      <t xml:space="preserve">Estimated iPad </t>
    </r>
    <r>
      <rPr>
        <u/>
        <sz val="11"/>
        <color theme="1"/>
        <rFont val="Calibri"/>
        <family val="2"/>
        <scheme val="minor"/>
      </rPr>
      <t>service</t>
    </r>
    <r>
      <rPr>
        <sz val="11"/>
        <color theme="1"/>
        <rFont val="Calibri"/>
        <family val="2"/>
        <scheme val="minor"/>
      </rPr>
      <t xml:space="preserve"> revenue (prior to FY2018)</t>
    </r>
  </si>
  <si>
    <t xml:space="preserve">Service revenue </t>
  </si>
  <si>
    <r>
      <t xml:space="preserve">Estimated Mac </t>
    </r>
    <r>
      <rPr>
        <u/>
        <sz val="11"/>
        <color theme="1"/>
        <rFont val="Calibri"/>
        <family val="2"/>
        <scheme val="minor"/>
      </rPr>
      <t>service</t>
    </r>
    <r>
      <rPr>
        <sz val="11"/>
        <color theme="1"/>
        <rFont val="Calibri"/>
        <family val="2"/>
        <scheme val="minor"/>
      </rPr>
      <t xml:space="preserve"> revenue (prior to FY2018)</t>
    </r>
  </si>
  <si>
    <r>
      <t xml:space="preserve">Estimated Other </t>
    </r>
    <r>
      <rPr>
        <u/>
        <sz val="11"/>
        <color theme="1"/>
        <rFont val="Calibri"/>
        <family val="2"/>
        <scheme val="minor"/>
      </rPr>
      <t>service</t>
    </r>
    <r>
      <rPr>
        <sz val="11"/>
        <color theme="1"/>
        <rFont val="Calibri"/>
        <family val="2"/>
        <scheme val="minor"/>
      </rPr>
      <t xml:space="preserve"> revenue (prior to FY2018)</t>
    </r>
  </si>
  <si>
    <t>Sales by geography</t>
  </si>
  <si>
    <t>Trade Weighted U.S. Dollar Index: Broad, Goods, Index Jan 1997=100, Daily, Not Seasonally Adjusted</t>
  </si>
  <si>
    <t>https://fred.stlouisfed.org/series/DTWEXB</t>
  </si>
  <si>
    <t>Fiscal Quarter</t>
  </si>
  <si>
    <t>Dec-2016 F1Q2017</t>
  </si>
  <si>
    <t>Sept-2016 F4Q2016</t>
  </si>
  <si>
    <t>Mar-2017 F2Q2017</t>
  </si>
  <si>
    <t>June-2017 F3Q2017</t>
  </si>
  <si>
    <t>Sept-2017 F4Q2017</t>
  </si>
  <si>
    <t>Dec-2017 F1Q2018</t>
  </si>
  <si>
    <t>March-2018 F2Q2018</t>
  </si>
  <si>
    <t>June-2018 F3Q2018</t>
  </si>
  <si>
    <t>Sept-2018 F4Q2018</t>
  </si>
  <si>
    <t>Dec-2018 F1Q2019</t>
  </si>
  <si>
    <t>Mar-2019 F2Q2019</t>
  </si>
  <si>
    <t>Average after guidance given</t>
  </si>
  <si>
    <t>Average before guidance given (i.e. considered in guidance)</t>
  </si>
  <si>
    <t>Conclusion: The dollar increased in value after management finished their guidance, but not significantly, so te strength of the dollar should already be included in the guidance.</t>
  </si>
  <si>
    <t xml:space="preserve">Cash and investments </t>
  </si>
  <si>
    <t>Total Debt</t>
  </si>
  <si>
    <t>Net Cash per share</t>
  </si>
  <si>
    <t>Depreciation to average PP&amp;E</t>
  </si>
  <si>
    <t xml:space="preserve">Total depreciation and amortization </t>
  </si>
  <si>
    <t>Current Def Revenue-to-Total Def Revenue</t>
  </si>
  <si>
    <t>Short-term securities as a % total investments</t>
  </si>
  <si>
    <t>Investments as a % of total assets</t>
  </si>
  <si>
    <t>Tax on  equity awards as a % of SBC</t>
  </si>
  <si>
    <t>2016 Services revenue (as originally reported)</t>
  </si>
  <si>
    <t>Interest income as a % of cash &amp; investments</t>
  </si>
  <si>
    <t>Interest expense as a % of debt</t>
  </si>
  <si>
    <t>P/E 3-month average</t>
  </si>
  <si>
    <t>Adjustments</t>
  </si>
  <si>
    <t>DCF check</t>
  </si>
  <si>
    <t>Target share price</t>
  </si>
  <si>
    <t>Stage 1 WACC</t>
  </si>
  <si>
    <t>Constant Growth Stage Assumptions</t>
  </si>
  <si>
    <t>Stage 2 Long-Term WACC</t>
  </si>
  <si>
    <t>Constant market Sharpe ratio</t>
  </si>
  <si>
    <t>S&amp;P500 implied volatility</t>
  </si>
  <si>
    <t>Risk Estimation Summary</t>
  </si>
  <si>
    <t>Revenue growth rate (YoY)</t>
  </si>
  <si>
    <t>iPhone: Drop in growth rate for F1Q2019 due to: FX/China weakness, drop in subsidies, battery replacement program.</t>
  </si>
  <si>
    <t xml:space="preserve">iPad: F1Q19 increase due to release of iPad Pro in November 2018. </t>
  </si>
  <si>
    <t xml:space="preserve">Mac: F1Q19 increase due to release of Macbook Air and Mac Mini in October 2018. </t>
  </si>
  <si>
    <t>Wearables: Strength in AirPods and Apple Watch</t>
  </si>
  <si>
    <t>Target double the Fiscal 2016 Serives revenue by Fiscal 2020 (~$48.7B)</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</si>
  <si>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</si>
  <si>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each product's (and services) year-over-year revenue growth rate, gross margin of the products and services businesses, and operating expense estimates. Management's guidance is used as a reasonableness check against the forecasts entered into this model. Total revenue is calibrated to meet consensus estimates by adjusting the iPhone revenue growth rate.</t>
    </r>
  </si>
  <si>
    <r>
      <rPr>
        <b/>
        <sz val="11"/>
        <color theme="1"/>
        <rFont val="Calibri"/>
        <family val="2"/>
        <scheme val="minor"/>
      </rPr>
      <t>Property &amp; Equipment (P&amp;E):</t>
    </r>
    <r>
      <rPr>
        <sz val="11"/>
        <color theme="1"/>
        <rFont val="Calibri"/>
        <family val="2"/>
        <scheme val="minor"/>
      </rPr>
      <t xml:space="preserve"> Based on a sequential capex growth rate forecast, and estimates for depreciation.</t>
    </r>
  </si>
  <si>
    <r>
      <rPr>
        <b/>
        <sz val="11"/>
        <color theme="1"/>
        <rFont val="Calibri"/>
        <family val="2"/>
        <scheme val="minor"/>
      </rPr>
      <t xml:space="preserve">Equity Section: </t>
    </r>
    <r>
      <rPr>
        <sz val="11"/>
        <color theme="1"/>
        <rFont val="Calibri"/>
        <family val="2"/>
        <scheme val="minor"/>
      </rPr>
      <t>Common stock is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</si>
  <si>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r>
      <t xml:space="preserve">Cash Flow Statement: </t>
    </r>
    <r>
      <rPr>
        <sz val="11"/>
        <color theme="1"/>
        <rFont val="Calibri"/>
        <family val="2"/>
        <scheme val="minor"/>
      </rPr>
      <t>Generally driven by the net income from the Income statement, adjusted for non-cash items, and changes in Balance Sheet accounts.</t>
    </r>
  </si>
  <si>
    <t>2) Gross margin between 37% and 38%.</t>
  </si>
  <si>
    <t xml:space="preserve">Excerpt from MD&amp;A section of SEC filing (source: 10-Q filing for January 30, 2019) </t>
  </si>
  <si>
    <r>
      <rPr>
        <b/>
        <sz val="11"/>
        <color theme="1"/>
        <rFont val="Calibri"/>
        <family val="2"/>
        <scheme val="minor"/>
      </rPr>
      <t>Note:</t>
    </r>
    <r>
      <rPr>
        <sz val="11"/>
        <color theme="1"/>
        <rFont val="Calibri"/>
        <family val="2"/>
        <scheme val="minor"/>
      </rPr>
      <t xml:space="preserve"> Please refer to the full 10-Q including the Management's Discussion and Analysis (MD&amp;A) section available at www.SEC.gov</t>
    </r>
  </si>
  <si>
    <r>
      <rPr>
        <b/>
        <sz val="11"/>
        <color theme="1"/>
        <rFont val="Calibri"/>
        <family val="2"/>
        <scheme val="minor"/>
      </rPr>
      <t xml:space="preserve">First Quarter Fiscal 2019 Highlights
</t>
    </r>
    <r>
      <rPr>
        <sz val="11"/>
        <color theme="1"/>
        <rFont val="Calibri"/>
        <family val="2"/>
        <scheme val="minor"/>
      </rPr>
      <t>Total net sales decreased 5% or $4.0 billion during the first quarter of 2019 compared to the same quarter in 2018, driven by lower iPhone net sales, partially offset primarily by higher Wearables, Home and Accessories and Services net sales. The weakness in foreign currencies relative to the U.S. dollar had an unfavorable impact on net sales during the first quarter of 2019.
The Company began shipping iPhone X R in October 2018. During the first quarter of 2019, the Company introduced two new versions of iPad Pro ® as well as a new Apple Pencil ® and Smart Keyboard Folio™, all of which began shipping in November 2018. The Company also introduced a new version of MacBook Air ® and a new Mac mini ® , both of which began shipping in November 2018.</t>
    </r>
  </si>
  <si>
    <r>
      <rPr>
        <b/>
        <sz val="11"/>
        <color theme="1"/>
        <rFont val="Calibri"/>
        <family val="2"/>
        <scheme val="minor"/>
      </rPr>
      <t xml:space="preserve">Americas: </t>
    </r>
    <r>
      <rPr>
        <sz val="11"/>
        <color theme="1"/>
        <rFont val="Calibri"/>
        <family val="2"/>
        <scheme val="minor"/>
      </rPr>
      <t xml:space="preserve">Americas net sales increased during the first quarter of 2019 compared to the same quarter in 2018 due primarily to higher Wearables, Home and Accessories and Services net sales, partially offset by lower iPhone net sales. The weakness in foreign currencies relative to the U.S. dollar had an unfavorable impact on Americas net sales during the first quarter of 2019.
</t>
    </r>
    <r>
      <rPr>
        <b/>
        <sz val="11"/>
        <color theme="1"/>
        <rFont val="Calibri"/>
        <family val="2"/>
        <scheme val="minor"/>
      </rPr>
      <t xml:space="preserve">Europe: </t>
    </r>
    <r>
      <rPr>
        <sz val="11"/>
        <color theme="1"/>
        <rFont val="Calibri"/>
        <family val="2"/>
        <scheme val="minor"/>
      </rPr>
      <t xml:space="preserve">Europe net sales decreased during the first quarter of 2019 compared to the same quarter in 2018 due primarily to lower iPhone net sales, partially offset by higher Wearables, Home and Accessories and Services net sales. The weakness in foreign currencies relative to the U.S. dollar had an unfavorable impact on Europe net sales during the first quarter of 2019.
</t>
    </r>
    <r>
      <rPr>
        <b/>
        <sz val="11"/>
        <color theme="1"/>
        <rFont val="Calibri"/>
        <family val="2"/>
        <scheme val="minor"/>
      </rPr>
      <t xml:space="preserve">Greater China: </t>
    </r>
    <r>
      <rPr>
        <sz val="11"/>
        <color theme="1"/>
        <rFont val="Calibri"/>
        <family val="2"/>
        <scheme val="minor"/>
      </rPr>
      <t xml:space="preserve">Greater China net sales decreased during the first quarter of 2019 compared to the same quarter in 2018 due primarily to lower iPhone net sales.
</t>
    </r>
    <r>
      <rPr>
        <b/>
        <sz val="11"/>
        <color theme="1"/>
        <rFont val="Calibri"/>
        <family val="2"/>
        <scheme val="minor"/>
      </rPr>
      <t xml:space="preserve">Japan: </t>
    </r>
    <r>
      <rPr>
        <sz val="11"/>
        <color theme="1"/>
        <rFont val="Calibri"/>
        <family val="2"/>
        <scheme val="minor"/>
      </rPr>
      <t xml:space="preserve">Japan net sales decreased during the first quarter of 2019 compared to the same quarter in 2018 due primarily to lower iPhone net sales, partially offset by higher Services and iPad net sales.
</t>
    </r>
    <r>
      <rPr>
        <b/>
        <sz val="11"/>
        <color theme="1"/>
        <rFont val="Calibri"/>
        <family val="2"/>
        <scheme val="minor"/>
      </rPr>
      <t xml:space="preserve">Rest of Asia Pacific: </t>
    </r>
    <r>
      <rPr>
        <sz val="11"/>
        <color theme="1"/>
        <rFont val="Calibri"/>
        <family val="2"/>
        <scheme val="minor"/>
      </rPr>
      <t>Rest of Asia Pacific net sales during the first quarter of 2019 were generally flat compared to the same quarter in 2018, as higher Wearables, Home and Accessories and Services net sales were offset by lower iPhone net sales. The weakness in foreign currencies relative to the U.S. dollar had an unfavorable impact on Rest of Asia Pacific net sales during the first quarter of 2019.</t>
    </r>
  </si>
  <si>
    <r>
      <rPr>
        <b/>
        <sz val="11"/>
        <color theme="1"/>
        <rFont val="Calibri"/>
        <family val="2"/>
        <scheme val="minor"/>
      </rPr>
      <t xml:space="preserve">Products Gross Margin: </t>
    </r>
    <r>
      <rPr>
        <sz val="11"/>
        <color theme="1"/>
        <rFont val="Calibri"/>
        <family val="2"/>
        <scheme val="minor"/>
      </rPr>
      <t xml:space="preserve">Products gross margin decreased during the first quarter of 2019 compared to the same quarter in 2018 due primarily to lower iPhone unit sales and the weakness in foreign currencies relative to the U.S. dollar, partially offset by higher net sales of Mac, iPad and Wearables. Year-over-year products gross margin percentage decreased during the first quarter of 2019 due primarily to a different product mix and the impact of lower iPhone unit sales on the Company’s products fixed cost structure.
</t>
    </r>
    <r>
      <rPr>
        <b/>
        <sz val="11"/>
        <color theme="1"/>
        <rFont val="Calibri"/>
        <family val="2"/>
        <scheme val="minor"/>
      </rPr>
      <t xml:space="preserve">Services Gross Margin: </t>
    </r>
    <r>
      <rPr>
        <sz val="11"/>
        <color theme="1"/>
        <rFont val="Calibri"/>
        <family val="2"/>
        <scheme val="minor"/>
      </rPr>
      <t>Services gross margin increased during the first quarter of 2019 compared to the same quarter in 2018 due primarily to a different services mix. Year-over-year services gross margin percentage increased during the first quarter of 2019 due primarily to a favorable mix of services with higher margins and the impact of higher services net sales on the Company’s services fixed cost structure.</t>
    </r>
  </si>
  <si>
    <r>
      <rPr>
        <b/>
        <sz val="11"/>
        <color theme="1"/>
        <rFont val="Calibri"/>
        <family val="2"/>
        <scheme val="minor"/>
      </rPr>
      <t>Research and Development:</t>
    </r>
    <r>
      <rPr>
        <sz val="11"/>
        <color theme="1"/>
        <rFont val="Calibri"/>
        <family val="2"/>
        <scheme val="minor"/>
      </rPr>
      <t xml:space="preserve"> The growth in R&amp;D expense during the first quarter of 2019 compared to the same quarter in 2018 was driven primarily by increases in headcount-related expenses and infrastructure-related costs. The Company continues to believe that focused investments in R&amp;D are critical to its future growth and competitive position in the marketplace, and to the development of new and updated products and services that are central to the Company’s core business strategy.
</t>
    </r>
    <r>
      <rPr>
        <b/>
        <sz val="11"/>
        <color theme="1"/>
        <rFont val="Calibri"/>
        <family val="2"/>
        <scheme val="minor"/>
      </rPr>
      <t xml:space="preserve">Selling, General and Administrative: </t>
    </r>
    <r>
      <rPr>
        <sz val="11"/>
        <color theme="1"/>
        <rFont val="Calibri"/>
        <family val="2"/>
        <scheme val="minor"/>
      </rPr>
      <t>The growth in selling, general and administrative expense during the first quarter of 2019 compared to the same quarter in 2018 was driven primarily by increases in professional fees and headcount-related expenses.</t>
    </r>
  </si>
  <si>
    <t>Model Changes Made in March-2019</t>
  </si>
  <si>
    <t>2) Simplified the turnover ratios: When a ratio includes metrics from the Balance Sheet and Income Statement, an average of the Balance Sheet accounts should be used in the calculation; However, this introduces too much complexity in the model's underlying equations and the potential for circular reference errors. To simplify the approach we now use only the current period in the ratio calculation rather than an average of the last two periods. If you would like to adjust the forecast (blue cells) to compensate for significant Balance Sheet changes, you may do so.</t>
  </si>
  <si>
    <t>3) Given the corporate tax reform which was passed in 2018, deferred tax liabilities on earnings from foreign subsidiaries (repatriation tax) is less significant; Therefore we have removed the DTL forecast calculation from this model.</t>
  </si>
  <si>
    <t>5) Changed the modeling approach of total investments to be based on a percentage of total assets from a sequential growth rate.</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</si>
  <si>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For example, In the Apple model the fiscal 2Q2019 estimate for iPhone revenue (cell O50 below), along with the estimates of the other product's revenue must be calibrated to meet the consensus total revenue estimate. We could simply enter the percentage which would achieve this calibration, however we want to give the user the visibility for how the growth estimate was derived, not just for this quarter, but for all the forecast quarters, so we begin with the average growth rate from the last four quarters, then subtract the percentage required to meet the consensus estimate (note the -28.78% at the end of the average calculation in cell O50). You will see similar equations in the other blue cells throughout the model, which will help you understand how we developed our forecast. You may then adjust the blue cells based on your own beliefs about the future prospects for each metric. </t>
    </r>
  </si>
  <si>
    <t>1) Added cash to the denominator in the interest income calculation. When this model was originally built interest rates on short-term instruments were negligible. Rates have since increased significantly.</t>
  </si>
  <si>
    <t>4) Since Apple Inc's intangible assets are no longer reported separately from other assets on the face of the Balance Sheet, and given the fact that acquired intangibles amortization is de minims, we will no longer break the amortization out of depreciation and amortization.</t>
  </si>
  <si>
    <t xml:space="preserve">Comparison of 2020 to 2016 </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</si>
  <si>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</si>
  <si>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t>Purple cells = Company guidance (updated 4/30/2019)</t>
  </si>
  <si>
    <t>F2Q19</t>
  </si>
  <si>
    <t>Feb '19 ASR - Share repurchase assumptions: average price</t>
  </si>
  <si>
    <t>Feb '19 ASR - Share repurchase: amount in the period ($M)</t>
  </si>
  <si>
    <t>Feb '19 ASR -Shares repurchased (in millions)</t>
  </si>
  <si>
    <t>Restricted Cash</t>
  </si>
  <si>
    <t>Cash and equivalents at end of period (exRestricted Cash)</t>
  </si>
  <si>
    <t xml:space="preserve">Latest Company Guidance for Fiscal 3Q2019 (source: F2Q2019 earnings call on 4/30/2019) </t>
  </si>
  <si>
    <t>1) Revenue between $52.5B and $54.5B.</t>
  </si>
  <si>
    <t>3) Operating expenses between $8.7B and $8.8B.</t>
  </si>
  <si>
    <t>4) Other income/(expense) of $250M.</t>
  </si>
  <si>
    <t>5) Tax rate of approximately 16.5%.</t>
  </si>
  <si>
    <t>Installed base of active devices (in Billions)</t>
  </si>
  <si>
    <t>CFO Growth Rate (YoY)</t>
  </si>
  <si>
    <t>CFO less Capex</t>
  </si>
  <si>
    <t xml:space="preserve">Accrued expenses to revenue </t>
  </si>
  <si>
    <t>Date of Last guidance</t>
  </si>
  <si>
    <r>
      <t xml:space="preserve">Last updated: </t>
    </r>
    <r>
      <rPr>
        <sz val="11"/>
        <color theme="1"/>
        <rFont val="Calibri"/>
        <family val="2"/>
        <scheme val="minor"/>
      </rPr>
      <t>5/30/2019</t>
    </r>
  </si>
  <si>
    <t>Blue cells = Gutenberg estimates (last updated 5/30/2019)</t>
  </si>
  <si>
    <t>Orange cells = Consensus estimates (Updated 5/30/2019)</t>
  </si>
  <si>
    <t>F2Q2019</t>
  </si>
  <si>
    <r>
      <rPr>
        <b/>
        <sz val="11"/>
        <color theme="1"/>
        <rFont val="Calibri"/>
        <family val="2"/>
        <scheme val="minor"/>
      </rPr>
      <t>Last updated:</t>
    </r>
    <r>
      <rPr>
        <sz val="11"/>
        <color theme="1"/>
        <rFont val="Calibri"/>
        <family val="2"/>
        <scheme val="minor"/>
      </rPr>
      <t xml:space="preserve"> 5/30/2019</t>
    </r>
  </si>
  <si>
    <t>Ave CapEx (% of sales, LT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</si>
</sst>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yyyy\-mm\-dd"/>
    <numFmt numFmtId="226" formatCode="0.0000"/>
    <numFmt numFmtId="227" formatCode="0.00000"/>
    <numFmt numFmtId="228" formatCode="0.0\x"/>
  </numFmts>
  <fonts count="93"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name val="Calibri"/>
      <family val="2"/>
    </font>
    <font>
      <b/>
      <sz val="11"/>
      <color theme="0" tint="-0.14999847407452621"/>
      <name val="Calibri"/>
      <family val="2"/>
      <scheme val="minor"/>
    </font>
    <font>
      <b/>
      <u val="singleAccounting"/>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sz val="11"/>
      <color theme="1" tint="0.14999847407452621"/>
      <name val="Calibri"/>
      <family val="2"/>
      <scheme val="minor"/>
    </font>
    <font>
      <b/>
      <u val="singleAccounting"/>
      <sz val="11"/>
      <color theme="1" tint="0.14999847407452621"/>
      <name val="Calibri"/>
      <family val="2"/>
      <scheme val="minor"/>
    </font>
    <font>
      <u/>
      <sz val="11"/>
      <color theme="10"/>
      <name val="Calibri"/>
      <family val="2"/>
      <scheme val="minor"/>
    </font>
    <font>
      <i/>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b/>
      <u/>
      <sz val="12"/>
      <color theme="0" tint="-0.14999847407452621"/>
      <name val="Calibri"/>
      <family val="2"/>
      <scheme val="minor"/>
    </font>
    <font>
      <b/>
      <sz val="11"/>
      <color theme="0" tint="-0.14999847407452621"/>
      <name val="Calibri"/>
      <family val="2"/>
      <scheme val="minor"/>
    </font>
    <font>
      <b/>
      <sz val="11"/>
      <color theme="1"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color theme="1" tint="0.14999847407452621"/>
      <name val="Calibri"/>
      <family val="2"/>
      <scheme val="minor"/>
    </font>
    <font>
      <sz val="11"/>
      <name val="Calibri"/>
      <family val="2"/>
      <scheme val="minor"/>
    </font>
    <font>
      <u val="singleAccounting"/>
      <sz val="11"/>
      <color theme="1"/>
      <name val="Calibri"/>
      <family val="2"/>
      <scheme val="minor"/>
    </font>
    <font>
      <u val="singleAccounting"/>
      <sz val="11"/>
      <name val="Calibri"/>
      <family val="2"/>
      <scheme val="minor"/>
    </font>
    <font>
      <b/>
      <sz val="11"/>
      <name val="Calibri"/>
      <family val="2"/>
      <scheme val="minor"/>
    </font>
    <font>
      <b/>
      <i/>
      <sz val="11"/>
      <color theme="1"/>
      <name val="Calibri"/>
      <family val="2"/>
      <scheme val="minor"/>
    </font>
    <font>
      <b/>
      <u val="singleAccounting"/>
      <sz val="11"/>
      <color theme="1"/>
      <name val="Calibri"/>
      <family val="2"/>
      <scheme val="minor"/>
    </font>
    <font>
      <b/>
      <u val="singleAccounting"/>
      <sz val="11"/>
      <name val="Calibri"/>
      <family val="2"/>
      <scheme val="minor"/>
    </font>
    <font>
      <b/>
      <sz val="11"/>
      <color theme="9" tint="-0.499984740745262"/>
      <name val="Calibri"/>
      <family val="2"/>
      <scheme val="minor"/>
    </font>
    <font>
      <sz val="11"/>
      <color theme="9" tint="-0.499984740745262"/>
      <name val="Calibri"/>
      <family val="2"/>
      <scheme val="minor"/>
    </font>
    <font>
      <sz val="11"/>
      <color rgb="FF7030A0"/>
      <name val="Calibri"/>
      <family val="2"/>
      <scheme val="minor"/>
    </font>
    <font>
      <sz val="11"/>
      <color theme="3"/>
      <name val="Calibri"/>
      <family val="2"/>
      <scheme val="minor"/>
    </font>
    <font>
      <b/>
      <sz val="11"/>
      <color rgb="FFFF0000"/>
      <name val="Calibri"/>
      <family val="2"/>
      <scheme val="minor"/>
    </font>
    <font>
      <b/>
      <u/>
      <sz val="11"/>
      <color theme="0" tint="-0.14999847407452621"/>
      <name val="Calibri"/>
      <family val="2"/>
      <scheme val="minor"/>
    </font>
    <font>
      <b/>
      <i/>
      <u/>
      <sz val="16"/>
      <color theme="1"/>
      <name val="Calibri"/>
      <family val="2"/>
      <scheme val="minor"/>
    </font>
    <font>
      <u/>
      <sz val="11"/>
      <color theme="1"/>
      <name val="Calibri"/>
      <family val="2"/>
      <scheme val="minor"/>
    </font>
    <font>
      <i/>
      <sz val="11"/>
      <color theme="3"/>
      <name val="Calibri"/>
      <family val="2"/>
      <scheme val="minor"/>
    </font>
    <font>
      <b/>
      <i/>
      <u/>
      <sz val="11"/>
      <color theme="1"/>
      <name val="Calibri"/>
      <family val="2"/>
      <scheme val="minor"/>
    </font>
    <font>
      <b/>
      <i/>
      <sz val="11"/>
      <color theme="3"/>
      <name val="Calibri"/>
      <family val="2"/>
      <scheme val="minor"/>
    </font>
    <font>
      <i/>
      <sz val="8"/>
      <color theme="3"/>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6" tint="0.59999389629810485"/>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top style="hair">
        <color auto="1"/>
      </top>
      <bottom style="hair">
        <color auto="1"/>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lignment vertical="top"/>
    </xf>
    <xf numFmtId="0" fontId="10" fillId="0" borderId="0"/>
    <xf numFmtId="43" fontId="10"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4" borderId="0" applyNumberFormat="0" applyFont="0" applyAlignment="0" applyProtection="0"/>
    <xf numFmtId="174" fontId="6" fillId="0" borderId="0" applyFont="0" applyFill="0" applyBorder="0" applyAlignment="0" applyProtection="0"/>
    <xf numFmtId="175" fontId="6" fillId="0" borderId="0" applyFont="0" applyFill="0" applyBorder="0" applyProtection="0">
      <alignment horizontal="right"/>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7" fillId="0" borderId="17" applyNumberFormat="0" applyFill="0" applyAlignment="0" applyProtection="0"/>
    <xf numFmtId="0" fontId="18" fillId="0" borderId="18" applyNumberFormat="0" applyFill="0" applyProtection="0">
      <alignment horizontal="center"/>
    </xf>
    <xf numFmtId="0" fontId="18" fillId="0" borderId="0" applyNumberFormat="0" applyFill="0" applyBorder="0" applyProtection="0">
      <alignment horizontal="left"/>
    </xf>
    <xf numFmtId="0" fontId="19" fillId="0" borderId="0" applyNumberFormat="0" applyFill="0" applyBorder="0" applyProtection="0">
      <alignment horizontal="centerContinuous"/>
    </xf>
    <xf numFmtId="0" fontId="20" fillId="0" borderId="0" applyNumberFormat="0" applyFill="0" applyBorder="0" applyAlignment="0" applyProtection="0"/>
    <xf numFmtId="0" fontId="21" fillId="0" borderId="0"/>
    <xf numFmtId="176" fontId="22" fillId="0" borderId="0">
      <alignment horizontal="center"/>
    </xf>
    <xf numFmtId="37" fontId="23" fillId="0" borderId="0"/>
    <xf numFmtId="37" fontId="24" fillId="0" borderId="0"/>
    <xf numFmtId="177" fontId="25"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25"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25"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25"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25" fillId="0" borderId="2" applyAlignment="0" applyProtection="0"/>
    <xf numFmtId="177" fontId="25" fillId="0" borderId="2" applyAlignment="0" applyProtection="0"/>
    <xf numFmtId="177" fontId="25" fillId="0" borderId="2" applyAlignment="0" applyProtection="0"/>
    <xf numFmtId="177" fontId="25" fillId="0" borderId="2" applyAlignment="0" applyProtection="0"/>
    <xf numFmtId="177" fontId="1" fillId="0" borderId="0" applyAlignment="0" applyProtection="0"/>
    <xf numFmtId="178" fontId="26" fillId="0" borderId="0" applyFill="0" applyBorder="0" applyAlignment="0"/>
    <xf numFmtId="179" fontId="6" fillId="0" borderId="0" applyFill="0" applyBorder="0" applyAlignment="0"/>
    <xf numFmtId="180" fontId="6" fillId="0" borderId="0" applyFill="0" applyBorder="0" applyAlignment="0"/>
    <xf numFmtId="164" fontId="6" fillId="0" borderId="0" applyFill="0" applyBorder="0" applyAlignment="0"/>
    <xf numFmtId="181" fontId="6" fillId="0" borderId="0" applyFill="0" applyBorder="0" applyAlignment="0"/>
    <xf numFmtId="182" fontId="6" fillId="0" borderId="0" applyFill="0" applyBorder="0" applyAlignment="0"/>
    <xf numFmtId="183" fontId="6" fillId="0" borderId="0" applyFill="0" applyBorder="0" applyAlignment="0"/>
    <xf numFmtId="184" fontId="6" fillId="0" borderId="0" applyFill="0" applyBorder="0" applyAlignment="0"/>
    <xf numFmtId="185" fontId="6" fillId="0" borderId="0" applyFill="0" applyBorder="0" applyAlignment="0"/>
    <xf numFmtId="186" fontId="6" fillId="0" borderId="0" applyFill="0" applyBorder="0" applyAlignment="0"/>
    <xf numFmtId="178" fontId="26" fillId="0" borderId="0" applyFill="0" applyBorder="0" applyAlignment="0"/>
    <xf numFmtId="187" fontId="6" fillId="0" borderId="0" applyFill="0" applyBorder="0" applyAlignment="0"/>
    <xf numFmtId="188" fontId="6" fillId="0" borderId="0" applyFill="0" applyBorder="0" applyAlignment="0"/>
    <xf numFmtId="189" fontId="6" fillId="0" borderId="0" applyFill="0" applyBorder="0" applyAlignment="0"/>
    <xf numFmtId="180" fontId="6" fillId="0" borderId="0" applyFill="0" applyBorder="0" applyAlignment="0"/>
    <xf numFmtId="164" fontId="6" fillId="0" borderId="0" applyFill="0" applyBorder="0" applyAlignment="0"/>
    <xf numFmtId="0" fontId="27" fillId="0" borderId="0" applyFill="0" applyBorder="0" applyProtection="0">
      <alignment horizontal="center"/>
      <protection locked="0"/>
    </xf>
    <xf numFmtId="0" fontId="28" fillId="0" borderId="0"/>
    <xf numFmtId="190" fontId="6" fillId="0" borderId="0"/>
    <xf numFmtId="190" fontId="6" fillId="0" borderId="0"/>
    <xf numFmtId="190" fontId="6" fillId="0" borderId="0"/>
    <xf numFmtId="190" fontId="6" fillId="0" borderId="0"/>
    <xf numFmtId="190" fontId="6" fillId="0" borderId="0"/>
    <xf numFmtId="190" fontId="6" fillId="0" borderId="0"/>
    <xf numFmtId="190" fontId="6" fillId="0" borderId="0"/>
    <xf numFmtId="190" fontId="6" fillId="0" borderId="0"/>
    <xf numFmtId="191" fontId="28" fillId="0" borderId="7"/>
    <xf numFmtId="192" fontId="1" fillId="0" borderId="0"/>
    <xf numFmtId="0" fontId="21" fillId="0" borderId="7"/>
    <xf numFmtId="192" fontId="1" fillId="0" borderId="0"/>
    <xf numFmtId="178" fontId="6" fillId="0" borderId="0" applyFont="0" applyFill="0" applyBorder="0" applyAlignment="0" applyProtection="0"/>
    <xf numFmtId="187" fontId="6" fillId="0" borderId="0" applyFont="0" applyFill="0" applyBorder="0" applyAlignment="0" applyProtection="0"/>
    <xf numFmtId="43" fontId="6" fillId="0" borderId="0" applyFont="0" applyFill="0" applyBorder="0" applyAlignment="0" applyProtection="0">
      <alignment wrapText="1"/>
    </xf>
    <xf numFmtId="43" fontId="1"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6"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9" fillId="0" borderId="0" applyFont="0" applyFill="0" applyBorder="0" applyAlignment="0" applyProtection="0"/>
    <xf numFmtId="4" fontId="1" fillId="0" borderId="0" applyFont="0" applyFill="0" applyBorder="0" applyAlignment="0" applyProtection="0"/>
    <xf numFmtId="4" fontId="2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xf numFmtId="0" fontId="31" fillId="0" borderId="0" applyFill="0" applyBorder="0" applyAlignment="0" applyProtection="0">
      <protection locked="0"/>
    </xf>
    <xf numFmtId="193" fontId="6" fillId="0" borderId="0">
      <alignment horizontal="center"/>
    </xf>
    <xf numFmtId="194" fontId="32" fillId="0" borderId="0" applyFill="0" applyBorder="0" applyProtection="0"/>
    <xf numFmtId="195" fontId="33" fillId="0" borderId="0" applyFont="0" applyFill="0" applyBorder="0" applyAlignment="0" applyProtection="0"/>
    <xf numFmtId="196" fontId="34" fillId="0" borderId="19">
      <protection hidden="1"/>
    </xf>
    <xf numFmtId="180" fontId="6" fillId="0" borderId="0" applyFont="0" applyFill="0" applyBorder="0" applyAlignment="0" applyProtection="0"/>
    <xf numFmtId="164" fontId="6" fillId="0" borderId="0" applyFont="0" applyFill="0" applyBorder="0" applyAlignment="0" applyProtection="0"/>
    <xf numFmtId="8" fontId="1" fillId="0" borderId="0" applyFont="0" applyFill="0" applyBorder="0" applyAlignment="0" applyProtection="0"/>
    <xf numFmtId="44" fontId="6" fillId="0" borderId="0" applyFont="0" applyFill="0" applyBorder="0" applyAlignment="0" applyProtection="0"/>
    <xf numFmtId="0" fontId="30" fillId="0" borderId="0" applyNumberFormat="0" applyFill="0" applyBorder="0" applyAlignment="0" applyProtection="0"/>
    <xf numFmtId="1" fontId="22" fillId="0" borderId="0"/>
    <xf numFmtId="14" fontId="35" fillId="0" borderId="0">
      <alignment horizontal="center"/>
    </xf>
    <xf numFmtId="14" fontId="26" fillId="0" borderId="0" applyFill="0" applyBorder="0" applyAlignment="0"/>
    <xf numFmtId="15" fontId="36" fillId="5" borderId="0" applyNumberFormat="0" applyFont="0" applyFill="0" applyBorder="0" applyAlignment="0">
      <alignment horizontal="center" wrapText="1"/>
    </xf>
    <xf numFmtId="0" fontId="26" fillId="0" borderId="16" applyNumberFormat="0" applyFill="0" applyBorder="0" applyAlignment="0" applyProtection="0"/>
    <xf numFmtId="197" fontId="28" fillId="0" borderId="0" applyFont="0" applyFill="0" applyBorder="0" applyAlignment="0" applyProtection="0"/>
    <xf numFmtId="198" fontId="33" fillId="0" borderId="0" applyFont="0" applyFill="0" applyBorder="0" applyAlignment="0" applyProtection="0"/>
    <xf numFmtId="178" fontId="37" fillId="0" borderId="0" applyFill="0" applyBorder="0" applyAlignment="0"/>
    <xf numFmtId="187" fontId="6" fillId="0" borderId="0" applyFill="0" applyBorder="0" applyAlignment="0"/>
    <xf numFmtId="180" fontId="6" fillId="0" borderId="0" applyFill="0" applyBorder="0" applyAlignment="0"/>
    <xf numFmtId="164" fontId="6" fillId="0" borderId="0" applyFill="0" applyBorder="0" applyAlignment="0"/>
    <xf numFmtId="178" fontId="37" fillId="0" borderId="0" applyFill="0" applyBorder="0" applyAlignment="0"/>
    <xf numFmtId="187" fontId="6" fillId="0" borderId="0" applyFill="0" applyBorder="0" applyAlignment="0"/>
    <xf numFmtId="188" fontId="6" fillId="0" borderId="0" applyFill="0" applyBorder="0" applyAlignment="0"/>
    <xf numFmtId="189" fontId="6" fillId="0" borderId="0" applyFill="0" applyBorder="0" applyAlignment="0"/>
    <xf numFmtId="180" fontId="6" fillId="0" borderId="0" applyFill="0" applyBorder="0" applyAlignment="0"/>
    <xf numFmtId="164" fontId="6" fillId="0" borderId="0" applyFill="0" applyBorder="0" applyAlignment="0"/>
    <xf numFmtId="196" fontId="34" fillId="0" borderId="19">
      <protection hidden="1"/>
    </xf>
    <xf numFmtId="199" fontId="6" fillId="0" borderId="0" applyFont="0" applyFill="0" applyBorder="0" applyAlignment="0" applyProtection="0"/>
    <xf numFmtId="38" fontId="38" fillId="5" borderId="0" applyNumberFormat="0" applyBorder="0" applyAlignment="0" applyProtection="0"/>
    <xf numFmtId="0" fontId="39" fillId="0" borderId="20" applyNumberFormat="0" applyAlignment="0" applyProtection="0">
      <alignment horizontal="left" vertical="center"/>
    </xf>
    <xf numFmtId="0" fontId="39"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9"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9"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9"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9" fillId="0" borderId="9">
      <alignment horizontal="left" vertical="center"/>
    </xf>
    <xf numFmtId="0" fontId="39" fillId="0" borderId="9">
      <alignment horizontal="left" vertical="center"/>
    </xf>
    <xf numFmtId="0" fontId="39" fillId="0" borderId="9">
      <alignment horizontal="left" vertical="center"/>
    </xf>
    <xf numFmtId="0" fontId="39" fillId="0" borderId="9">
      <alignment horizontal="left" vertical="center"/>
    </xf>
    <xf numFmtId="0" fontId="1" fillId="0" borderId="0">
      <alignment horizontal="left" vertical="center"/>
    </xf>
    <xf numFmtId="14" fontId="40" fillId="6" borderId="19">
      <alignment horizontal="center" vertical="center"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0" borderId="0" applyFill="0" applyAlignment="0" applyProtection="0">
      <protection locked="0"/>
    </xf>
    <xf numFmtId="0" fontId="27" fillId="0" borderId="7" applyFill="0" applyAlignment="0" applyProtection="0">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0" fontId="38" fillId="7" borderId="16" applyNumberFormat="0" applyBorder="0" applyAlignment="0" applyProtection="0"/>
    <xf numFmtId="178" fontId="44" fillId="0" borderId="0" applyFill="0" applyBorder="0" applyAlignment="0"/>
    <xf numFmtId="187" fontId="6" fillId="0" borderId="0" applyFill="0" applyBorder="0" applyAlignment="0"/>
    <xf numFmtId="180" fontId="6" fillId="0" borderId="0" applyFill="0" applyBorder="0" applyAlignment="0"/>
    <xf numFmtId="164" fontId="6" fillId="0" borderId="0" applyFill="0" applyBorder="0" applyAlignment="0"/>
    <xf numFmtId="178" fontId="44" fillId="0" borderId="0" applyFill="0" applyBorder="0" applyAlignment="0"/>
    <xf numFmtId="187" fontId="6" fillId="0" borderId="0" applyFill="0" applyBorder="0" applyAlignment="0"/>
    <xf numFmtId="188" fontId="6" fillId="0" borderId="0" applyFill="0" applyBorder="0" applyAlignment="0"/>
    <xf numFmtId="189" fontId="6" fillId="0" borderId="0" applyFill="0" applyBorder="0" applyAlignment="0"/>
    <xf numFmtId="180" fontId="6" fillId="0" borderId="0" applyFill="0" applyBorder="0" applyAlignment="0"/>
    <xf numFmtId="164" fontId="6" fillId="0" borderId="0" applyFill="0" applyBorder="0" applyAlignment="0"/>
    <xf numFmtId="200" fontId="6" fillId="0" borderId="0" applyFont="0" applyFill="0" applyBorder="0" applyAlignment="0" applyProtection="0"/>
    <xf numFmtId="201" fontId="6" fillId="0" borderId="0" applyFon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204" fontId="22" fillId="0" borderId="7"/>
    <xf numFmtId="37" fontId="46" fillId="0" borderId="0"/>
    <xf numFmtId="205" fontId="28" fillId="0" borderId="0"/>
    <xf numFmtId="205" fontId="1" fillId="0" borderId="0"/>
    <xf numFmtId="206" fontId="6" fillId="0" borderId="0"/>
    <xf numFmtId="207"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1" fillId="0" borderId="0"/>
    <xf numFmtId="0" fontId="6" fillId="0" borderId="0"/>
    <xf numFmtId="0" fontId="6" fillId="0" borderId="0">
      <alignment wrapText="1"/>
    </xf>
    <xf numFmtId="0" fontId="6" fillId="0" borderId="0"/>
    <xf numFmtId="0" fontId="48" fillId="0" borderId="0"/>
    <xf numFmtId="0" fontId="6" fillId="0" borderId="0"/>
    <xf numFmtId="0" fontId="6" fillId="0" borderId="0"/>
    <xf numFmtId="37" fontId="49" fillId="0" borderId="0"/>
    <xf numFmtId="0" fontId="1" fillId="0" borderId="0"/>
    <xf numFmtId="0" fontId="1" fillId="0" borderId="0"/>
    <xf numFmtId="0" fontId="6" fillId="0" borderId="0">
      <alignment wrapText="1"/>
    </xf>
    <xf numFmtId="0" fontId="6" fillId="0" borderId="0"/>
    <xf numFmtId="37" fontId="49" fillId="0" borderId="0"/>
    <xf numFmtId="0" fontId="6" fillId="0" borderId="0"/>
    <xf numFmtId="37" fontId="49" fillId="0" borderId="0"/>
    <xf numFmtId="0" fontId="1" fillId="0" borderId="0"/>
    <xf numFmtId="0" fontId="29" fillId="0" borderId="0"/>
    <xf numFmtId="37" fontId="1" fillId="0" borderId="0"/>
    <xf numFmtId="0" fontId="1" fillId="0" borderId="0"/>
    <xf numFmtId="37" fontId="1" fillId="0" borderId="0"/>
    <xf numFmtId="0" fontId="6" fillId="0" borderId="0">
      <alignment wrapText="1"/>
    </xf>
    <xf numFmtId="37" fontId="50" fillId="0" borderId="0"/>
    <xf numFmtId="0" fontId="6" fillId="0" borderId="0"/>
    <xf numFmtId="37" fontId="6" fillId="0" borderId="0"/>
    <xf numFmtId="37" fontId="6" fillId="0" borderId="0"/>
    <xf numFmtId="208" fontId="6" fillId="0" borderId="0"/>
    <xf numFmtId="209" fontId="6" fillId="0" borderId="0"/>
    <xf numFmtId="39" fontId="6" fillId="0" borderId="0"/>
    <xf numFmtId="39" fontId="6" fillId="0" borderId="0"/>
    <xf numFmtId="210" fontId="6" fillId="0" borderId="0"/>
    <xf numFmtId="211" fontId="6" fillId="0" borderId="0"/>
    <xf numFmtId="212" fontId="6" fillId="0" borderId="0"/>
    <xf numFmtId="213" fontId="6" fillId="0" borderId="0"/>
    <xf numFmtId="214" fontId="6" fillId="0" borderId="0"/>
    <xf numFmtId="215" fontId="6" fillId="0" borderId="0"/>
    <xf numFmtId="216" fontId="6" fillId="0" borderId="0"/>
    <xf numFmtId="217" fontId="45" fillId="0" borderId="0"/>
    <xf numFmtId="218" fontId="34" fillId="0" borderId="0">
      <protection hidden="1"/>
    </xf>
    <xf numFmtId="185" fontId="6" fillId="0" borderId="0" applyFont="0" applyFill="0" applyBorder="0" applyAlignment="0" applyProtection="0"/>
    <xf numFmtId="186"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10" fontId="6" fillId="0" borderId="0" applyFont="0" applyFill="0" applyBorder="0" applyAlignment="0" applyProtection="0"/>
    <xf numFmtId="9" fontId="5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45" fillId="0" borderId="21" applyNumberFormat="0" applyBorder="0"/>
    <xf numFmtId="204" fontId="22" fillId="0" borderId="0"/>
    <xf numFmtId="0" fontId="52" fillId="8" borderId="22" applyNumberFormat="0" applyFont="0" applyFill="0" applyAlignment="0">
      <alignment horizontal="center" vertical="center"/>
    </xf>
    <xf numFmtId="178" fontId="53" fillId="0" borderId="0" applyFill="0" applyBorder="0" applyAlignment="0"/>
    <xf numFmtId="187" fontId="6" fillId="0" borderId="0" applyFill="0" applyBorder="0" applyAlignment="0"/>
    <xf numFmtId="180" fontId="6" fillId="0" borderId="0" applyFill="0" applyBorder="0" applyAlignment="0"/>
    <xf numFmtId="164" fontId="6" fillId="0" borderId="0" applyFill="0" applyBorder="0" applyAlignment="0"/>
    <xf numFmtId="178" fontId="53" fillId="0" borderId="0" applyFill="0" applyBorder="0" applyAlignment="0"/>
    <xf numFmtId="187" fontId="6" fillId="0" borderId="0" applyFill="0" applyBorder="0" applyAlignment="0"/>
    <xf numFmtId="188" fontId="6" fillId="0" borderId="0" applyFill="0" applyBorder="0" applyAlignment="0"/>
    <xf numFmtId="189" fontId="6" fillId="0" borderId="0" applyFill="0" applyBorder="0" applyAlignment="0"/>
    <xf numFmtId="180" fontId="6" fillId="0" borderId="0" applyFill="0" applyBorder="0" applyAlignment="0"/>
    <xf numFmtId="164" fontId="6" fillId="0" borderId="0" applyFill="0" applyBorder="0" applyAlignment="0"/>
    <xf numFmtId="37" fontId="49" fillId="0" borderId="23"/>
    <xf numFmtId="0" fontId="54" fillId="0" borderId="0"/>
    <xf numFmtId="0" fontId="28" fillId="0" borderId="0"/>
    <xf numFmtId="0" fontId="45" fillId="0" borderId="0"/>
    <xf numFmtId="37" fontId="55" fillId="0" borderId="19">
      <alignment horizontal="right"/>
      <protection locked="0"/>
    </xf>
    <xf numFmtId="37" fontId="56" fillId="0" borderId="19">
      <alignment horizontal="right"/>
      <protection locked="0"/>
    </xf>
    <xf numFmtId="49" fontId="26" fillId="0" borderId="0" applyFill="0" applyBorder="0" applyAlignment="0"/>
    <xf numFmtId="219" fontId="6" fillId="0" borderId="0" applyFill="0" applyBorder="0" applyAlignment="0"/>
    <xf numFmtId="220" fontId="6" fillId="0" borderId="0" applyFill="0" applyBorder="0" applyAlignment="0"/>
    <xf numFmtId="221" fontId="6" fillId="0" borderId="0" applyFill="0" applyBorder="0" applyAlignment="0"/>
    <xf numFmtId="222" fontId="6" fillId="0" borderId="0" applyFill="0" applyBorder="0" applyAlignment="0"/>
    <xf numFmtId="49" fontId="6" fillId="0" borderId="0"/>
    <xf numFmtId="0" fontId="57" fillId="0" borderId="0" applyFill="0" applyBorder="0" applyProtection="0">
      <alignment horizontal="left" vertical="top"/>
    </xf>
    <xf numFmtId="40" fontId="58"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7" fontId="49" fillId="0" borderId="7"/>
    <xf numFmtId="37" fontId="49" fillId="0" borderId="24"/>
    <xf numFmtId="223" fontId="6" fillId="0" borderId="0" applyFont="0" applyFill="0" applyBorder="0" applyAlignment="0" applyProtection="0"/>
    <xf numFmtId="224" fontId="6" fillId="0" borderId="0" applyFont="0" applyFill="0" applyBorder="0" applyAlignment="0" applyProtection="0"/>
    <xf numFmtId="0" fontId="6" fillId="0" borderId="0"/>
    <xf numFmtId="0" fontId="6" fillId="0" borderId="0"/>
    <xf numFmtId="0" fontId="61" fillId="0" borderId="0" applyNumberFormat="0" applyFill="0" applyBorder="0" applyAlignment="0" applyProtection="0"/>
  </cellStyleXfs>
  <cellXfs count="464">
    <xf numFmtId="0" fontId="0" fillId="0" borderId="0" xfId="0"/>
    <xf numFmtId="165" fontId="7" fillId="0" borderId="5" xfId="1" applyNumberFormat="1" applyFont="1" applyBorder="1" applyAlignment="1">
      <alignment horizontal="right"/>
    </xf>
    <xf numFmtId="165" fontId="8" fillId="0" borderId="5" xfId="1" applyNumberFormat="1" applyFont="1" applyBorder="1" applyAlignment="1">
      <alignment horizontal="right"/>
    </xf>
    <xf numFmtId="165" fontId="9" fillId="0" borderId="0" xfId="1" applyNumberFormat="1" applyFont="1" applyAlignment="1">
      <alignment horizontal="right"/>
    </xf>
    <xf numFmtId="165" fontId="9" fillId="0" borderId="5" xfId="1" applyNumberFormat="1" applyFont="1" applyBorder="1" applyAlignment="1">
      <alignment horizontal="right"/>
    </xf>
    <xf numFmtId="165" fontId="8" fillId="0" borderId="0" xfId="1" applyNumberFormat="1" applyFont="1" applyAlignment="1">
      <alignment horizontal="right"/>
    </xf>
    <xf numFmtId="165" fontId="0" fillId="0" borderId="0" xfId="1" applyNumberFormat="1" applyFont="1"/>
    <xf numFmtId="166" fontId="0" fillId="0" borderId="0" xfId="2" applyNumberFormat="1" applyFont="1"/>
    <xf numFmtId="0" fontId="2" fillId="0" borderId="0" xfId="0" applyFont="1" applyAlignment="1">
      <alignment horizontal="left"/>
    </xf>
    <xf numFmtId="165" fontId="1" fillId="0" borderId="0" xfId="1" applyNumberFormat="1" applyAlignment="1">
      <alignment horizontal="right"/>
    </xf>
    <xf numFmtId="164" fontId="12" fillId="2" borderId="0" xfId="1" quotePrefix="1" applyNumberFormat="1" applyFont="1" applyFill="1" applyAlignment="1">
      <alignment horizontal="right"/>
    </xf>
    <xf numFmtId="165" fontId="7" fillId="0" borderId="0" xfId="1" applyNumberFormat="1" applyFont="1" applyAlignment="1">
      <alignment horizontal="right"/>
    </xf>
    <xf numFmtId="164" fontId="3" fillId="0" borderId="0" xfId="1" quotePrefix="1" applyNumberFormat="1" applyFont="1" applyAlignment="1">
      <alignment horizontal="right"/>
    </xf>
    <xf numFmtId="0" fontId="0" fillId="0" borderId="0" xfId="0" applyAlignment="1">
      <alignment wrapText="1"/>
    </xf>
    <xf numFmtId="0" fontId="2" fillId="0" borderId="0" xfId="0" applyFont="1"/>
    <xf numFmtId="164" fontId="59" fillId="3" borderId="2" xfId="1" quotePrefix="1" applyNumberFormat="1" applyFont="1" applyFill="1" applyBorder="1" applyAlignment="1">
      <alignment horizontal="right"/>
    </xf>
    <xf numFmtId="164" fontId="60" fillId="3" borderId="0" xfId="1" quotePrefix="1" applyNumberFormat="1" applyFont="1" applyFill="1" applyAlignment="1">
      <alignment horizontal="right"/>
    </xf>
    <xf numFmtId="165" fontId="0" fillId="10" borderId="0" xfId="1" quotePrefix="1" applyNumberFormat="1" applyFont="1" applyFill="1" applyAlignment="1">
      <alignment horizontal="left"/>
    </xf>
    <xf numFmtId="225" fontId="0" fillId="0" borderId="0" xfId="0" applyNumberFormat="1"/>
    <xf numFmtId="226" fontId="0" fillId="0" borderId="0" xfId="0" applyNumberFormat="1"/>
    <xf numFmtId="2" fontId="0" fillId="0" borderId="0" xfId="0" applyNumberFormat="1"/>
    <xf numFmtId="0" fontId="0" fillId="0" borderId="0" xfId="0" applyAlignment="1">
      <alignment horizontal="center" textRotation="90"/>
    </xf>
    <xf numFmtId="164" fontId="11" fillId="0" borderId="0" xfId="1" quotePrefix="1" applyNumberFormat="1" applyFont="1" applyAlignment="1">
      <alignment horizontal="left"/>
    </xf>
    <xf numFmtId="164" fontId="11" fillId="0" borderId="0" xfId="1" quotePrefix="1" applyNumberFormat="1" applyFont="1" applyAlignment="1">
      <alignment horizontal="right"/>
    </xf>
    <xf numFmtId="164" fontId="0" fillId="0" borderId="0" xfId="1" applyNumberFormat="1" applyFont="1"/>
    <xf numFmtId="0" fontId="0" fillId="0" borderId="3" xfId="0" applyBorder="1" applyAlignment="1">
      <alignment horizontal="left"/>
    </xf>
    <xf numFmtId="0" fontId="0" fillId="0" borderId="4" xfId="0" applyBorder="1" applyAlignment="1">
      <alignment horizontal="left"/>
    </xf>
    <xf numFmtId="165" fontId="8" fillId="10" borderId="0" xfId="1" applyNumberFormat="1" applyFont="1" applyFill="1" applyAlignment="1">
      <alignment horizontal="right"/>
    </xf>
    <xf numFmtId="0" fontId="63" fillId="0" borderId="0" xfId="0" applyFont="1"/>
    <xf numFmtId="164" fontId="63" fillId="0" borderId="0" xfId="1" applyNumberFormat="1" applyFont="1" applyAlignment="1">
      <alignment horizontal="right"/>
    </xf>
    <xf numFmtId="0" fontId="63" fillId="0" borderId="0" xfId="0" applyFont="1" applyAlignment="1">
      <alignment horizontal="right"/>
    </xf>
    <xf numFmtId="43" fontId="63" fillId="0" borderId="0" xfId="1" applyFont="1" applyAlignment="1">
      <alignment horizontal="right"/>
    </xf>
    <xf numFmtId="165" fontId="63" fillId="0" borderId="0" xfId="1" applyNumberFormat="1" applyFont="1" applyAlignment="1">
      <alignment horizontal="right"/>
    </xf>
    <xf numFmtId="0" fontId="64" fillId="0" borderId="0" xfId="0" applyFont="1"/>
    <xf numFmtId="0" fontId="65" fillId="0" borderId="1" xfId="0" applyFont="1" applyBorder="1" applyAlignment="1">
      <alignment horizontal="left"/>
    </xf>
    <xf numFmtId="5" fontId="65" fillId="0" borderId="11" xfId="1" applyNumberFormat="1" applyFont="1" applyBorder="1" applyAlignment="1">
      <alignment horizontal="right"/>
    </xf>
    <xf numFmtId="0" fontId="65" fillId="0" borderId="3" xfId="0" applyFont="1" applyBorder="1" applyAlignment="1">
      <alignment horizontal="left"/>
    </xf>
    <xf numFmtId="5" fontId="66" fillId="0" borderId="4" xfId="1" applyNumberFormat="1" applyFont="1" applyBorder="1" applyAlignment="1">
      <alignment horizontal="right"/>
    </xf>
    <xf numFmtId="5" fontId="65" fillId="0" borderId="4" xfId="1" applyNumberFormat="1" applyFont="1" applyBorder="1" applyAlignment="1">
      <alignment horizontal="right"/>
    </xf>
    <xf numFmtId="166" fontId="63" fillId="0" borderId="0" xfId="2" applyNumberFormat="1" applyFont="1" applyAlignment="1">
      <alignment horizontal="right"/>
    </xf>
    <xf numFmtId="9" fontId="63" fillId="0" borderId="0" xfId="2" applyFont="1" applyAlignment="1">
      <alignment horizontal="right"/>
    </xf>
    <xf numFmtId="167" fontId="63" fillId="0" borderId="0" xfId="1" applyNumberFormat="1" applyFont="1" applyAlignment="1">
      <alignment horizontal="right"/>
    </xf>
    <xf numFmtId="0" fontId="65" fillId="0" borderId="25" xfId="0" applyFont="1" applyBorder="1" applyAlignment="1">
      <alignment horizontal="left"/>
    </xf>
    <xf numFmtId="5" fontId="65" fillId="0" borderId="26" xfId="1" applyNumberFormat="1" applyFont="1" applyBorder="1" applyAlignment="1">
      <alignment horizontal="right"/>
    </xf>
    <xf numFmtId="0" fontId="67" fillId="0" borderId="0" xfId="0" applyFont="1"/>
    <xf numFmtId="43" fontId="63" fillId="0" borderId="0" xfId="1" applyFont="1"/>
    <xf numFmtId="167" fontId="63" fillId="0" borderId="0" xfId="1" applyNumberFormat="1" applyFont="1"/>
    <xf numFmtId="164" fontId="69" fillId="2" borderId="2" xfId="1" quotePrefix="1" applyNumberFormat="1" applyFont="1" applyFill="1" applyBorder="1" applyAlignment="1">
      <alignment horizontal="right"/>
    </xf>
    <xf numFmtId="164" fontId="70" fillId="3" borderId="2" xfId="1" quotePrefix="1" applyNumberFormat="1" applyFont="1" applyFill="1" applyBorder="1" applyAlignment="1">
      <alignment horizontal="right"/>
    </xf>
    <xf numFmtId="164" fontId="72" fillId="2" borderId="0" xfId="1" quotePrefix="1" applyNumberFormat="1" applyFont="1" applyFill="1" applyAlignment="1">
      <alignment horizontal="right"/>
    </xf>
    <xf numFmtId="164" fontId="73" fillId="3" borderId="0" xfId="1" quotePrefix="1" applyNumberFormat="1" applyFont="1" applyFill="1" applyAlignment="1">
      <alignment horizontal="right"/>
    </xf>
    <xf numFmtId="165" fontId="63" fillId="0" borderId="3" xfId="1" applyNumberFormat="1" applyFont="1" applyBorder="1" applyAlignment="1">
      <alignment horizontal="right"/>
    </xf>
    <xf numFmtId="165" fontId="63" fillId="0" borderId="4" xfId="1" applyNumberFormat="1" applyFont="1" applyBorder="1" applyAlignment="1">
      <alignment horizontal="right"/>
    </xf>
    <xf numFmtId="165" fontId="63" fillId="0" borderId="5" xfId="1" applyNumberFormat="1" applyFont="1" applyBorder="1" applyAlignment="1">
      <alignment horizontal="right"/>
    </xf>
    <xf numFmtId="165" fontId="74" fillId="0" borderId="0" xfId="1" applyNumberFormat="1" applyFont="1" applyAlignment="1">
      <alignment horizontal="right"/>
    </xf>
    <xf numFmtId="165" fontId="74" fillId="0" borderId="5" xfId="1" applyNumberFormat="1" applyFont="1" applyBorder="1" applyAlignment="1">
      <alignment horizontal="right"/>
    </xf>
    <xf numFmtId="165" fontId="75" fillId="0" borderId="3" xfId="1" applyNumberFormat="1" applyFont="1" applyBorder="1" applyAlignment="1">
      <alignment horizontal="right"/>
    </xf>
    <xf numFmtId="165" fontId="75" fillId="0" borderId="0" xfId="1" applyNumberFormat="1" applyFont="1" applyAlignment="1">
      <alignment horizontal="right"/>
    </xf>
    <xf numFmtId="165" fontId="75" fillId="0" borderId="4" xfId="1" applyNumberFormat="1" applyFont="1" applyBorder="1" applyAlignment="1">
      <alignment horizontal="right"/>
    </xf>
    <xf numFmtId="165" fontId="75" fillId="0" borderId="5" xfId="1" applyNumberFormat="1" applyFont="1" applyBorder="1" applyAlignment="1">
      <alignment horizontal="right"/>
    </xf>
    <xf numFmtId="165" fontId="76" fillId="0" borderId="0" xfId="1" applyNumberFormat="1" applyFont="1" applyAlignment="1">
      <alignment horizontal="right"/>
    </xf>
    <xf numFmtId="165" fontId="76" fillId="0" borderId="5" xfId="1" applyNumberFormat="1" applyFont="1" applyBorder="1" applyAlignment="1">
      <alignment horizontal="right"/>
    </xf>
    <xf numFmtId="165" fontId="65" fillId="0" borderId="3" xfId="1" applyNumberFormat="1" applyFont="1" applyBorder="1" applyAlignment="1">
      <alignment horizontal="right"/>
    </xf>
    <xf numFmtId="165" fontId="65" fillId="0" borderId="0" xfId="1" applyNumberFormat="1" applyFont="1" applyAlignment="1">
      <alignment horizontal="right"/>
    </xf>
    <xf numFmtId="165" fontId="65" fillId="0" borderId="5" xfId="1" applyNumberFormat="1" applyFont="1" applyBorder="1" applyAlignment="1">
      <alignment horizontal="right"/>
    </xf>
    <xf numFmtId="165" fontId="77" fillId="0" borderId="0" xfId="1" applyNumberFormat="1" applyFont="1" applyAlignment="1">
      <alignment horizontal="right"/>
    </xf>
    <xf numFmtId="165" fontId="77" fillId="0" borderId="5" xfId="1" applyNumberFormat="1" applyFont="1" applyBorder="1" applyAlignment="1">
      <alignment horizontal="right"/>
    </xf>
    <xf numFmtId="165" fontId="74" fillId="0" borderId="3" xfId="1" applyNumberFormat="1" applyFont="1" applyBorder="1" applyAlignment="1">
      <alignment horizontal="right"/>
    </xf>
    <xf numFmtId="165" fontId="74" fillId="0" borderId="4" xfId="1" applyNumberFormat="1" applyFont="1" applyBorder="1" applyAlignment="1">
      <alignment horizontal="right"/>
    </xf>
    <xf numFmtId="43" fontId="74" fillId="0" borderId="0" xfId="1" applyFont="1" applyAlignment="1">
      <alignment horizontal="right"/>
    </xf>
    <xf numFmtId="165" fontId="76" fillId="0" borderId="3" xfId="1" applyNumberFormat="1" applyFont="1" applyBorder="1" applyAlignment="1">
      <alignment horizontal="right"/>
    </xf>
    <xf numFmtId="165" fontId="76" fillId="0" borderId="4" xfId="1" applyNumberFormat="1" applyFont="1" applyBorder="1" applyAlignment="1">
      <alignment horizontal="right"/>
    </xf>
    <xf numFmtId="0" fontId="63" fillId="0" borderId="3" xfId="0" applyFont="1" applyBorder="1" applyAlignment="1">
      <alignment horizontal="left"/>
    </xf>
    <xf numFmtId="0" fontId="63" fillId="0" borderId="4" xfId="0" applyFont="1" applyBorder="1" applyAlignment="1">
      <alignment horizontal="left"/>
    </xf>
    <xf numFmtId="165" fontId="77" fillId="0" borderId="3" xfId="1" applyNumberFormat="1" applyFont="1" applyBorder="1" applyAlignment="1">
      <alignment horizontal="right"/>
    </xf>
    <xf numFmtId="165" fontId="77" fillId="0" borderId="4" xfId="1" applyNumberFormat="1" applyFont="1" applyBorder="1" applyAlignment="1">
      <alignment horizontal="right"/>
    </xf>
    <xf numFmtId="0" fontId="63" fillId="0" borderId="27" xfId="0" applyFont="1" applyBorder="1" applyAlignment="1">
      <alignment horizontal="left"/>
    </xf>
    <xf numFmtId="0" fontId="63" fillId="0" borderId="28" xfId="0" applyFont="1" applyBorder="1" applyAlignment="1">
      <alignment horizontal="left"/>
    </xf>
    <xf numFmtId="165" fontId="63" fillId="0" borderId="33" xfId="1" applyNumberFormat="1" applyFont="1" applyBorder="1" applyAlignment="1">
      <alignment horizontal="right"/>
    </xf>
    <xf numFmtId="165" fontId="63" fillId="0" borderId="34" xfId="1" applyNumberFormat="1" applyFont="1" applyBorder="1" applyAlignment="1">
      <alignment horizontal="right"/>
    </xf>
    <xf numFmtId="165" fontId="74" fillId="0" borderId="34" xfId="1" applyNumberFormat="1" applyFont="1" applyBorder="1" applyAlignment="1">
      <alignment horizontal="right"/>
    </xf>
    <xf numFmtId="165" fontId="74" fillId="0" borderId="33" xfId="1" applyNumberFormat="1" applyFont="1" applyBorder="1" applyAlignment="1">
      <alignment horizontal="right"/>
    </xf>
    <xf numFmtId="0" fontId="63" fillId="0" borderId="15" xfId="0" applyFont="1" applyBorder="1" applyAlignment="1">
      <alignment horizontal="left"/>
    </xf>
    <xf numFmtId="165" fontId="80" fillId="0" borderId="0" xfId="1" applyNumberFormat="1" applyFont="1" applyAlignment="1">
      <alignment horizontal="right"/>
    </xf>
    <xf numFmtId="165" fontId="80" fillId="0" borderId="5" xfId="1" applyNumberFormat="1" applyFont="1" applyBorder="1" applyAlignment="1">
      <alignment horizontal="right"/>
    </xf>
    <xf numFmtId="0" fontId="65" fillId="0" borderId="0" xfId="0" applyFont="1"/>
    <xf numFmtId="43" fontId="77" fillId="0" borderId="0" xfId="1" applyFont="1" applyAlignment="1">
      <alignment horizontal="right"/>
    </xf>
    <xf numFmtId="43" fontId="77" fillId="0" borderId="5" xfId="1" applyFont="1" applyBorder="1" applyAlignment="1">
      <alignment horizontal="right"/>
    </xf>
    <xf numFmtId="43" fontId="74" fillId="0" borderId="5" xfId="1" applyFont="1" applyBorder="1" applyAlignment="1">
      <alignment horizontal="right"/>
    </xf>
    <xf numFmtId="0" fontId="63" fillId="0" borderId="6" xfId="0" applyFont="1" applyBorder="1" applyAlignment="1">
      <alignment horizontal="left"/>
    </xf>
    <xf numFmtId="0" fontId="63" fillId="0" borderId="7" xfId="0" applyFont="1" applyBorder="1" applyAlignment="1">
      <alignment horizontal="left"/>
    </xf>
    <xf numFmtId="43" fontId="65" fillId="0" borderId="7" xfId="1" applyFont="1" applyBorder="1" applyAlignment="1">
      <alignment horizontal="right"/>
    </xf>
    <xf numFmtId="9" fontId="63" fillId="0" borderId="6" xfId="2" applyFont="1" applyBorder="1" applyAlignment="1">
      <alignment horizontal="right"/>
    </xf>
    <xf numFmtId="9" fontId="63" fillId="0" borderId="7" xfId="2" applyFont="1" applyBorder="1" applyAlignment="1">
      <alignment horizontal="right"/>
    </xf>
    <xf numFmtId="9" fontId="63" fillId="0" borderId="10" xfId="2" applyFont="1" applyBorder="1" applyAlignment="1">
      <alignment horizontal="right"/>
    </xf>
    <xf numFmtId="9" fontId="63" fillId="10" borderId="7" xfId="2" applyFont="1" applyFill="1" applyBorder="1" applyAlignment="1">
      <alignment horizontal="right"/>
    </xf>
    <xf numFmtId="9" fontId="63" fillId="10" borderId="10" xfId="2" applyFont="1" applyFill="1" applyBorder="1" applyAlignment="1">
      <alignment horizontal="right"/>
    </xf>
    <xf numFmtId="9" fontId="63" fillId="10" borderId="6" xfId="2" applyFont="1" applyFill="1" applyBorder="1" applyAlignment="1">
      <alignment horizontal="right"/>
    </xf>
    <xf numFmtId="9" fontId="63" fillId="0" borderId="8" xfId="2" applyFont="1" applyBorder="1" applyAlignment="1">
      <alignment horizontal="right"/>
    </xf>
    <xf numFmtId="0" fontId="74" fillId="0" borderId="0" xfId="0" applyFont="1" applyAlignment="1">
      <alignment horizontal="left"/>
    </xf>
    <xf numFmtId="0" fontId="65" fillId="0" borderId="0" xfId="0" applyFont="1" applyAlignment="1">
      <alignment horizontal="left"/>
    </xf>
    <xf numFmtId="43" fontId="81" fillId="0" borderId="7" xfId="1" applyFont="1" applyBorder="1" applyAlignment="1">
      <alignment horizontal="right"/>
    </xf>
    <xf numFmtId="164" fontId="79" fillId="0" borderId="0" xfId="1" quotePrefix="1" applyNumberFormat="1" applyFont="1" applyAlignment="1">
      <alignment horizontal="right"/>
    </xf>
    <xf numFmtId="164" fontId="79" fillId="0" borderId="5" xfId="1" quotePrefix="1" applyNumberFormat="1" applyFont="1" applyBorder="1" applyAlignment="1">
      <alignment horizontal="right"/>
    </xf>
    <xf numFmtId="165" fontId="63" fillId="0" borderId="0" xfId="1" quotePrefix="1" applyNumberFormat="1" applyFont="1" applyAlignment="1">
      <alignment horizontal="right"/>
    </xf>
    <xf numFmtId="165" fontId="63" fillId="0" borderId="5" xfId="1" quotePrefix="1" applyNumberFormat="1" applyFont="1" applyBorder="1" applyAlignment="1">
      <alignment horizontal="right"/>
    </xf>
    <xf numFmtId="165" fontId="75" fillId="0" borderId="0" xfId="1" quotePrefix="1" applyNumberFormat="1" applyFont="1" applyAlignment="1">
      <alignment horizontal="right"/>
    </xf>
    <xf numFmtId="165" fontId="75" fillId="0" borderId="5" xfId="1" quotePrefix="1" applyNumberFormat="1" applyFont="1" applyBorder="1" applyAlignment="1">
      <alignment horizontal="right"/>
    </xf>
    <xf numFmtId="165" fontId="65" fillId="0" borderId="32" xfId="1" quotePrefix="1" applyNumberFormat="1" applyFont="1" applyBorder="1" applyAlignment="1">
      <alignment horizontal="right"/>
    </xf>
    <xf numFmtId="165" fontId="65" fillId="0" borderId="31" xfId="1" quotePrefix="1" applyNumberFormat="1" applyFont="1" applyBorder="1" applyAlignment="1">
      <alignment horizontal="right"/>
    </xf>
    <xf numFmtId="0" fontId="66" fillId="0" borderId="27" xfId="0" applyFont="1" applyBorder="1" applyAlignment="1">
      <alignment horizontal="left"/>
    </xf>
    <xf numFmtId="9" fontId="63" fillId="0" borderId="0" xfId="2" quotePrefix="1" applyFont="1" applyAlignment="1">
      <alignment horizontal="right"/>
    </xf>
    <xf numFmtId="9" fontId="63" fillId="0" borderId="5" xfId="2" quotePrefix="1" applyFont="1" applyBorder="1" applyAlignment="1">
      <alignment horizontal="right"/>
    </xf>
    <xf numFmtId="166" fontId="63" fillId="0" borderId="0" xfId="2" applyNumberFormat="1" applyFont="1"/>
    <xf numFmtId="9" fontId="63" fillId="10" borderId="0" xfId="2" quotePrefix="1" applyFont="1" applyFill="1" applyAlignment="1">
      <alignment horizontal="right"/>
    </xf>
    <xf numFmtId="0" fontId="63" fillId="0" borderId="0" xfId="0" applyFont="1" applyAlignment="1">
      <alignment horizontal="left"/>
    </xf>
    <xf numFmtId="0" fontId="65" fillId="0" borderId="15" xfId="0" applyFont="1" applyBorder="1" applyAlignment="1">
      <alignment horizontal="left"/>
    </xf>
    <xf numFmtId="166" fontId="63" fillId="0" borderId="0" xfId="2" quotePrefix="1" applyNumberFormat="1" applyFont="1" applyAlignment="1">
      <alignment horizontal="right"/>
    </xf>
    <xf numFmtId="166" fontId="63" fillId="0" borderId="5" xfId="2" quotePrefix="1" applyNumberFormat="1" applyFont="1" applyBorder="1" applyAlignment="1">
      <alignment horizontal="right"/>
    </xf>
    <xf numFmtId="165" fontId="63" fillId="10" borderId="0" xfId="1" quotePrefix="1" applyNumberFormat="1" applyFont="1" applyFill="1" applyAlignment="1">
      <alignment horizontal="right"/>
    </xf>
    <xf numFmtId="43" fontId="63" fillId="0" borderId="0" xfId="1" quotePrefix="1" applyFont="1" applyAlignment="1">
      <alignment horizontal="right"/>
    </xf>
    <xf numFmtId="9" fontId="63" fillId="0" borderId="0" xfId="2" applyFont="1"/>
    <xf numFmtId="9" fontId="63" fillId="0" borderId="4" xfId="2" applyFont="1" applyBorder="1" applyAlignment="1">
      <alignment horizontal="right"/>
    </xf>
    <xf numFmtId="9" fontId="63" fillId="0" borderId="5" xfId="2" applyFont="1" applyBorder="1" applyAlignment="1">
      <alignment horizontal="right"/>
    </xf>
    <xf numFmtId="9" fontId="82" fillId="0" borderId="5" xfId="2" applyFont="1" applyBorder="1" applyAlignment="1">
      <alignment horizontal="right"/>
    </xf>
    <xf numFmtId="166" fontId="63" fillId="0" borderId="5" xfId="2" applyNumberFormat="1" applyFont="1" applyBorder="1" applyAlignment="1">
      <alignment horizontal="right"/>
    </xf>
    <xf numFmtId="166" fontId="63" fillId="10" borderId="0" xfId="2" applyNumberFormat="1" applyFont="1" applyFill="1" applyAlignment="1">
      <alignment horizontal="right"/>
    </xf>
    <xf numFmtId="9" fontId="63" fillId="10" borderId="0" xfId="2" applyFont="1" applyFill="1" applyAlignment="1">
      <alignment horizontal="right"/>
    </xf>
    <xf numFmtId="166" fontId="63" fillId="0" borderId="33" xfId="2" applyNumberFormat="1" applyFont="1" applyBorder="1" applyAlignment="1">
      <alignment horizontal="right"/>
    </xf>
    <xf numFmtId="9" fontId="63" fillId="0" borderId="34" xfId="2" applyFont="1" applyBorder="1" applyAlignment="1">
      <alignment horizontal="right"/>
    </xf>
    <xf numFmtId="166" fontId="63" fillId="10" borderId="33" xfId="2" applyNumberFormat="1" applyFont="1" applyFill="1" applyBorder="1" applyAlignment="1">
      <alignment horizontal="right"/>
    </xf>
    <xf numFmtId="165" fontId="63" fillId="10" borderId="0" xfId="1" applyNumberFormat="1" applyFont="1" applyFill="1" applyAlignment="1">
      <alignment horizontal="right"/>
    </xf>
    <xf numFmtId="164" fontId="63" fillId="0" borderId="5" xfId="1" applyNumberFormat="1" applyFont="1" applyBorder="1" applyAlignment="1">
      <alignment horizontal="right"/>
    </xf>
    <xf numFmtId="0" fontId="71" fillId="2" borderId="3" xfId="0" applyFont="1" applyFill="1" applyBorder="1" applyAlignment="1">
      <alignment horizontal="left"/>
    </xf>
    <xf numFmtId="0" fontId="71" fillId="2" borderId="0" xfId="0" applyFont="1" applyFill="1" applyAlignment="1">
      <alignment horizontal="left"/>
    </xf>
    <xf numFmtId="165" fontId="83" fillId="0" borderId="0" xfId="1" applyNumberFormat="1" applyFont="1" applyAlignment="1">
      <alignment horizontal="right"/>
    </xf>
    <xf numFmtId="165" fontId="82" fillId="0" borderId="0" xfId="1" applyNumberFormat="1" applyFont="1" applyAlignment="1">
      <alignment horizontal="right"/>
    </xf>
    <xf numFmtId="165" fontId="84" fillId="0" borderId="0" xfId="1" applyNumberFormat="1" applyFont="1" applyAlignment="1">
      <alignment horizontal="right"/>
    </xf>
    <xf numFmtId="165" fontId="82" fillId="0" borderId="5" xfId="1" applyNumberFormat="1" applyFont="1" applyBorder="1" applyAlignment="1">
      <alignment horizontal="right"/>
    </xf>
    <xf numFmtId="43" fontId="82" fillId="0" borderId="0" xfId="1" applyFont="1" applyAlignment="1">
      <alignment horizontal="right"/>
    </xf>
    <xf numFmtId="165" fontId="65" fillId="0" borderId="7" xfId="1" applyNumberFormat="1" applyFont="1" applyBorder="1" applyAlignment="1">
      <alignment horizontal="right"/>
    </xf>
    <xf numFmtId="165" fontId="65" fillId="0" borderId="8" xfId="1" applyNumberFormat="1" applyFont="1" applyBorder="1" applyAlignment="1">
      <alignment horizontal="right"/>
    </xf>
    <xf numFmtId="43" fontId="85" fillId="0" borderId="9" xfId="1" applyFont="1" applyBorder="1" applyAlignment="1">
      <alignment horizontal="right"/>
    </xf>
    <xf numFmtId="164" fontId="77" fillId="0" borderId="5" xfId="1" quotePrefix="1" applyNumberFormat="1" applyFont="1" applyBorder="1" applyAlignment="1">
      <alignment horizontal="right"/>
    </xf>
    <xf numFmtId="9" fontId="74" fillId="0" borderId="0" xfId="2" quotePrefix="1" applyFont="1" applyAlignment="1">
      <alignment horizontal="right"/>
    </xf>
    <xf numFmtId="9" fontId="74" fillId="10" borderId="0" xfId="2" quotePrefix="1" applyFont="1" applyFill="1" applyAlignment="1">
      <alignment horizontal="right"/>
    </xf>
    <xf numFmtId="0" fontId="74" fillId="0" borderId="0" xfId="0" applyFont="1"/>
    <xf numFmtId="164" fontId="77" fillId="0" borderId="31" xfId="1" quotePrefix="1" applyNumberFormat="1" applyFont="1" applyBorder="1" applyAlignment="1">
      <alignment horizontal="right"/>
    </xf>
    <xf numFmtId="9" fontId="74" fillId="0" borderId="32" xfId="2" quotePrefix="1" applyFont="1" applyBorder="1" applyAlignment="1">
      <alignment horizontal="right"/>
    </xf>
    <xf numFmtId="9" fontId="74" fillId="10" borderId="32" xfId="2" quotePrefix="1" applyFont="1" applyFill="1" applyBorder="1" applyAlignment="1">
      <alignment horizontal="right"/>
    </xf>
    <xf numFmtId="0" fontId="66" fillId="0" borderId="4" xfId="0" applyFont="1" applyBorder="1" applyAlignment="1">
      <alignment horizontal="left"/>
    </xf>
    <xf numFmtId="165" fontId="74" fillId="0" borderId="0" xfId="1" quotePrefix="1" applyNumberFormat="1" applyFont="1" applyAlignment="1">
      <alignment horizontal="right"/>
    </xf>
    <xf numFmtId="165" fontId="74" fillId="0" borderId="5" xfId="1" quotePrefix="1" applyNumberFormat="1" applyFont="1" applyBorder="1" applyAlignment="1">
      <alignment horizontal="right"/>
    </xf>
    <xf numFmtId="164" fontId="74" fillId="0" borderId="0" xfId="1" quotePrefix="1" applyNumberFormat="1" applyFont="1" applyAlignment="1">
      <alignment horizontal="right"/>
    </xf>
    <xf numFmtId="164" fontId="80" fillId="0" borderId="5" xfId="1" quotePrefix="1" applyNumberFormat="1" applyFont="1" applyBorder="1" applyAlignment="1">
      <alignment horizontal="right"/>
    </xf>
    <xf numFmtId="164" fontId="74" fillId="10" borderId="0" xfId="1" quotePrefix="1" applyNumberFormat="1" applyFont="1" applyFill="1" applyAlignment="1">
      <alignment horizontal="right"/>
    </xf>
    <xf numFmtId="164" fontId="74" fillId="0" borderId="5" xfId="1" quotePrefix="1" applyNumberFormat="1" applyFont="1" applyBorder="1" applyAlignment="1">
      <alignment horizontal="right"/>
    </xf>
    <xf numFmtId="43" fontId="74" fillId="0" borderId="0" xfId="1" quotePrefix="1" applyFont="1" applyAlignment="1">
      <alignment horizontal="right"/>
    </xf>
    <xf numFmtId="9" fontId="74" fillId="0" borderId="5" xfId="2" applyFont="1" applyBorder="1" applyAlignment="1">
      <alignment horizontal="right"/>
    </xf>
    <xf numFmtId="9" fontId="74" fillId="0" borderId="33" xfId="2" applyFont="1" applyBorder="1" applyAlignment="1">
      <alignment horizontal="right"/>
    </xf>
    <xf numFmtId="9" fontId="74" fillId="0" borderId="34" xfId="2" applyFont="1" applyBorder="1" applyAlignment="1">
      <alignment horizontal="right"/>
    </xf>
    <xf numFmtId="9" fontId="74" fillId="10" borderId="33" xfId="1" applyNumberFormat="1" applyFont="1" applyFill="1" applyBorder="1" applyAlignment="1">
      <alignment horizontal="right"/>
    </xf>
    <xf numFmtId="165" fontId="63" fillId="0" borderId="32" xfId="1" applyNumberFormat="1" applyFont="1" applyBorder="1" applyAlignment="1">
      <alignment horizontal="right"/>
    </xf>
    <xf numFmtId="9" fontId="74" fillId="0" borderId="32" xfId="2" applyFont="1" applyBorder="1" applyAlignment="1">
      <alignment horizontal="right"/>
    </xf>
    <xf numFmtId="9" fontId="74" fillId="0" borderId="31" xfId="2" applyFont="1" applyBorder="1" applyAlignment="1">
      <alignment horizontal="right"/>
    </xf>
    <xf numFmtId="9" fontId="74" fillId="10" borderId="32" xfId="1" applyNumberFormat="1" applyFont="1" applyFill="1" applyBorder="1" applyAlignment="1">
      <alignment horizontal="right"/>
    </xf>
    <xf numFmtId="9" fontId="74" fillId="10" borderId="0" xfId="2" applyFont="1" applyFill="1" applyAlignment="1">
      <alignment horizontal="right"/>
    </xf>
    <xf numFmtId="9" fontId="74" fillId="0" borderId="0" xfId="2" applyFont="1" applyAlignment="1">
      <alignment horizontal="right"/>
    </xf>
    <xf numFmtId="9" fontId="74" fillId="0" borderId="6" xfId="2" applyFont="1" applyBorder="1" applyAlignment="1">
      <alignment horizontal="right"/>
    </xf>
    <xf numFmtId="9" fontId="74" fillId="0" borderId="7" xfId="2" applyFont="1" applyBorder="1" applyAlignment="1">
      <alignment horizontal="right"/>
    </xf>
    <xf numFmtId="9" fontId="74" fillId="0" borderId="10" xfId="2" applyFont="1" applyBorder="1" applyAlignment="1">
      <alignment horizontal="right"/>
    </xf>
    <xf numFmtId="9" fontId="74" fillId="10" borderId="7" xfId="2" applyFont="1" applyFill="1" applyBorder="1" applyAlignment="1">
      <alignment horizontal="right"/>
    </xf>
    <xf numFmtId="9" fontId="74" fillId="10" borderId="10" xfId="2" applyFont="1" applyFill="1" applyBorder="1" applyAlignment="1">
      <alignment horizontal="right"/>
    </xf>
    <xf numFmtId="9" fontId="74" fillId="10" borderId="6" xfId="2" applyFont="1" applyFill="1" applyBorder="1" applyAlignment="1">
      <alignment horizontal="right"/>
    </xf>
    <xf numFmtId="9" fontId="74" fillId="0" borderId="8" xfId="2" applyFont="1" applyBorder="1" applyAlignment="1">
      <alignment horizontal="right"/>
    </xf>
    <xf numFmtId="164" fontId="63" fillId="0" borderId="0" xfId="1" applyNumberFormat="1" applyFont="1" applyAlignment="1">
      <alignment horizontal="left"/>
    </xf>
    <xf numFmtId="165" fontId="83" fillId="0" borderId="3" xfId="1" applyNumberFormat="1" applyFont="1" applyBorder="1" applyAlignment="1">
      <alignment horizontal="right"/>
    </xf>
    <xf numFmtId="43" fontId="63" fillId="0" borderId="4" xfId="1" applyFont="1" applyBorder="1" applyAlignment="1">
      <alignment horizontal="right"/>
    </xf>
    <xf numFmtId="165" fontId="63" fillId="0" borderId="2" xfId="1" applyNumberFormat="1" applyFont="1" applyBorder="1" applyAlignment="1">
      <alignment horizontal="right"/>
    </xf>
    <xf numFmtId="166" fontId="63" fillId="10" borderId="0" xfId="2" quotePrefix="1" applyNumberFormat="1" applyFont="1" applyFill="1" applyAlignment="1">
      <alignment horizontal="right"/>
    </xf>
    <xf numFmtId="164" fontId="75" fillId="0" borderId="5" xfId="1" quotePrefix="1" applyNumberFormat="1" applyFont="1" applyBorder="1" applyAlignment="1">
      <alignment horizontal="right"/>
    </xf>
    <xf numFmtId="9" fontId="65" fillId="0" borderId="2" xfId="2" quotePrefix="1" applyFont="1" applyBorder="1" applyAlignment="1">
      <alignment horizontal="right"/>
    </xf>
    <xf numFmtId="164" fontId="79" fillId="0" borderId="2" xfId="1" quotePrefix="1" applyNumberFormat="1" applyFont="1" applyBorder="1" applyAlignment="1">
      <alignment horizontal="right"/>
    </xf>
    <xf numFmtId="164" fontId="65" fillId="0" borderId="0" xfId="1" quotePrefix="1" applyNumberFormat="1" applyFont="1" applyAlignment="1">
      <alignment horizontal="right"/>
    </xf>
    <xf numFmtId="0" fontId="63" fillId="0" borderId="3" xfId="0" applyFont="1" applyBorder="1"/>
    <xf numFmtId="9" fontId="83" fillId="0" borderId="0" xfId="2" applyFont="1" applyAlignment="1">
      <alignment horizontal="right"/>
    </xf>
    <xf numFmtId="9" fontId="82" fillId="0" borderId="0" xfId="2" applyFont="1" applyAlignment="1">
      <alignment horizontal="right"/>
    </xf>
    <xf numFmtId="9" fontId="84" fillId="0" borderId="0" xfId="2" applyFont="1" applyAlignment="1">
      <alignment horizontal="right"/>
    </xf>
    <xf numFmtId="43" fontId="65" fillId="0" borderId="0" xfId="1" quotePrefix="1" applyFont="1" applyAlignment="1">
      <alignment horizontal="right"/>
    </xf>
    <xf numFmtId="0" fontId="66" fillId="0" borderId="3" xfId="0" applyFont="1" applyBorder="1"/>
    <xf numFmtId="164" fontId="63" fillId="0" borderId="4" xfId="1" applyNumberFormat="1" applyFont="1" applyBorder="1" applyAlignment="1">
      <alignment horizontal="right"/>
    </xf>
    <xf numFmtId="5" fontId="63" fillId="0" borderId="4" xfId="1" applyNumberFormat="1" applyFont="1" applyBorder="1" applyAlignment="1">
      <alignment horizontal="right"/>
    </xf>
    <xf numFmtId="165" fontId="65" fillId="0" borderId="15" xfId="1" applyNumberFormat="1" applyFont="1" applyBorder="1" applyAlignment="1">
      <alignment horizontal="right"/>
    </xf>
    <xf numFmtId="43" fontId="63" fillId="10" borderId="4" xfId="1" applyFont="1" applyFill="1" applyBorder="1" applyAlignment="1">
      <alignment horizontal="right"/>
    </xf>
    <xf numFmtId="166" fontId="63" fillId="10" borderId="4" xfId="1" applyNumberFormat="1" applyFont="1" applyFill="1" applyBorder="1" applyAlignment="1">
      <alignment horizontal="right"/>
    </xf>
    <xf numFmtId="166" fontId="65" fillId="0" borderId="4" xfId="2" applyNumberFormat="1" applyFont="1" applyBorder="1" applyAlignment="1">
      <alignment horizontal="right"/>
    </xf>
    <xf numFmtId="10" fontId="63" fillId="10" borderId="4" xfId="2" applyNumberFormat="1" applyFont="1" applyFill="1" applyBorder="1" applyAlignment="1">
      <alignment horizontal="right"/>
    </xf>
    <xf numFmtId="166" fontId="63" fillId="0" borderId="4" xfId="2" applyNumberFormat="1" applyFont="1" applyBorder="1" applyAlignment="1">
      <alignment horizontal="right"/>
    </xf>
    <xf numFmtId="166" fontId="65" fillId="0" borderId="15" xfId="2" applyNumberFormat="1" applyFont="1" applyBorder="1" applyAlignment="1">
      <alignment horizontal="right"/>
    </xf>
    <xf numFmtId="166" fontId="63" fillId="10" borderId="4" xfId="2" applyNumberFormat="1" applyFont="1" applyFill="1" applyBorder="1" applyAlignment="1">
      <alignment horizontal="right"/>
    </xf>
    <xf numFmtId="43" fontId="75" fillId="0" borderId="4" xfId="1" applyFont="1" applyBorder="1" applyAlignment="1">
      <alignment horizontal="right"/>
    </xf>
    <xf numFmtId="0" fontId="63" fillId="0" borderId="0" xfId="0" applyFont="1" applyAlignment="1">
      <alignment vertical="top" wrapText="1"/>
    </xf>
    <xf numFmtId="0" fontId="63" fillId="0" borderId="1" xfId="0" applyFont="1" applyBorder="1"/>
    <xf numFmtId="0" fontId="4" fillId="0" borderId="0" xfId="0" applyFont="1"/>
    <xf numFmtId="164" fontId="63" fillId="0" borderId="32" xfId="1" applyNumberFormat="1" applyFont="1" applyBorder="1" applyAlignment="1">
      <alignment horizontal="right"/>
    </xf>
    <xf numFmtId="165" fontId="63" fillId="0" borderId="31" xfId="1" applyNumberFormat="1" applyFont="1" applyBorder="1" applyAlignment="1">
      <alignment horizontal="right"/>
    </xf>
    <xf numFmtId="165" fontId="0" fillId="0" borderId="33" xfId="1" applyNumberFormat="1" applyFont="1" applyBorder="1" applyAlignment="1">
      <alignment horizontal="right"/>
    </xf>
    <xf numFmtId="165" fontId="74" fillId="10" borderId="0" xfId="1" applyNumberFormat="1" applyFont="1" applyFill="1" applyAlignment="1">
      <alignment horizontal="right"/>
    </xf>
    <xf numFmtId="165" fontId="74" fillId="10" borderId="5" xfId="1" applyNumberFormat="1" applyFont="1" applyFill="1" applyBorder="1" applyAlignment="1">
      <alignment horizontal="right"/>
    </xf>
    <xf numFmtId="165" fontId="8" fillId="10" borderId="5" xfId="1" applyNumberFormat="1" applyFont="1" applyFill="1" applyBorder="1" applyAlignment="1">
      <alignment horizontal="right"/>
    </xf>
    <xf numFmtId="0" fontId="2" fillId="0" borderId="3" xfId="0" applyFont="1" applyBorder="1" applyAlignment="1">
      <alignment horizontal="left" indent="1"/>
    </xf>
    <xf numFmtId="0" fontId="65" fillId="0" borderId="3" xfId="0" applyFont="1" applyBorder="1" applyAlignment="1">
      <alignment horizontal="left" indent="1"/>
    </xf>
    <xf numFmtId="0" fontId="65" fillId="0" borderId="6" xfId="0" applyFont="1" applyBorder="1" applyAlignment="1">
      <alignment horizontal="left" indent="1"/>
    </xf>
    <xf numFmtId="0" fontId="87" fillId="0" borderId="35" xfId="0" applyFont="1" applyBorder="1" applyAlignment="1">
      <alignment vertical="top"/>
    </xf>
    <xf numFmtId="0" fontId="0" fillId="0" borderId="5" xfId="0" applyBorder="1" applyAlignment="1">
      <alignment horizontal="left" vertical="top" wrapText="1"/>
    </xf>
    <xf numFmtId="0" fontId="0" fillId="0" borderId="36" xfId="0" applyBorder="1" applyAlignment="1">
      <alignment horizontal="left" vertical="top" wrapText="1"/>
    </xf>
    <xf numFmtId="10" fontId="0" fillId="0" borderId="0" xfId="2" applyNumberFormat="1" applyFont="1"/>
    <xf numFmtId="0" fontId="0" fillId="0" borderId="0" xfId="0" applyAlignment="1">
      <alignment horizontal="left" indent="1"/>
    </xf>
    <xf numFmtId="0" fontId="61" fillId="0" borderId="0" xfId="329" applyAlignment="1">
      <alignment horizontal="left" indent="1"/>
    </xf>
    <xf numFmtId="0" fontId="0" fillId="0" borderId="34" xfId="0" applyBorder="1" applyAlignment="1">
      <alignment horizontal="left" vertical="top" wrapText="1"/>
    </xf>
    <xf numFmtId="0" fontId="61" fillId="0" borderId="8" xfId="329" applyBorder="1" applyAlignment="1">
      <alignment horizontal="left" vertical="top" wrapText="1"/>
    </xf>
    <xf numFmtId="0" fontId="0" fillId="0" borderId="36" xfId="0" applyBorder="1" applyAlignment="1">
      <alignment vertical="top" wrapText="1"/>
    </xf>
    <xf numFmtId="0" fontId="0" fillId="0" borderId="34" xfId="0" applyBorder="1" applyAlignment="1">
      <alignment vertical="top" wrapText="1"/>
    </xf>
    <xf numFmtId="0" fontId="0" fillId="0" borderId="37" xfId="0" applyBorder="1" applyAlignment="1">
      <alignment vertical="top" wrapText="1"/>
    </xf>
    <xf numFmtId="0" fontId="0" fillId="0" borderId="0" xfId="0" applyAlignment="1">
      <alignment vertical="top"/>
    </xf>
    <xf numFmtId="0" fontId="0" fillId="12" borderId="0" xfId="0" applyFill="1"/>
    <xf numFmtId="164" fontId="11" fillId="2" borderId="38" xfId="1" quotePrefix="1" applyNumberFormat="1" applyFont="1" applyFill="1" applyBorder="1" applyAlignment="1">
      <alignment horizontal="center" vertical="center" wrapText="1"/>
    </xf>
    <xf numFmtId="14" fontId="0" fillId="0" borderId="39" xfId="0" applyNumberFormat="1" applyBorder="1"/>
    <xf numFmtId="0" fontId="0" fillId="0" borderId="40" xfId="0" applyBorder="1"/>
    <xf numFmtId="10" fontId="0" fillId="0" borderId="40" xfId="2" applyNumberFormat="1" applyFont="1" applyBorder="1"/>
    <xf numFmtId="10" fontId="0" fillId="0" borderId="40" xfId="0" applyNumberFormat="1" applyBorder="1"/>
    <xf numFmtId="0" fontId="0" fillId="0" borderId="41" xfId="0" applyBorder="1"/>
    <xf numFmtId="14" fontId="0" fillId="0" borderId="42" xfId="0" applyNumberFormat="1" applyBorder="1"/>
    <xf numFmtId="227" fontId="0" fillId="0" borderId="43" xfId="0" applyNumberFormat="1" applyBorder="1"/>
    <xf numFmtId="14" fontId="0" fillId="0" borderId="44" xfId="0" applyNumberFormat="1" applyBorder="1"/>
    <xf numFmtId="0" fontId="0" fillId="0" borderId="45" xfId="0" applyBorder="1"/>
    <xf numFmtId="10" fontId="0" fillId="0" borderId="45" xfId="2" applyNumberFormat="1" applyFont="1" applyBorder="1"/>
    <xf numFmtId="10" fontId="0" fillId="0" borderId="45" xfId="0" applyNumberFormat="1" applyBorder="1"/>
    <xf numFmtId="227" fontId="0" fillId="0" borderId="46" xfId="0" applyNumberFormat="1" applyBorder="1"/>
    <xf numFmtId="0" fontId="0" fillId="0" borderId="42" xfId="0" applyBorder="1"/>
    <xf numFmtId="0" fontId="2" fillId="12" borderId="0" xfId="0" applyFont="1" applyFill="1" applyAlignment="1">
      <alignment horizontal="right"/>
    </xf>
    <xf numFmtId="10" fontId="2" fillId="12" borderId="0" xfId="0" applyNumberFormat="1" applyFont="1" applyFill="1"/>
    <xf numFmtId="0" fontId="0" fillId="0" borderId="43" xfId="0" applyBorder="1"/>
    <xf numFmtId="0" fontId="2" fillId="0" borderId="0" xfId="0" applyFont="1" applyAlignment="1">
      <alignment horizontal="right"/>
    </xf>
    <xf numFmtId="227" fontId="2" fillId="0" borderId="43" xfId="0" applyNumberFormat="1" applyFont="1" applyBorder="1"/>
    <xf numFmtId="0" fontId="2" fillId="0" borderId="43" xfId="0" applyFont="1" applyBorder="1"/>
    <xf numFmtId="10" fontId="2" fillId="12" borderId="43" xfId="2" applyNumberFormat="1" applyFont="1" applyFill="1" applyBorder="1"/>
    <xf numFmtId="0" fontId="62" fillId="0" borderId="0" xfId="0" applyFont="1" applyAlignment="1">
      <alignment horizontal="right"/>
    </xf>
    <xf numFmtId="10" fontId="62" fillId="0" borderId="43" xfId="1" applyNumberFormat="1" applyFont="1" applyBorder="1"/>
    <xf numFmtId="0" fontId="0" fillId="0" borderId="44" xfId="0" applyBorder="1"/>
    <xf numFmtId="0" fontId="2" fillId="0" borderId="45" xfId="0" applyFont="1" applyBorder="1" applyAlignment="1">
      <alignment horizontal="right"/>
    </xf>
    <xf numFmtId="10" fontId="2" fillId="0" borderId="46" xfId="2" applyNumberFormat="1" applyFont="1" applyBorder="1"/>
    <xf numFmtId="164" fontId="59" fillId="3" borderId="35" xfId="1" quotePrefix="1" applyNumberFormat="1" applyFont="1" applyFill="1" applyBorder="1" applyAlignment="1">
      <alignment horizontal="right"/>
    </xf>
    <xf numFmtId="164" fontId="60" fillId="3" borderId="5" xfId="1" quotePrefix="1" applyNumberFormat="1" applyFont="1" applyFill="1" applyBorder="1" applyAlignment="1">
      <alignment horizontal="right"/>
    </xf>
    <xf numFmtId="164" fontId="70" fillId="3" borderId="35" xfId="1" quotePrefix="1" applyNumberFormat="1" applyFont="1" applyFill="1" applyBorder="1" applyAlignment="1">
      <alignment horizontal="right"/>
    </xf>
    <xf numFmtId="164" fontId="73" fillId="3" borderId="5" xfId="1" quotePrefix="1" applyNumberFormat="1" applyFont="1" applyFill="1" applyBorder="1" applyAlignment="1">
      <alignment horizontal="right"/>
    </xf>
    <xf numFmtId="164" fontId="69" fillId="2" borderId="35" xfId="1" quotePrefix="1" applyNumberFormat="1" applyFont="1" applyFill="1" applyBorder="1" applyAlignment="1">
      <alignment horizontal="right"/>
    </xf>
    <xf numFmtId="164" fontId="12" fillId="2" borderId="5" xfId="1" quotePrefix="1" applyNumberFormat="1" applyFont="1" applyFill="1" applyBorder="1" applyAlignment="1">
      <alignment horizontal="right"/>
    </xf>
    <xf numFmtId="7" fontId="63" fillId="0" borderId="33" xfId="1" applyNumberFormat="1" applyFont="1" applyBorder="1" applyAlignment="1">
      <alignment horizontal="right"/>
    </xf>
    <xf numFmtId="7" fontId="0" fillId="0" borderId="33" xfId="1" applyNumberFormat="1" applyFont="1" applyBorder="1" applyAlignment="1">
      <alignment horizontal="right"/>
    </xf>
    <xf numFmtId="167" fontId="63" fillId="0" borderId="33" xfId="1" applyNumberFormat="1" applyFont="1" applyBorder="1" applyAlignment="1">
      <alignment horizontal="right"/>
    </xf>
    <xf numFmtId="0" fontId="0" fillId="0" borderId="3" xfId="0" applyBorder="1" applyAlignment="1">
      <alignment horizontal="left" indent="1"/>
    </xf>
    <xf numFmtId="165" fontId="63" fillId="10" borderId="5" xfId="1" quotePrefix="1" applyNumberFormat="1" applyFont="1" applyFill="1" applyBorder="1" applyAlignment="1">
      <alignment horizontal="right"/>
    </xf>
    <xf numFmtId="0" fontId="89" fillId="0" borderId="3" xfId="0" applyFont="1" applyBorder="1" applyAlignment="1">
      <alignment horizontal="left"/>
    </xf>
    <xf numFmtId="0" fontId="89" fillId="0" borderId="4" xfId="0" applyFont="1" applyBorder="1" applyAlignment="1">
      <alignment horizontal="left"/>
    </xf>
    <xf numFmtId="165" fontId="89" fillId="0" borderId="0" xfId="1" quotePrefix="1" applyNumberFormat="1" applyFont="1" applyAlignment="1">
      <alignment horizontal="right"/>
    </xf>
    <xf numFmtId="165" fontId="89" fillId="0" borderId="5" xfId="1" quotePrefix="1" applyNumberFormat="1" applyFont="1" applyBorder="1" applyAlignment="1">
      <alignment horizontal="right"/>
    </xf>
    <xf numFmtId="164" fontId="12" fillId="2" borderId="34" xfId="1" quotePrefix="1" applyNumberFormat="1" applyFont="1" applyFill="1" applyBorder="1" applyAlignment="1">
      <alignment horizontal="right"/>
    </xf>
    <xf numFmtId="164" fontId="73" fillId="3" borderId="34" xfId="1" quotePrefix="1" applyNumberFormat="1" applyFont="1" applyFill="1" applyBorder="1" applyAlignment="1">
      <alignment horizontal="right"/>
    </xf>
    <xf numFmtId="165" fontId="63" fillId="0" borderId="7" xfId="1" applyNumberFormat="1" applyFont="1" applyBorder="1" applyAlignment="1">
      <alignment horizontal="right"/>
    </xf>
    <xf numFmtId="164" fontId="63" fillId="0" borderId="7" xfId="1" applyNumberFormat="1" applyFont="1" applyBorder="1" applyAlignment="1">
      <alignment horizontal="right"/>
    </xf>
    <xf numFmtId="165" fontId="63" fillId="0" borderId="8" xfId="1" applyNumberFormat="1" applyFont="1" applyBorder="1" applyAlignment="1">
      <alignment horizontal="right"/>
    </xf>
    <xf numFmtId="0" fontId="0" fillId="0" borderId="14" xfId="0" applyBorder="1" applyAlignment="1">
      <alignment horizontal="left"/>
    </xf>
    <xf numFmtId="0" fontId="61" fillId="0" borderId="0" xfId="329"/>
    <xf numFmtId="0" fontId="40" fillId="0" borderId="0" xfId="0" applyFont="1"/>
    <xf numFmtId="225" fontId="0" fillId="10" borderId="0" xfId="0" applyNumberFormat="1" applyFill="1"/>
    <xf numFmtId="226" fontId="0" fillId="10" borderId="0" xfId="0" applyNumberFormat="1" applyFill="1"/>
    <xf numFmtId="225" fontId="0" fillId="13" borderId="0" xfId="0" applyNumberFormat="1" applyFill="1"/>
    <xf numFmtId="226" fontId="0" fillId="13" borderId="0" xfId="0" applyNumberFormat="1" applyFill="1"/>
    <xf numFmtId="43" fontId="63" fillId="0" borderId="6" xfId="1" applyFont="1" applyBorder="1" applyAlignment="1">
      <alignment horizontal="right"/>
    </xf>
    <xf numFmtId="43" fontId="63" fillId="0" borderId="7" xfId="1" applyFont="1" applyBorder="1" applyAlignment="1">
      <alignment horizontal="right"/>
    </xf>
    <xf numFmtId="43" fontId="63" fillId="0" borderId="10" xfId="1" applyFont="1" applyBorder="1" applyAlignment="1">
      <alignment horizontal="right"/>
    </xf>
    <xf numFmtId="43" fontId="63" fillId="0" borderId="8" xfId="1" applyFont="1" applyBorder="1" applyAlignment="1">
      <alignment horizontal="right"/>
    </xf>
    <xf numFmtId="0" fontId="63" fillId="0" borderId="3" xfId="0" applyFont="1" applyBorder="1" applyAlignment="1">
      <alignment horizontal="left" indent="1"/>
    </xf>
    <xf numFmtId="7" fontId="63" fillId="10" borderId="33" xfId="1" applyNumberFormat="1" applyFont="1" applyFill="1" applyBorder="1" applyAlignment="1">
      <alignment horizontal="right"/>
    </xf>
    <xf numFmtId="165" fontId="1" fillId="0" borderId="3" xfId="1" applyNumberFormat="1" applyBorder="1" applyAlignment="1">
      <alignment horizontal="right"/>
    </xf>
    <xf numFmtId="165" fontId="1" fillId="0" borderId="5" xfId="1" applyNumberFormat="1" applyBorder="1" applyAlignment="1">
      <alignment horizontal="right"/>
    </xf>
    <xf numFmtId="43" fontId="84" fillId="0" borderId="0" xfId="1" applyFont="1" applyAlignment="1">
      <alignment horizontal="right"/>
    </xf>
    <xf numFmtId="165" fontId="76" fillId="10" borderId="0" xfId="1" applyNumberFormat="1" applyFont="1" applyFill="1" applyAlignment="1">
      <alignment horizontal="right"/>
    </xf>
    <xf numFmtId="9" fontId="7" fillId="0" borderId="0" xfId="2" quotePrefix="1" applyFont="1" applyAlignment="1">
      <alignment horizontal="right"/>
    </xf>
    <xf numFmtId="9" fontId="81" fillId="0" borderId="7" xfId="1" applyNumberFormat="1" applyFont="1" applyBorder="1" applyAlignment="1">
      <alignment horizontal="right"/>
    </xf>
    <xf numFmtId="165" fontId="77" fillId="11" borderId="0" xfId="1" applyNumberFormat="1" applyFont="1" applyFill="1" applyAlignment="1">
      <alignment horizontal="right"/>
    </xf>
    <xf numFmtId="165" fontId="76" fillId="11" borderId="0" xfId="1" applyNumberFormat="1" applyFont="1" applyFill="1" applyAlignment="1">
      <alignment horizontal="right"/>
    </xf>
    <xf numFmtId="0" fontId="63" fillId="0" borderId="6" xfId="0" applyFont="1" applyBorder="1" applyAlignment="1">
      <alignment horizontal="left" indent="1"/>
    </xf>
    <xf numFmtId="165" fontId="80" fillId="11" borderId="0" xfId="1" applyNumberFormat="1" applyFont="1" applyFill="1" applyAlignment="1">
      <alignment horizontal="right"/>
    </xf>
    <xf numFmtId="228" fontId="63" fillId="0" borderId="5" xfId="1" quotePrefix="1" applyNumberFormat="1" applyFont="1" applyBorder="1" applyAlignment="1">
      <alignment horizontal="right"/>
    </xf>
    <xf numFmtId="0" fontId="89" fillId="0" borderId="0" xfId="0" applyFont="1"/>
    <xf numFmtId="0" fontId="91" fillId="0" borderId="12" xfId="0" applyFont="1" applyBorder="1" applyAlignment="1">
      <alignment horizontal="left"/>
    </xf>
    <xf numFmtId="0" fontId="91" fillId="0" borderId="13" xfId="0" applyFont="1" applyBorder="1" applyAlignment="1">
      <alignment horizontal="left"/>
    </xf>
    <xf numFmtId="165" fontId="91" fillId="0" borderId="47" xfId="1" applyNumberFormat="1" applyFont="1" applyBorder="1" applyAlignment="1">
      <alignment horizontal="right"/>
    </xf>
    <xf numFmtId="165" fontId="91" fillId="0" borderId="36" xfId="1" applyNumberFormat="1" applyFont="1" applyBorder="1" applyAlignment="1">
      <alignment horizontal="right"/>
    </xf>
    <xf numFmtId="0" fontId="2" fillId="0" borderId="4" xfId="0" applyFont="1" applyBorder="1" applyAlignment="1">
      <alignment horizontal="left"/>
    </xf>
    <xf numFmtId="165" fontId="80" fillId="0" borderId="3" xfId="1" applyNumberFormat="1" applyFont="1" applyBorder="1" applyAlignment="1">
      <alignment horizontal="right"/>
    </xf>
    <xf numFmtId="165" fontId="80" fillId="0" borderId="4" xfId="1" applyNumberFormat="1" applyFont="1" applyBorder="1" applyAlignment="1">
      <alignment horizontal="right"/>
    </xf>
    <xf numFmtId="165" fontId="9" fillId="11" borderId="0" xfId="1" applyNumberFormat="1" applyFont="1" applyFill="1" applyAlignment="1">
      <alignment horizontal="right"/>
    </xf>
    <xf numFmtId="166" fontId="81" fillId="0" borderId="7" xfId="2" applyNumberFormat="1" applyFont="1" applyBorder="1" applyAlignment="1">
      <alignment horizontal="right"/>
    </xf>
    <xf numFmtId="165" fontId="9" fillId="9" borderId="0" xfId="1" applyNumberFormat="1" applyFont="1" applyFill="1" applyAlignment="1">
      <alignment horizontal="right"/>
    </xf>
    <xf numFmtId="165" fontId="9" fillId="9" borderId="5" xfId="1" applyNumberFormat="1" applyFont="1" applyFill="1" applyBorder="1" applyAlignment="1">
      <alignment horizontal="right"/>
    </xf>
    <xf numFmtId="43" fontId="77" fillId="9" borderId="0" xfId="1" applyFont="1" applyFill="1" applyAlignment="1">
      <alignment horizontal="right"/>
    </xf>
    <xf numFmtId="43" fontId="77" fillId="9" borderId="5" xfId="1" applyFont="1" applyFill="1" applyBorder="1" applyAlignment="1">
      <alignment horizontal="right"/>
    </xf>
    <xf numFmtId="0" fontId="65" fillId="0" borderId="6" xfId="0" applyFont="1" applyBorder="1"/>
    <xf numFmtId="0" fontId="0" fillId="0" borderId="3" xfId="0" applyBorder="1"/>
    <xf numFmtId="43" fontId="4" fillId="0" borderId="4" xfId="1" quotePrefix="1" applyFont="1" applyBorder="1" applyAlignment="1">
      <alignment horizontal="right"/>
    </xf>
    <xf numFmtId="5" fontId="65" fillId="0" borderId="10" xfId="1" applyNumberFormat="1" applyFont="1" applyBorder="1" applyAlignment="1">
      <alignment horizontal="right"/>
    </xf>
    <xf numFmtId="10" fontId="0" fillId="0" borderId="0" xfId="0" applyNumberFormat="1"/>
    <xf numFmtId="228" fontId="63" fillId="0" borderId="4" xfId="2" applyNumberFormat="1" applyFont="1" applyBorder="1" applyAlignment="1">
      <alignment horizontal="right"/>
    </xf>
    <xf numFmtId="228" fontId="63" fillId="0" borderId="4" xfId="1" applyNumberFormat="1" applyFont="1" applyBorder="1" applyAlignment="1">
      <alignment horizontal="right"/>
    </xf>
    <xf numFmtId="228" fontId="63" fillId="10" borderId="4" xfId="1" applyNumberFormat="1" applyFont="1" applyFill="1" applyBorder="1" applyAlignment="1">
      <alignment horizontal="right"/>
    </xf>
    <xf numFmtId="0" fontId="92" fillId="0" borderId="0" xfId="0" applyFont="1" applyAlignment="1">
      <alignment horizontal="right"/>
    </xf>
    <xf numFmtId="0" fontId="65" fillId="0" borderId="14" xfId="0" applyFont="1" applyBorder="1" applyAlignment="1">
      <alignment horizontal="left" indent="1"/>
    </xf>
    <xf numFmtId="0" fontId="2" fillId="0" borderId="14" xfId="0" applyFont="1" applyBorder="1" applyAlignment="1">
      <alignment horizontal="left" indent="1"/>
    </xf>
    <xf numFmtId="0" fontId="5" fillId="0" borderId="3" xfId="0" applyFont="1" applyBorder="1"/>
    <xf numFmtId="0" fontId="63" fillId="0" borderId="6" xfId="0" applyFont="1" applyBorder="1"/>
    <xf numFmtId="7" fontId="63" fillId="0" borderId="0" xfId="0" applyNumberFormat="1" applyFont="1" applyAlignment="1">
      <alignment horizontal="right"/>
    </xf>
    <xf numFmtId="9" fontId="63" fillId="10" borderId="4" xfId="2" applyFont="1" applyFill="1" applyBorder="1" applyAlignment="1">
      <alignment horizontal="right"/>
    </xf>
    <xf numFmtId="6" fontId="63" fillId="0" borderId="10" xfId="0" applyNumberFormat="1" applyFont="1" applyBorder="1"/>
    <xf numFmtId="164" fontId="84" fillId="0" borderId="0" xfId="1" applyNumberFormat="1" applyFont="1" applyAlignment="1">
      <alignment horizontal="right"/>
    </xf>
    <xf numFmtId="0" fontId="0" fillId="0" borderId="5"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7" fillId="0" borderId="31" xfId="0" applyFont="1" applyBorder="1" applyAlignment="1">
      <alignment wrapText="1"/>
    </xf>
    <xf numFmtId="0" fontId="0" fillId="0" borderId="36" xfId="1" applyNumberFormat="1" applyFont="1" applyBorder="1" applyAlignment="1">
      <alignment horizontal="left" wrapText="1"/>
    </xf>
    <xf numFmtId="0" fontId="0" fillId="0" borderId="31" xfId="0" applyBorder="1" applyAlignment="1">
      <alignment vertical="top" wrapText="1"/>
    </xf>
    <xf numFmtId="0" fontId="0" fillId="0" borderId="36" xfId="0" applyBorder="1" applyAlignment="1">
      <alignment wrapText="1"/>
    </xf>
    <xf numFmtId="0" fontId="0" fillId="0" borderId="36" xfId="0" applyFill="1" applyBorder="1" applyAlignment="1">
      <alignment horizontal="left" vertical="top" wrapText="1"/>
    </xf>
    <xf numFmtId="0" fontId="0" fillId="0" borderId="5" xfId="0" applyFill="1" applyBorder="1" applyAlignment="1">
      <alignment horizontal="left" vertical="top" wrapText="1"/>
    </xf>
    <xf numFmtId="0" fontId="78" fillId="0" borderId="36" xfId="0" applyFont="1" applyFill="1" applyBorder="1" applyAlignment="1">
      <alignment horizontal="left" vertical="top" wrapText="1"/>
    </xf>
    <xf numFmtId="0" fontId="78" fillId="0" borderId="3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36" xfId="0" applyFont="1" applyFill="1" applyBorder="1" applyAlignment="1">
      <alignment horizontal="left" vertical="top" wrapText="1"/>
    </xf>
    <xf numFmtId="43" fontId="64" fillId="0" borderId="0" xfId="1" applyFont="1" applyAlignment="1">
      <alignment horizontal="right"/>
    </xf>
    <xf numFmtId="0" fontId="63" fillId="0" borderId="4" xfId="0" applyFont="1" applyBorder="1" applyAlignment="1">
      <alignment horizontal="left"/>
    </xf>
    <xf numFmtId="0" fontId="65" fillId="0" borderId="4" xfId="0" applyFont="1" applyBorder="1" applyAlignment="1">
      <alignment horizontal="left" indent="1"/>
    </xf>
    <xf numFmtId="0" fontId="0" fillId="0" borderId="3" xfId="0" applyBorder="1" applyAlignment="1">
      <alignment horizontal="left"/>
    </xf>
    <xf numFmtId="0" fontId="2" fillId="0" borderId="3" xfId="0" applyFont="1" applyBorder="1" applyAlignment="1">
      <alignment horizontal="left" indent="1"/>
    </xf>
    <xf numFmtId="0" fontId="0" fillId="10" borderId="1" xfId="0" applyFill="1" applyBorder="1" applyAlignment="1">
      <alignment horizontal="left"/>
    </xf>
    <xf numFmtId="0" fontId="63" fillId="10" borderId="11" xfId="0" applyFont="1" applyFill="1" applyBorder="1" applyAlignment="1">
      <alignment horizontal="left"/>
    </xf>
    <xf numFmtId="0" fontId="0" fillId="11" borderId="3" xfId="0" applyFill="1" applyBorder="1" applyAlignment="1">
      <alignment horizontal="left"/>
    </xf>
    <xf numFmtId="0" fontId="63" fillId="11" borderId="4" xfId="0" applyFont="1" applyFill="1" applyBorder="1" applyAlignment="1">
      <alignment horizontal="left"/>
    </xf>
    <xf numFmtId="0" fontId="0" fillId="9" borderId="6" xfId="0" applyFill="1" applyBorder="1" applyAlignment="1">
      <alignment horizontal="left"/>
    </xf>
    <xf numFmtId="0" fontId="63" fillId="9" borderId="10" xfId="0" applyFont="1" applyFill="1" applyBorder="1" applyAlignment="1">
      <alignment horizontal="left"/>
    </xf>
    <xf numFmtId="0" fontId="68" fillId="2" borderId="1" xfId="0" applyFont="1" applyFill="1" applyBorder="1" applyAlignment="1">
      <alignment horizontal="left"/>
    </xf>
    <xf numFmtId="0" fontId="68" fillId="2" borderId="2" xfId="0" applyFont="1" applyFill="1" applyBorder="1" applyAlignment="1">
      <alignment horizontal="left"/>
    </xf>
    <xf numFmtId="0" fontId="71" fillId="2" borderId="3" xfId="0" applyFont="1" applyFill="1" applyBorder="1" applyAlignment="1">
      <alignment horizontal="left"/>
    </xf>
    <xf numFmtId="0" fontId="71" fillId="2" borderId="0" xfId="0" applyFont="1" applyFill="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5" fillId="0" borderId="3" xfId="0" applyFont="1" applyBorder="1" applyAlignment="1">
      <alignment horizontal="left" indent="1"/>
    </xf>
    <xf numFmtId="0" fontId="65" fillId="0" borderId="4" xfId="0" applyFont="1" applyBorder="1" applyAlignment="1">
      <alignment horizontal="left" indent="1"/>
    </xf>
    <xf numFmtId="0" fontId="2" fillId="0" borderId="3" xfId="0" applyFont="1" applyBorder="1" applyAlignment="1">
      <alignment horizontal="left" indent="1"/>
    </xf>
    <xf numFmtId="0" fontId="2" fillId="0" borderId="4" xfId="0" applyFont="1" applyBorder="1" applyAlignment="1">
      <alignment horizontal="left" indent="1"/>
    </xf>
    <xf numFmtId="0" fontId="65" fillId="0" borderId="3" xfId="0" applyFont="1" applyBorder="1" applyAlignment="1">
      <alignment horizontal="left" indent="2"/>
    </xf>
    <xf numFmtId="0" fontId="65" fillId="0" borderId="4" xfId="0" applyFont="1" applyBorder="1" applyAlignment="1">
      <alignment horizontal="left" indent="2"/>
    </xf>
    <xf numFmtId="0" fontId="86" fillId="2" borderId="3" xfId="0" applyFont="1" applyFill="1" applyBorder="1" applyAlignment="1">
      <alignment horizontal="left"/>
    </xf>
    <xf numFmtId="0" fontId="86" fillId="2" borderId="0" xfId="0" applyFont="1" applyFill="1" applyAlignment="1">
      <alignment horizontal="left"/>
    </xf>
    <xf numFmtId="0" fontId="0" fillId="0" borderId="27" xfId="0" applyBorder="1" applyAlignment="1">
      <alignment horizontal="left"/>
    </xf>
    <xf numFmtId="0" fontId="63" fillId="0" borderId="28" xfId="0" applyFont="1" applyBorder="1" applyAlignment="1">
      <alignment horizontal="left"/>
    </xf>
    <xf numFmtId="0" fontId="0" fillId="0" borderId="3" xfId="0" applyBorder="1" applyAlignment="1">
      <alignment horizontal="left" indent="1"/>
    </xf>
    <xf numFmtId="0" fontId="63" fillId="0" borderId="4" xfId="0" applyFont="1" applyBorder="1" applyAlignment="1">
      <alignment horizontal="left" indent="1"/>
    </xf>
    <xf numFmtId="0" fontId="63" fillId="0" borderId="27" xfId="0" applyFont="1" applyBorder="1" applyAlignment="1">
      <alignment horizontal="left"/>
    </xf>
    <xf numFmtId="0" fontId="0" fillId="0" borderId="3" xfId="0"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0" fillId="0" borderId="14" xfId="0" applyBorder="1" applyAlignment="1">
      <alignment horizontal="left"/>
    </xf>
    <xf numFmtId="0" fontId="63" fillId="0" borderId="15" xfId="0" applyFont="1" applyBorder="1" applyAlignment="1">
      <alignment horizontal="left"/>
    </xf>
    <xf numFmtId="0" fontId="65" fillId="0" borderId="14" xfId="0" applyFont="1" applyBorder="1" applyAlignment="1">
      <alignment horizontal="left"/>
    </xf>
    <xf numFmtId="0" fontId="65" fillId="0" borderId="15" xfId="0" applyFont="1" applyBorder="1" applyAlignment="1">
      <alignment horizontal="left"/>
    </xf>
    <xf numFmtId="166" fontId="0" fillId="0" borderId="3" xfId="2" applyNumberFormat="1" applyFont="1" applyBorder="1" applyAlignment="1">
      <alignment horizontal="left"/>
    </xf>
    <xf numFmtId="166" fontId="63" fillId="0" borderId="4" xfId="2" applyNumberFormat="1" applyFont="1" applyBorder="1" applyAlignment="1">
      <alignment horizontal="left"/>
    </xf>
    <xf numFmtId="0" fontId="63" fillId="0" borderId="14" xfId="0" applyFont="1" applyBorder="1" applyAlignment="1">
      <alignment horizontal="left"/>
    </xf>
    <xf numFmtId="0" fontId="0" fillId="0" borderId="6" xfId="0" applyBorder="1" applyAlignment="1">
      <alignment horizontal="left"/>
    </xf>
    <xf numFmtId="0" fontId="63" fillId="0" borderId="10" xfId="0" applyFont="1" applyBorder="1" applyAlignment="1">
      <alignment horizontal="left"/>
    </xf>
    <xf numFmtId="0" fontId="74" fillId="0" borderId="3" xfId="3" applyFont="1" applyBorder="1" applyAlignment="1">
      <alignment horizontal="left" vertical="top"/>
    </xf>
    <xf numFmtId="0" fontId="74" fillId="0" borderId="4" xfId="3" applyFont="1" applyBorder="1" applyAlignment="1">
      <alignment horizontal="left" vertical="top"/>
    </xf>
    <xf numFmtId="0" fontId="65" fillId="0" borderId="3" xfId="0" applyFont="1" applyBorder="1" applyAlignment="1">
      <alignment horizontal="left"/>
    </xf>
    <xf numFmtId="0" fontId="65" fillId="0" borderId="4" xfId="0" applyFont="1" applyBorder="1" applyAlignment="1">
      <alignment horizontal="left"/>
    </xf>
    <xf numFmtId="0" fontId="65" fillId="0" borderId="6" xfId="0" applyFont="1" applyBorder="1" applyAlignment="1">
      <alignment horizontal="left" indent="1"/>
    </xf>
    <xf numFmtId="0" fontId="65" fillId="0" borderId="10" xfId="0" applyFont="1" applyBorder="1" applyAlignment="1">
      <alignment horizontal="left" indent="1"/>
    </xf>
    <xf numFmtId="0" fontId="0" fillId="0" borderId="4" xfId="0" applyBorder="1" applyAlignment="1">
      <alignment horizontal="left"/>
    </xf>
    <xf numFmtId="0" fontId="63" fillId="0" borderId="3" xfId="0" applyFont="1" applyBorder="1" applyAlignment="1">
      <alignment horizontal="left" indent="1"/>
    </xf>
    <xf numFmtId="0" fontId="0" fillId="0" borderId="4" xfId="0" applyBorder="1" applyAlignment="1">
      <alignment horizontal="left" indent="1"/>
    </xf>
    <xf numFmtId="0" fontId="90" fillId="0" borderId="3" xfId="0" applyFont="1" applyBorder="1" applyAlignment="1">
      <alignment horizontal="left"/>
    </xf>
    <xf numFmtId="0" fontId="90" fillId="0" borderId="4" xfId="0" applyFont="1" applyBorder="1" applyAlignment="1">
      <alignment horizontal="left"/>
    </xf>
    <xf numFmtId="0" fontId="63" fillId="0" borderId="29" xfId="0" applyFont="1" applyBorder="1" applyAlignment="1">
      <alignment horizontal="left" vertical="top" wrapText="1"/>
    </xf>
    <xf numFmtId="0" fontId="63" fillId="0" borderId="30" xfId="0" applyFont="1" applyBorder="1" applyAlignment="1">
      <alignment horizontal="left" vertical="top" wrapText="1"/>
    </xf>
    <xf numFmtId="0" fontId="63" fillId="0" borderId="6" xfId="0" applyFont="1" applyBorder="1" applyAlignment="1">
      <alignment horizontal="left"/>
    </xf>
    <xf numFmtId="0" fontId="63" fillId="0" borderId="2" xfId="0" applyFont="1" applyBorder="1" applyAlignment="1">
      <alignment horizontal="left"/>
    </xf>
    <xf numFmtId="0" fontId="89" fillId="0" borderId="3" xfId="0" applyFont="1" applyBorder="1" applyAlignment="1">
      <alignment horizontal="left"/>
    </xf>
    <xf numFmtId="0" fontId="89" fillId="0" borderId="4" xfId="0" applyFont="1" applyBorder="1" applyAlignment="1">
      <alignment horizontal="left"/>
    </xf>
    <xf numFmtId="0" fontId="68" fillId="2" borderId="29" xfId="0" applyFont="1" applyFill="1" applyBorder="1" applyAlignment="1">
      <alignment horizontal="left"/>
    </xf>
    <xf numFmtId="0" fontId="68" fillId="2" borderId="30" xfId="0" applyFont="1" applyFill="1" applyBorder="1" applyAlignment="1">
      <alignment horizontal="left"/>
    </xf>
    <xf numFmtId="0" fontId="68" fillId="2" borderId="11" xfId="0" applyFont="1" applyFill="1" applyBorder="1" applyAlignment="1">
      <alignment horizontal="left"/>
    </xf>
    <xf numFmtId="0" fontId="2" fillId="0" borderId="0" xfId="0" applyFont="1" applyAlignment="1">
      <alignment horizontal="center" vertical="top" wrapText="1"/>
    </xf>
    <xf numFmtId="165" fontId="8" fillId="0" borderId="0" xfId="1" applyNumberFormat="1" applyFont="1" applyFill="1" applyAlignment="1">
      <alignment horizontal="right"/>
    </xf>
    <xf numFmtId="165" fontId="9" fillId="0" borderId="0" xfId="1" applyNumberFormat="1" applyFont="1" applyFill="1" applyAlignment="1">
      <alignment horizontal="right"/>
    </xf>
    <xf numFmtId="165" fontId="7" fillId="0" borderId="0" xfId="1" applyNumberFormat="1" applyFont="1" applyFill="1" applyAlignment="1">
      <alignment horizontal="right"/>
    </xf>
    <xf numFmtId="165" fontId="80" fillId="0" borderId="0" xfId="1" applyNumberFormat="1" applyFont="1" applyFill="1" applyAlignment="1">
      <alignment horizontal="right"/>
    </xf>
    <xf numFmtId="165" fontId="77" fillId="0" borderId="0" xfId="1" applyNumberFormat="1" applyFont="1" applyFill="1" applyAlignment="1">
      <alignment horizontal="right"/>
    </xf>
    <xf numFmtId="165" fontId="74" fillId="0" borderId="0" xfId="1" applyNumberFormat="1" applyFont="1" applyFill="1" applyAlignment="1">
      <alignment horizontal="right"/>
    </xf>
    <xf numFmtId="165" fontId="76" fillId="0" borderId="0" xfId="1" applyNumberFormat="1" applyFont="1" applyFill="1" applyAlignment="1">
      <alignment horizontal="right"/>
    </xf>
    <xf numFmtId="165" fontId="91" fillId="0" borderId="47" xfId="1" applyNumberFormat="1" applyFont="1" applyFill="1" applyBorder="1" applyAlignment="1">
      <alignment horizontal="right"/>
    </xf>
    <xf numFmtId="165" fontId="74" fillId="0" borderId="33" xfId="1" applyNumberFormat="1" applyFont="1" applyFill="1" applyBorder="1" applyAlignment="1">
      <alignment horizontal="right"/>
    </xf>
    <xf numFmtId="43" fontId="77" fillId="0" borderId="0" xfId="1" applyFont="1" applyFill="1" applyAlignment="1">
      <alignment horizontal="right"/>
    </xf>
    <xf numFmtId="9" fontId="63" fillId="0" borderId="0" xfId="2" quotePrefix="1" applyFont="1" applyFill="1" applyAlignment="1">
      <alignment horizontal="right"/>
    </xf>
    <xf numFmtId="166" fontId="63" fillId="0" borderId="0" xfId="2" applyNumberFormat="1" applyFont="1" applyFill="1" applyAlignment="1">
      <alignment horizontal="right"/>
    </xf>
    <xf numFmtId="9" fontId="63" fillId="0" borderId="0" xfId="2" applyFont="1" applyFill="1" applyAlignment="1">
      <alignment horizontal="right"/>
    </xf>
    <xf numFmtId="166" fontId="63" fillId="0" borderId="33" xfId="2" applyNumberFormat="1" applyFont="1" applyFill="1" applyBorder="1" applyAlignment="1">
      <alignment horizontal="right"/>
    </xf>
    <xf numFmtId="7" fontId="63" fillId="0" borderId="33" xfId="1" applyNumberFormat="1" applyFont="1" applyFill="1" applyBorder="1" applyAlignment="1">
      <alignment horizontal="right"/>
    </xf>
    <xf numFmtId="0" fontId="63" fillId="0" borderId="0" xfId="0" applyFont="1" applyBorder="1" applyAlignment="1">
      <alignment horizontal="left"/>
    </xf>
    <xf numFmtId="165" fontId="63" fillId="0" borderId="0" xfId="1" applyNumberFormat="1" applyFont="1" applyBorder="1" applyAlignment="1">
      <alignment horizontal="right"/>
    </xf>
    <xf numFmtId="164" fontId="63" fillId="0" borderId="0" xfId="1" applyNumberFormat="1" applyFont="1" applyBorder="1" applyAlignment="1">
      <alignment horizontal="right"/>
    </xf>
    <xf numFmtId="5" fontId="63" fillId="10" borderId="33" xfId="1" applyNumberFormat="1" applyFont="1" applyFill="1" applyBorder="1" applyAlignment="1">
      <alignment horizontal="right"/>
    </xf>
    <xf numFmtId="0" fontId="0" fillId="0" borderId="3" xfId="0" applyFont="1" applyBorder="1" applyAlignment="1">
      <alignment horizontal="left" indent="2"/>
    </xf>
    <xf numFmtId="165" fontId="2" fillId="0" borderId="3" xfId="1" applyNumberFormat="1" applyFont="1" applyBorder="1" applyAlignment="1">
      <alignment horizontal="right"/>
    </xf>
    <xf numFmtId="165" fontId="2" fillId="0" borderId="0" xfId="1" applyNumberFormat="1" applyFont="1" applyAlignment="1">
      <alignment horizontal="right"/>
    </xf>
    <xf numFmtId="165" fontId="2" fillId="0" borderId="5" xfId="1" applyNumberFormat="1" applyFont="1" applyBorder="1" applyAlignment="1">
      <alignment horizontal="right"/>
    </xf>
    <xf numFmtId="0" fontId="0" fillId="0" borderId="4" xfId="0" applyFont="1" applyBorder="1" applyAlignment="1">
      <alignment horizontal="left" indent="1"/>
    </xf>
    <xf numFmtId="165" fontId="1" fillId="0" borderId="3" xfId="1" applyNumberFormat="1" applyFont="1" applyBorder="1" applyAlignment="1">
      <alignment horizontal="right"/>
    </xf>
    <xf numFmtId="165" fontId="1" fillId="0" borderId="0" xfId="1" applyNumberFormat="1" applyFont="1" applyAlignment="1">
      <alignment horizontal="right"/>
    </xf>
    <xf numFmtId="165" fontId="1" fillId="0" borderId="5" xfId="1" applyNumberFormat="1" applyFont="1" applyBorder="1" applyAlignment="1">
      <alignment horizontal="right"/>
    </xf>
    <xf numFmtId="165" fontId="1" fillId="10" borderId="0" xfId="1" applyNumberFormat="1" applyFont="1" applyFill="1" applyAlignment="1">
      <alignment horizontal="right"/>
    </xf>
    <xf numFmtId="165" fontId="1" fillId="10" borderId="3" xfId="1" applyNumberFormat="1" applyFont="1" applyFill="1" applyBorder="1" applyAlignment="1">
      <alignment horizontal="right"/>
    </xf>
    <xf numFmtId="166" fontId="63" fillId="0" borderId="5" xfId="2" applyNumberFormat="1" applyFont="1" applyFill="1" applyBorder="1" applyAlignment="1">
      <alignment horizontal="right"/>
    </xf>
    <xf numFmtId="166" fontId="63" fillId="11" borderId="0" xfId="2" applyNumberFormat="1" applyFont="1" applyFill="1" applyAlignment="1">
      <alignment horizontal="right"/>
    </xf>
    <xf numFmtId="0" fontId="0" fillId="0" borderId="3" xfId="0" applyFont="1" applyBorder="1" applyAlignment="1">
      <alignment horizontal="left"/>
    </xf>
    <xf numFmtId="164" fontId="63" fillId="0" borderId="0" xfId="1" quotePrefix="1" applyNumberFormat="1" applyFont="1" applyAlignment="1">
      <alignment horizontal="right"/>
    </xf>
    <xf numFmtId="164" fontId="63" fillId="0" borderId="5" xfId="1" quotePrefix="1" applyNumberFormat="1" applyFont="1" applyBorder="1" applyAlignment="1">
      <alignment horizontal="right"/>
    </xf>
    <xf numFmtId="9" fontId="67" fillId="0" borderId="0" xfId="2" quotePrefix="1" applyFont="1" applyAlignment="1">
      <alignment horizontal="right"/>
    </xf>
    <xf numFmtId="166" fontId="67" fillId="0" borderId="0" xfId="2" quotePrefix="1" applyNumberFormat="1" applyFont="1" applyAlignment="1">
      <alignment horizontal="right"/>
    </xf>
    <xf numFmtId="166" fontId="67" fillId="0" borderId="5" xfId="2" quotePrefix="1" applyNumberFormat="1" applyFont="1" applyBorder="1" applyAlignment="1">
      <alignment horizontal="right"/>
    </xf>
    <xf numFmtId="165" fontId="63" fillId="11" borderId="5" xfId="1" quotePrefix="1" applyNumberFormat="1" applyFont="1" applyFill="1" applyBorder="1" applyAlignment="1">
      <alignment horizontal="right"/>
    </xf>
    <xf numFmtId="43" fontId="77" fillId="0" borderId="5" xfId="1" applyFont="1" applyFill="1" applyBorder="1" applyAlignment="1">
      <alignment horizontal="right"/>
    </xf>
    <xf numFmtId="0" fontId="63" fillId="0" borderId="0" xfId="0" applyFont="1" applyFill="1"/>
    <xf numFmtId="0" fontId="2" fillId="0" borderId="3" xfId="0" applyFont="1" applyBorder="1" applyAlignment="1">
      <alignment horizontal="left"/>
    </xf>
    <xf numFmtId="0" fontId="2" fillId="0" borderId="4" xfId="0" applyFont="1" applyBorder="1" applyAlignment="1">
      <alignment horizontal="left"/>
    </xf>
    <xf numFmtId="0" fontId="63" fillId="0" borderId="13" xfId="0" applyFont="1" applyBorder="1" applyAlignment="1">
      <alignment horizontal="left"/>
    </xf>
    <xf numFmtId="9" fontId="74" fillId="0" borderId="36" xfId="2" applyFont="1" applyBorder="1" applyAlignment="1">
      <alignment horizontal="right"/>
    </xf>
    <xf numFmtId="9" fontId="74" fillId="0" borderId="47" xfId="2" applyFont="1" applyBorder="1" applyAlignment="1">
      <alignment horizontal="right"/>
    </xf>
    <xf numFmtId="9" fontId="74" fillId="10" borderId="47" xfId="2" applyFont="1" applyFill="1" applyBorder="1" applyAlignment="1">
      <alignment horizontal="right"/>
    </xf>
    <xf numFmtId="165" fontId="63" fillId="0" borderId="5" xfId="1" applyNumberFormat="1" applyFont="1" applyFill="1" applyBorder="1" applyAlignment="1">
      <alignment horizontal="right"/>
    </xf>
    <xf numFmtId="43" fontId="65" fillId="0" borderId="0" xfId="1" quotePrefix="1" applyNumberFormat="1" applyFont="1" applyAlignment="1">
      <alignment horizontal="right"/>
    </xf>
    <xf numFmtId="225" fontId="0" fillId="12" borderId="0" xfId="0" applyNumberFormat="1" applyFill="1"/>
    <xf numFmtId="226" fontId="0" fillId="12" borderId="0" xfId="0" applyNumberFormat="1" applyFill="1"/>
    <xf numFmtId="164" fontId="65" fillId="0" borderId="0" xfId="1" quotePrefix="1" applyNumberFormat="1" applyFont="1" applyFill="1" applyAlignment="1">
      <alignment horizontal="right"/>
    </xf>
    <xf numFmtId="9" fontId="82" fillId="0" borderId="0" xfId="2" applyFont="1" applyFill="1" applyAlignment="1">
      <alignment horizontal="right"/>
    </xf>
    <xf numFmtId="9" fontId="84" fillId="0" borderId="0" xfId="2" applyFont="1" applyFill="1" applyAlignment="1">
      <alignment horizontal="right"/>
    </xf>
    <xf numFmtId="164" fontId="63" fillId="0" borderId="0" xfId="1" applyNumberFormat="1" applyFont="1" applyFill="1" applyAlignment="1">
      <alignment horizontal="right"/>
    </xf>
    <xf numFmtId="0" fontId="63" fillId="0" borderId="0" xfId="0" applyFont="1" applyFill="1" applyAlignment="1">
      <alignment horizontal="right"/>
    </xf>
    <xf numFmtId="43" fontId="65" fillId="0" borderId="0" xfId="1" quotePrefix="1" applyFont="1" applyFill="1" applyAlignment="1">
      <alignment horizontal="right"/>
    </xf>
    <xf numFmtId="166" fontId="63" fillId="10" borderId="11" xfId="1" applyNumberFormat="1" applyFont="1" applyFill="1" applyBorder="1" applyAlignment="1">
      <alignment horizontal="right"/>
    </xf>
    <xf numFmtId="0" fontId="0" fillId="0" borderId="3" xfId="0" applyFont="1" applyBorder="1"/>
    <xf numFmtId="165" fontId="92" fillId="0" borderId="0" xfId="1" applyNumberFormat="1" applyFont="1" applyAlignment="1">
      <alignment horizontal="right"/>
    </xf>
    <xf numFmtId="43" fontId="0" fillId="0" borderId="0" xfId="1" quotePrefix="1" applyFont="1" applyFill="1" applyAlignment="1">
      <alignment horizontal="right"/>
    </xf>
    <xf numFmtId="43" fontId="0" fillId="0" borderId="0" xfId="1" applyFont="1" applyFill="1" applyAlignment="1">
      <alignment horizontal="right"/>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Services Revenue Forecast</a:t>
            </a:r>
          </a:p>
        </c:rich>
      </c:tx>
      <c:layout>
        <c:manualLayout>
          <c:xMode val="edge"/>
          <c:yMode val="edge"/>
          <c:x val="0.29853126404101266"/>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Model'!$B$65:$C$65</c:f>
              <c:strCache>
                <c:ptCount val="2"/>
                <c:pt idx="0">
                  <c:v>Services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D1D-4281-9B56-E24AA675133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D1D-4281-9B56-E24AA675133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D1D-4281-9B56-E24AA675133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D1D-4281-9B56-E24AA675133A}"/>
              </c:ext>
            </c:extLst>
          </c:dPt>
          <c:dPt>
            <c:idx val="9"/>
            <c:invertIfNegative val="0"/>
            <c:bubble3D val="0"/>
            <c:extLst>
              <c:ext xmlns:c16="http://schemas.microsoft.com/office/drawing/2014/chart" uri="{C3380CC4-5D6E-409C-BE32-E72D297353CC}">
                <c16:uniqueId val="{00000008-5D1D-4281-9B56-E24AA675133A}"/>
              </c:ext>
            </c:extLst>
          </c:dPt>
          <c:cat>
            <c:strRef>
              <c:f>('Earnings Model'!$K$48,'Earnings Model'!$L$48,'Earnings Model'!$N$48,'Earnings Model'!$O$48,'Earnings Model'!$P$48,'Earnings Model'!$Q$48,'Earnings Model'!$S$48,'Earnings Model'!$T$48)</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Model'!$K$65,'Earnings Model'!$L$65,'Earnings Model'!$N$65,'Earnings Model'!$O$65,'Earnings Model'!$P$65,'Earnings Model'!$Q$65,'Earnings Model'!$S$65,'Earnings Model'!$T$65)</c:f>
              <c:numCache>
                <c:formatCode>_(* #,##0_);_(* \(#,##0\);_(* "-"??_);_(@_)</c:formatCode>
                <c:ptCount val="8"/>
                <c:pt idx="0">
                  <c:v>9548</c:v>
                </c:pt>
                <c:pt idx="1">
                  <c:v>9981</c:v>
                </c:pt>
                <c:pt idx="2">
                  <c:v>10875</c:v>
                </c:pt>
                <c:pt idx="3">
                  <c:v>11450</c:v>
                </c:pt>
                <c:pt idx="4">
                  <c:v>11691.225031411419</c:v>
                </c:pt>
                <c:pt idx="5">
                  <c:v>11898.042887860414</c:v>
                </c:pt>
                <c:pt idx="6">
                  <c:v>12903.864296065043</c:v>
                </c:pt>
                <c:pt idx="7">
                  <c:v>13193.318062504281</c:v>
                </c:pt>
              </c:numCache>
            </c:numRef>
          </c:val>
          <c:extLst>
            <c:ext xmlns:c16="http://schemas.microsoft.com/office/drawing/2014/chart" uri="{C3380CC4-5D6E-409C-BE32-E72D297353CC}">
              <c16:uniqueId val="{00000009-5D1D-4281-9B56-E24AA675133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Model'!$B$66</c:f>
              <c:strCache>
                <c:ptCount val="1"/>
                <c:pt idx="0">
                  <c:v>Services growth rate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D1D-4281-9B56-E24AA675133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D1D-4281-9B56-E24AA675133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D1D-4281-9B56-E24AA675133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D1D-4281-9B56-E24AA675133A}"/>
              </c:ext>
            </c:extLst>
          </c:dPt>
          <c:cat>
            <c:strRef>
              <c:f>('Earnings Model'!$K$52,'Earnings Model'!$L$52,'Earnings Model'!$N$52,'Earnings Model'!$O$52,'Earnings Model'!$P$52,'Earnings Model'!$Q$52,'Earnings Model'!$S$52,'Earnings Model'!$T$52)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Model'!$K$66,'Earnings Model'!$L$66,'Earnings Model'!$N$66,'Earnings Model'!$O$66,'Earnings Model'!$P$66,'Earnings Model'!$Q$66,'Earnings Model'!$S$66,'Earnings Model'!$T$66)</c:f>
              <c:numCache>
                <c:formatCode>0%</c:formatCode>
                <c:ptCount val="8"/>
                <c:pt idx="0">
                  <c:v>0.31406551059730248</c:v>
                </c:pt>
                <c:pt idx="1">
                  <c:v>0.17409716503940742</c:v>
                </c:pt>
                <c:pt idx="2">
                  <c:v>0.28379176012277174</c:v>
                </c:pt>
                <c:pt idx="3">
                  <c:v>0.24591947769314482</c:v>
                </c:pt>
                <c:pt idx="4">
                  <c:v>0.22446847836315661</c:v>
                </c:pt>
                <c:pt idx="5">
                  <c:v>0.19206922030462015</c:v>
                </c:pt>
                <c:pt idx="6">
                  <c:v>0.18656223412092332</c:v>
                </c:pt>
                <c:pt idx="7">
                  <c:v>0.15225485262046123</c:v>
                </c:pt>
              </c:numCache>
            </c:numRef>
          </c:val>
          <c:smooth val="0"/>
          <c:extLst>
            <c:ext xmlns:c16="http://schemas.microsoft.com/office/drawing/2014/chart" uri="{C3380CC4-5D6E-409C-BE32-E72D297353CC}">
              <c16:uniqueId val="{00000012-5D1D-4281-9B56-E24AA675133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0"/>
          <c:y val="0.81387886820178079"/>
          <c:w val="0.9397597434523853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iPhone Revenue Forecast</a:t>
            </a:r>
          </a:p>
        </c:rich>
      </c:tx>
      <c:layout>
        <c:manualLayout>
          <c:xMode val="edge"/>
          <c:yMode val="edge"/>
          <c:x val="0.282940369123644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Model'!$B$49:$C$49</c:f>
              <c:strCache>
                <c:ptCount val="2"/>
                <c:pt idx="0">
                  <c:v>iPhone products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773-4A16-A661-E28076474781}"/>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773-4A16-A661-E28076474781}"/>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773-4A16-A661-E28076474781}"/>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773-4A16-A661-E28076474781}"/>
              </c:ext>
            </c:extLst>
          </c:dPt>
          <c:dPt>
            <c:idx val="9"/>
            <c:invertIfNegative val="0"/>
            <c:bubble3D val="0"/>
            <c:extLst>
              <c:ext xmlns:c16="http://schemas.microsoft.com/office/drawing/2014/chart" uri="{C3380CC4-5D6E-409C-BE32-E72D297353CC}">
                <c16:uniqueId val="{00000008-B773-4A16-A661-E28076474781}"/>
              </c:ext>
            </c:extLst>
          </c:dPt>
          <c:cat>
            <c:strRef>
              <c:f>('Earnings Model'!$K$48,'Earnings Model'!$L$48,'Earnings Model'!$N$48,'Earnings Model'!$O$48,'Earnings Model'!$P$48,'Earnings Model'!$Q$48,'Earnings Model'!$S$48,'Earnings Model'!$T$48)</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Model'!$K$49,'Earnings Model'!$L$49,'Earnings Model'!$N$49,'Earnings Model'!$O$49,'Earnings Model'!$P$49,'Earnings Model'!$Q$49,'Earnings Model'!$S$49,'Earnings Model'!$T$49)</c:f>
              <c:numCache>
                <c:formatCode>_(* #,##0_);_(* \(#,##0\);_(* "-"??_);_(@_)</c:formatCode>
                <c:ptCount val="8"/>
                <c:pt idx="0">
                  <c:v>29470</c:v>
                </c:pt>
                <c:pt idx="1">
                  <c:v>36755</c:v>
                </c:pt>
                <c:pt idx="2">
                  <c:v>51982</c:v>
                </c:pt>
                <c:pt idx="3">
                  <c:v>31051</c:v>
                </c:pt>
                <c:pt idx="4">
                  <c:v>26685.777490466622</c:v>
                </c:pt>
                <c:pt idx="5">
                  <c:v>32414.79996616648</c:v>
                </c:pt>
                <c:pt idx="6">
                  <c:v>49616.062168794742</c:v>
                </c:pt>
                <c:pt idx="7">
                  <c:v>30833.167051323035</c:v>
                </c:pt>
              </c:numCache>
            </c:numRef>
          </c:val>
          <c:extLst>
            <c:ext xmlns:c16="http://schemas.microsoft.com/office/drawing/2014/chart" uri="{C3380CC4-5D6E-409C-BE32-E72D297353CC}">
              <c16:uniqueId val="{00000009-B773-4A16-A661-E28076474781}"/>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Model'!$B$50:$C$50</c:f>
              <c:strCache>
                <c:ptCount val="2"/>
                <c:pt idx="0">
                  <c:v>iPhone product revenue growth rate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773-4A16-A661-E28076474781}"/>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773-4A16-A661-E28076474781}"/>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773-4A16-A661-E28076474781}"/>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773-4A16-A661-E28076474781}"/>
              </c:ext>
            </c:extLst>
          </c:dPt>
          <c:cat>
            <c:strRef>
              <c:f>('Earnings Model'!$K$52,'Earnings Model'!$L$52,'Earnings Model'!$N$52,'Earnings Model'!$O$52,'Earnings Model'!$P$52,'Earnings Model'!$Q$52,'Earnings Model'!$S$52,'Earnings Model'!$T$52)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Model'!$K$50,'Earnings Model'!$L$50,'Earnings Model'!$N$50,'Earnings Model'!$O$50,'Earnings Model'!$P$50,'Earnings Model'!$Q$50,'Earnings Model'!$S$50,'Earnings Model'!$T$50)</c:f>
              <c:numCache>
                <c:formatCode>0%</c:formatCode>
                <c:ptCount val="8"/>
                <c:pt idx="0">
                  <c:v>0.20416894976609212</c:v>
                </c:pt>
                <c:pt idx="1">
                  <c:v>0.28965600097235589</c:v>
                </c:pt>
                <c:pt idx="2">
                  <c:v>-0.14928646242471855</c:v>
                </c:pt>
                <c:pt idx="3">
                  <c:v>-0.1732740488298411</c:v>
                </c:pt>
                <c:pt idx="4">
                  <c:v>-9.4476501850470906E-2</c:v>
                </c:pt>
                <c:pt idx="5">
                  <c:v>-0.11808461525870008</c:v>
                </c:pt>
                <c:pt idx="6">
                  <c:v>-4.551455948607705E-2</c:v>
                </c:pt>
                <c:pt idx="7">
                  <c:v>-7.0153279661512857E-3</c:v>
                </c:pt>
              </c:numCache>
            </c:numRef>
          </c:val>
          <c:smooth val="0"/>
          <c:extLst>
            <c:ext xmlns:c16="http://schemas.microsoft.com/office/drawing/2014/chart" uri="{C3380CC4-5D6E-409C-BE32-E72D297353CC}">
              <c16:uniqueId val="{00000012-B773-4A16-A661-E28076474781}"/>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0"/>
          <c:y val="0.81387886820178079"/>
          <c:w val="0.9397597434523853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iPad Revenue Forecast</a:t>
            </a:r>
          </a:p>
        </c:rich>
      </c:tx>
      <c:layout>
        <c:manualLayout>
          <c:xMode val="edge"/>
          <c:yMode val="edge"/>
          <c:x val="0.282940369123644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Model'!$B$53:$C$53</c:f>
              <c:strCache>
                <c:ptCount val="2"/>
                <c:pt idx="0">
                  <c:v>iPad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0493-4FEC-8BEB-D1F385945EA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0493-4FEC-8BEB-D1F385945EA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0493-4FEC-8BEB-D1F385945EA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0493-4FEC-8BEB-D1F385945EA6}"/>
              </c:ext>
            </c:extLst>
          </c:dPt>
          <c:dPt>
            <c:idx val="9"/>
            <c:invertIfNegative val="0"/>
            <c:bubble3D val="0"/>
            <c:extLst>
              <c:ext xmlns:c16="http://schemas.microsoft.com/office/drawing/2014/chart" uri="{C3380CC4-5D6E-409C-BE32-E72D297353CC}">
                <c16:uniqueId val="{00000008-0493-4FEC-8BEB-D1F385945EA6}"/>
              </c:ext>
            </c:extLst>
          </c:dPt>
          <c:cat>
            <c:strRef>
              <c:f>('Earnings Model'!$K$48,'Earnings Model'!$L$48,'Earnings Model'!$N$48,'Earnings Model'!$O$48,'Earnings Model'!$P$48,'Earnings Model'!$Q$48,'Earnings Model'!$S$48,'Earnings Model'!$T$48)</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Model'!$K$53,'Earnings Model'!$L$53,'Earnings Model'!$N$53,'Earnings Model'!$O$53,'Earnings Model'!$P$53,'Earnings Model'!$Q$53,'Earnings Model'!$S$53,'Earnings Model'!$T$53)</c:f>
              <c:numCache>
                <c:formatCode>_(* #,##0_);_(* \(#,##0\);_(* "-"??_);_(@_)</c:formatCode>
                <c:ptCount val="8"/>
                <c:pt idx="0">
                  <c:v>4634</c:v>
                </c:pt>
                <c:pt idx="1">
                  <c:v>3983</c:v>
                </c:pt>
                <c:pt idx="2">
                  <c:v>6729</c:v>
                </c:pt>
                <c:pt idx="3">
                  <c:v>4872</c:v>
                </c:pt>
                <c:pt idx="4">
                  <c:v>5055.7497681435261</c:v>
                </c:pt>
                <c:pt idx="5">
                  <c:v>4292.8288645104803</c:v>
                </c:pt>
                <c:pt idx="6">
                  <c:v>7660.3152113723527</c:v>
                </c:pt>
                <c:pt idx="7">
                  <c:v>5508.736202030158</c:v>
                </c:pt>
              </c:numCache>
            </c:numRef>
          </c:val>
          <c:extLst>
            <c:ext xmlns:c16="http://schemas.microsoft.com/office/drawing/2014/chart" uri="{C3380CC4-5D6E-409C-BE32-E72D297353CC}">
              <c16:uniqueId val="{00000009-0493-4FEC-8BEB-D1F385945EA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Model'!$B$54:$C$54</c:f>
              <c:strCache>
                <c:ptCount val="2"/>
                <c:pt idx="0">
                  <c:v>iPad revenue growth rate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0493-4FEC-8BEB-D1F385945EA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0493-4FEC-8BEB-D1F385945EA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0493-4FEC-8BEB-D1F385945EA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0493-4FEC-8BEB-D1F385945EA6}"/>
              </c:ext>
            </c:extLst>
          </c:dPt>
          <c:cat>
            <c:strRef>
              <c:f>('Earnings Model'!$K$52,'Earnings Model'!$L$52,'Earnings Model'!$N$52,'Earnings Model'!$O$52,'Earnings Model'!$P$52,'Earnings Model'!$Q$52,'Earnings Model'!$S$52,'Earnings Model'!$T$52)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Model'!$K$54,'Earnings Model'!$L$54,'Earnings Model'!$N$54,'Earnings Model'!$O$54,'Earnings Model'!$P$54,'Earnings Model'!$Q$54,'Earnings Model'!$S$54,'Earnings Model'!$T$54)</c:f>
              <c:numCache>
                <c:formatCode>0%</c:formatCode>
                <c:ptCount val="8"/>
                <c:pt idx="0">
                  <c:v>-5.6091084562343241E-2</c:v>
                </c:pt>
                <c:pt idx="1">
                  <c:v>-0.1646737750139099</c:v>
                </c:pt>
                <c:pt idx="2">
                  <c:v>0.16924413553431794</c:v>
                </c:pt>
                <c:pt idx="3">
                  <c:v>0.21556886227544902</c:v>
                </c:pt>
                <c:pt idx="4">
                  <c:v>9.101203455837846E-2</c:v>
                </c:pt>
                <c:pt idx="5">
                  <c:v>7.7787814338558886E-2</c:v>
                </c:pt>
                <c:pt idx="6">
                  <c:v>0.13840321167667607</c:v>
                </c:pt>
                <c:pt idx="7">
                  <c:v>0.13069298071226559</c:v>
                </c:pt>
              </c:numCache>
            </c:numRef>
          </c:val>
          <c:smooth val="0"/>
          <c:extLst>
            <c:ext xmlns:c16="http://schemas.microsoft.com/office/drawing/2014/chart" uri="{C3380CC4-5D6E-409C-BE32-E72D297353CC}">
              <c16:uniqueId val="{00000012-0493-4FEC-8BEB-D1F385945EA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0"/>
          <c:y val="0.81387886820178079"/>
          <c:w val="0.9397597434523853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Mac Revenue Forecast</a:t>
            </a:r>
          </a:p>
        </c:rich>
      </c:tx>
      <c:layout>
        <c:manualLayout>
          <c:xMode val="edge"/>
          <c:yMode val="edge"/>
          <c:x val="0.282940369123644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Model'!$B$57:$C$57</c:f>
              <c:strCache>
                <c:ptCount val="2"/>
                <c:pt idx="0">
                  <c:v>Mac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C78D-466D-AC86-0F6827C03DA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C78D-466D-AC86-0F6827C03DA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C78D-466D-AC86-0F6827C03DA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C78D-466D-AC86-0F6827C03DAF}"/>
              </c:ext>
            </c:extLst>
          </c:dPt>
          <c:dPt>
            <c:idx val="9"/>
            <c:invertIfNegative val="0"/>
            <c:bubble3D val="0"/>
            <c:extLst>
              <c:ext xmlns:c16="http://schemas.microsoft.com/office/drawing/2014/chart" uri="{C3380CC4-5D6E-409C-BE32-E72D297353CC}">
                <c16:uniqueId val="{00000008-C78D-466D-AC86-0F6827C03DAF}"/>
              </c:ext>
            </c:extLst>
          </c:dPt>
          <c:cat>
            <c:strRef>
              <c:f>('Earnings Model'!$K$48,'Earnings Model'!$L$48,'Earnings Model'!$N$48,'Earnings Model'!$O$48,'Earnings Model'!$P$48,'Earnings Model'!$Q$48,'Earnings Model'!$S$48,'Earnings Model'!$T$48)</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Model'!$K$57,'Earnings Model'!$L$57,'Earnings Model'!$N$57,'Earnings Model'!$O$57,'Earnings Model'!$P$57,'Earnings Model'!$Q$57,'Earnings Model'!$S$57,'Earnings Model'!$T$57)</c:f>
              <c:numCache>
                <c:formatCode>_(* #,##0_);_(* \(#,##0\);_(* "-"??_);_(@_)</c:formatCode>
                <c:ptCount val="8"/>
                <c:pt idx="0">
                  <c:v>5258</c:v>
                </c:pt>
                <c:pt idx="1">
                  <c:v>7340</c:v>
                </c:pt>
                <c:pt idx="2">
                  <c:v>7416</c:v>
                </c:pt>
                <c:pt idx="3">
                  <c:v>5513</c:v>
                </c:pt>
                <c:pt idx="4">
                  <c:v>5295.9789750425771</c:v>
                </c:pt>
                <c:pt idx="5">
                  <c:v>7491.3744477689124</c:v>
                </c:pt>
                <c:pt idx="6">
                  <c:v>7544.0478122478653</c:v>
                </c:pt>
                <c:pt idx="7">
                  <c:v>5512.4204324366628</c:v>
                </c:pt>
              </c:numCache>
            </c:numRef>
          </c:val>
          <c:extLst>
            <c:ext xmlns:c16="http://schemas.microsoft.com/office/drawing/2014/chart" uri="{C3380CC4-5D6E-409C-BE32-E72D297353CC}">
              <c16:uniqueId val="{00000009-C78D-466D-AC86-0F6827C03DA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Model'!$B$58:$C$58</c:f>
              <c:strCache>
                <c:ptCount val="2"/>
                <c:pt idx="0">
                  <c:v>Mac product revenue growth rate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C78D-466D-AC86-0F6827C03DA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C78D-466D-AC86-0F6827C03DA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C78D-466D-AC86-0F6827C03DA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C78D-466D-AC86-0F6827C03DAF}"/>
              </c:ext>
            </c:extLst>
          </c:dPt>
          <c:cat>
            <c:strRef>
              <c:f>('Earnings Model'!$K$52,'Earnings Model'!$L$52,'Earnings Model'!$N$52,'Earnings Model'!$O$52,'Earnings Model'!$P$52,'Earnings Model'!$Q$52,'Earnings Model'!$S$52,'Earnings Model'!$T$52)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Model'!$K$58,'Earnings Model'!$L$58,'Earnings Model'!$N$58,'Earnings Model'!$O$58,'Earnings Model'!$P$58,'Earnings Model'!$Q$58,'Earnings Model'!$S$58,'Earnings Model'!$T$58)</c:f>
              <c:numCache>
                <c:formatCode>0%</c:formatCode>
                <c:ptCount val="8"/>
                <c:pt idx="0">
                  <c:v>-4.6377467666066097E-2</c:v>
                </c:pt>
                <c:pt idx="1">
                  <c:v>3.4050406435343739E-2</c:v>
                </c:pt>
                <c:pt idx="2">
                  <c:v>8.6752637749120787E-2</c:v>
                </c:pt>
                <c:pt idx="3">
                  <c:v>-4.5533240997229885E-2</c:v>
                </c:pt>
                <c:pt idx="4">
                  <c:v>7.223083880292136E-3</c:v>
                </c:pt>
                <c:pt idx="5">
                  <c:v>2.0623221766881694E-2</c:v>
                </c:pt>
                <c:pt idx="6">
                  <c:v>1.7266425599766183E-2</c:v>
                </c:pt>
                <c:pt idx="7">
                  <c:v>-1.0512743757246784E-4</c:v>
                </c:pt>
              </c:numCache>
            </c:numRef>
          </c:val>
          <c:smooth val="0"/>
          <c:extLst>
            <c:ext xmlns:c16="http://schemas.microsoft.com/office/drawing/2014/chart" uri="{C3380CC4-5D6E-409C-BE32-E72D297353CC}">
              <c16:uniqueId val="{00000012-C78D-466D-AC86-0F6827C03DA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0"/>
          <c:y val="0.81387886820178079"/>
          <c:w val="0.9397597434523853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Wearables &amp;</a:t>
            </a:r>
            <a:r>
              <a:rPr lang="en-US" sz="1200" b="0" baseline="0"/>
              <a:t> Accessories </a:t>
            </a:r>
            <a:r>
              <a:rPr lang="en-US" sz="1200" b="0"/>
              <a:t> Revenue Forecast</a:t>
            </a:r>
          </a:p>
        </c:rich>
      </c:tx>
      <c:layout>
        <c:manualLayout>
          <c:xMode val="edge"/>
          <c:yMode val="edge"/>
          <c:x val="0.17068592571859292"/>
          <c:y val="1.2022843402464683E-2"/>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Model'!$B$61:$C$61</c:f>
              <c:strCache>
                <c:ptCount val="2"/>
                <c:pt idx="0">
                  <c:v>Wearables, Home &amp; Accessories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8F0-4450-A5AB-EED2AD3DA8F1}"/>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8F0-4450-A5AB-EED2AD3DA8F1}"/>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8F0-4450-A5AB-EED2AD3DA8F1}"/>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8F0-4450-A5AB-EED2AD3DA8F1}"/>
              </c:ext>
            </c:extLst>
          </c:dPt>
          <c:dPt>
            <c:idx val="9"/>
            <c:invertIfNegative val="0"/>
            <c:bubble3D val="0"/>
            <c:extLst>
              <c:ext xmlns:c16="http://schemas.microsoft.com/office/drawing/2014/chart" uri="{C3380CC4-5D6E-409C-BE32-E72D297353CC}">
                <c16:uniqueId val="{00000008-F8F0-4450-A5AB-EED2AD3DA8F1}"/>
              </c:ext>
            </c:extLst>
          </c:dPt>
          <c:cat>
            <c:strRef>
              <c:f>('Earnings Model'!$K$48,'Earnings Model'!$L$48,'Earnings Model'!$N$48,'Earnings Model'!$O$48,'Earnings Model'!$P$48,'Earnings Model'!$Q$48,'Earnings Model'!$S$48,'Earnings Model'!$T$48)</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Model'!$K$61,'Earnings Model'!$L$61,'Earnings Model'!$N$61,'Earnings Model'!$O$61,'Earnings Model'!$P$61,'Earnings Model'!$Q$61,'Earnings Model'!$S$61,'Earnings Model'!$T$61)</c:f>
              <c:numCache>
                <c:formatCode>_(* #,##0_);_(* \(#,##0\);_(* "-"??_);_(@_)</c:formatCode>
                <c:ptCount val="8"/>
                <c:pt idx="0">
                  <c:v>3733</c:v>
                </c:pt>
                <c:pt idx="1">
                  <c:v>4223</c:v>
                </c:pt>
                <c:pt idx="2">
                  <c:v>7308</c:v>
                </c:pt>
                <c:pt idx="3">
                  <c:v>5129</c:v>
                </c:pt>
                <c:pt idx="4">
                  <c:v>4771.1314423241438</c:v>
                </c:pt>
                <c:pt idx="5">
                  <c:v>5302.8675943314784</c:v>
                </c:pt>
                <c:pt idx="6">
                  <c:v>9075.7987773676123</c:v>
                </c:pt>
                <c:pt idx="7">
                  <c:v>6252.4590738092638</c:v>
                </c:pt>
              </c:numCache>
            </c:numRef>
          </c:val>
          <c:extLst>
            <c:ext xmlns:c16="http://schemas.microsoft.com/office/drawing/2014/chart" uri="{C3380CC4-5D6E-409C-BE32-E72D297353CC}">
              <c16:uniqueId val="{00000009-F8F0-4450-A5AB-EED2AD3DA8F1}"/>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Model'!$B$62:$C$62</c:f>
              <c:strCache>
                <c:ptCount val="2"/>
                <c:pt idx="0">
                  <c:v>Wearables product revenue  growth rate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8F0-4450-A5AB-EED2AD3DA8F1}"/>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8F0-4450-A5AB-EED2AD3DA8F1}"/>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8F0-4450-A5AB-EED2AD3DA8F1}"/>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8F0-4450-A5AB-EED2AD3DA8F1}"/>
              </c:ext>
            </c:extLst>
          </c:dPt>
          <c:cat>
            <c:strRef>
              <c:f>('Earnings Model'!$K$52,'Earnings Model'!$L$52,'Earnings Model'!$N$52,'Earnings Model'!$O$52,'Earnings Model'!$P$52,'Earnings Model'!$Q$52,'Earnings Model'!$S$52,'Earnings Model'!$T$52)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Model'!$K$62,'Earnings Model'!$L$62,'Earnings Model'!$N$62,'Earnings Model'!$O$62,'Earnings Model'!$P$62,'Earnings Model'!$Q$62,'Earnings Model'!$S$62,'Earnings Model'!$T$62)</c:f>
              <c:numCache>
                <c:formatCode>0%</c:formatCode>
                <c:ptCount val="8"/>
                <c:pt idx="0">
                  <c:v>0.36763472099592232</c:v>
                </c:pt>
                <c:pt idx="1">
                  <c:v>0.31095856433429048</c:v>
                </c:pt>
                <c:pt idx="2">
                  <c:v>0.33333333333333326</c:v>
                </c:pt>
                <c:pt idx="3">
                  <c:v>0.30045638945233266</c:v>
                </c:pt>
                <c:pt idx="4">
                  <c:v>0.27809575202896969</c:v>
                </c:pt>
                <c:pt idx="5">
                  <c:v>0.25571100978723155</c:v>
                </c:pt>
                <c:pt idx="6">
                  <c:v>0.2418991211504668</c:v>
                </c:pt>
                <c:pt idx="7">
                  <c:v>0.2190405681047502</c:v>
                </c:pt>
              </c:numCache>
            </c:numRef>
          </c:val>
          <c:smooth val="0"/>
          <c:extLst>
            <c:ext xmlns:c16="http://schemas.microsoft.com/office/drawing/2014/chart" uri="{C3380CC4-5D6E-409C-BE32-E72D297353CC}">
              <c16:uniqueId val="{00000012-F8F0-4450-A5AB-EED2AD3DA8F1}"/>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0"/>
          <c:y val="0.81387886820178079"/>
          <c:w val="0.9397597434523853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4</xdr:row>
      <xdr:rowOff>1522679</xdr:rowOff>
    </xdr:from>
    <xdr:to>
      <xdr:col>1</xdr:col>
      <xdr:colOff>11238131</xdr:colOff>
      <xdr:row>4</xdr:row>
      <xdr:rowOff>2513155</xdr:rowOff>
    </xdr:to>
    <xdr:pic>
      <xdr:nvPicPr>
        <xdr:cNvPr id="3" name="Picture 2">
          <a:extLst>
            <a:ext uri="{FF2B5EF4-FFF2-40B4-BE49-F238E27FC236}">
              <a16:creationId xmlns:a16="http://schemas.microsoft.com/office/drawing/2014/main" id="{C534C722-F890-4554-872B-F44E3D6D5664}"/>
            </a:ext>
          </a:extLst>
        </xdr:cNvPr>
        <xdr:cNvPicPr>
          <a:picLocks noChangeAspect="1"/>
        </xdr:cNvPicPr>
      </xdr:nvPicPr>
      <xdr:blipFill>
        <a:blip xmlns:r="http://schemas.openxmlformats.org/officeDocument/2006/relationships" r:embed="rId1"/>
        <a:stretch>
          <a:fillRect/>
        </a:stretch>
      </xdr:blipFill>
      <xdr:spPr>
        <a:xfrm>
          <a:off x="361950" y="4370654"/>
          <a:ext cx="10952381" cy="9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115</xdr:row>
      <xdr:rowOff>0</xdr:rowOff>
    </xdr:from>
    <xdr:to>
      <xdr:col>3</xdr:col>
      <xdr:colOff>0</xdr:colOff>
      <xdr:row>115</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171</xdr:row>
      <xdr:rowOff>0</xdr:rowOff>
    </xdr:from>
    <xdr:to>
      <xdr:col>3</xdr:col>
      <xdr:colOff>0</xdr:colOff>
      <xdr:row>171</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221</xdr:row>
      <xdr:rowOff>0</xdr:rowOff>
    </xdr:from>
    <xdr:to>
      <xdr:col>3</xdr:col>
      <xdr:colOff>0</xdr:colOff>
      <xdr:row>221</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39</xdr:row>
      <xdr:rowOff>0</xdr:rowOff>
    </xdr:from>
    <xdr:to>
      <xdr:col>3</xdr:col>
      <xdr:colOff>0</xdr:colOff>
      <xdr:row>39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150</xdr:row>
      <xdr:rowOff>0</xdr:rowOff>
    </xdr:from>
    <xdr:to>
      <xdr:col>3</xdr:col>
      <xdr:colOff>0</xdr:colOff>
      <xdr:row>150</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87630</xdr:colOff>
      <xdr:row>2</xdr:row>
      <xdr:rowOff>80010</xdr:rowOff>
    </xdr:from>
    <xdr:to>
      <xdr:col>5</xdr:col>
      <xdr:colOff>188595</xdr:colOff>
      <xdr:row>11</xdr:row>
      <xdr:rowOff>59055</xdr:rowOff>
    </xdr:to>
    <xdr:graphicFrame macro="">
      <xdr:nvGraphicFramePr>
        <xdr:cNvPr id="2" name="Chart 1">
          <a:extLst>
            <a:ext uri="{FF2B5EF4-FFF2-40B4-BE49-F238E27FC236}">
              <a16:creationId xmlns:a16="http://schemas.microsoft.com/office/drawing/2014/main" id="{1F62552C-13C4-410F-8678-BED7DDB81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11</xdr:row>
      <xdr:rowOff>247650</xdr:rowOff>
    </xdr:from>
    <xdr:to>
      <xdr:col>5</xdr:col>
      <xdr:colOff>215265</xdr:colOff>
      <xdr:row>21</xdr:row>
      <xdr:rowOff>74295</xdr:rowOff>
    </xdr:to>
    <xdr:graphicFrame macro="">
      <xdr:nvGraphicFramePr>
        <xdr:cNvPr id="3" name="Chart 2">
          <a:extLst>
            <a:ext uri="{FF2B5EF4-FFF2-40B4-BE49-F238E27FC236}">
              <a16:creationId xmlns:a16="http://schemas.microsoft.com/office/drawing/2014/main" id="{38703F84-56B1-4C02-9E48-E2449AF9D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22</xdr:row>
      <xdr:rowOff>114300</xdr:rowOff>
    </xdr:from>
    <xdr:to>
      <xdr:col>5</xdr:col>
      <xdr:colOff>234315</xdr:colOff>
      <xdr:row>33</xdr:row>
      <xdr:rowOff>131445</xdr:rowOff>
    </xdr:to>
    <xdr:graphicFrame macro="">
      <xdr:nvGraphicFramePr>
        <xdr:cNvPr id="4" name="Chart 3">
          <a:extLst>
            <a:ext uri="{FF2B5EF4-FFF2-40B4-BE49-F238E27FC236}">
              <a16:creationId xmlns:a16="http://schemas.microsoft.com/office/drawing/2014/main" id="{A85CB1B2-A552-4C0F-A5BA-92602297B1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123825</xdr:colOff>
      <xdr:row>35</xdr:row>
      <xdr:rowOff>171450</xdr:rowOff>
    </xdr:from>
    <xdr:to>
      <xdr:col>5</xdr:col>
      <xdr:colOff>224790</xdr:colOff>
      <xdr:row>46</xdr:row>
      <xdr:rowOff>188595</xdr:rowOff>
    </xdr:to>
    <xdr:graphicFrame macro="">
      <xdr:nvGraphicFramePr>
        <xdr:cNvPr id="5" name="Chart 4">
          <a:extLst>
            <a:ext uri="{FF2B5EF4-FFF2-40B4-BE49-F238E27FC236}">
              <a16:creationId xmlns:a16="http://schemas.microsoft.com/office/drawing/2014/main" id="{0480283C-8FC5-4875-8A46-E817EC07BB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47</xdr:row>
      <xdr:rowOff>180975</xdr:rowOff>
    </xdr:from>
    <xdr:to>
      <xdr:col>5</xdr:col>
      <xdr:colOff>234315</xdr:colOff>
      <xdr:row>59</xdr:row>
      <xdr:rowOff>7620</xdr:rowOff>
    </xdr:to>
    <xdr:graphicFrame macro="">
      <xdr:nvGraphicFramePr>
        <xdr:cNvPr id="6" name="Chart 5">
          <a:extLst>
            <a:ext uri="{FF2B5EF4-FFF2-40B4-BE49-F238E27FC236}">
              <a16:creationId xmlns:a16="http://schemas.microsoft.com/office/drawing/2014/main" id="{6D977412-3246-499B-8571-B590FB3F6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fred.stlouisfed.org/series/DTWEX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7947-2ED9-42F1-B8AA-8D654F7874C7}">
  <dimension ref="B2:F52"/>
  <sheetViews>
    <sheetView showGridLines="0" workbookViewId="0">
      <selection activeCell="B3" sqref="B3"/>
    </sheetView>
  </sheetViews>
  <sheetFormatPr defaultRowHeight="14.4" x14ac:dyDescent="0.3"/>
  <cols>
    <col min="1" max="1" width="1.109375" customWidth="1"/>
    <col min="2" max="2" width="182.6640625" style="224" customWidth="1"/>
    <col min="4" max="4" width="11.5546875" bestFit="1" customWidth="1"/>
    <col min="5" max="5" width="9.5546875" bestFit="1" customWidth="1"/>
  </cols>
  <sheetData>
    <row r="2" spans="2:6" ht="28.95" customHeight="1" x14ac:dyDescent="0.3">
      <c r="B2" s="213" t="s">
        <v>249</v>
      </c>
    </row>
    <row r="3" spans="2:6" ht="123.6" customHeight="1" x14ac:dyDescent="0.3">
      <c r="B3" s="214" t="s">
        <v>361</v>
      </c>
    </row>
    <row r="4" spans="2:6" ht="43.95" customHeight="1" x14ac:dyDescent="0.3">
      <c r="B4" s="215" t="s">
        <v>381</v>
      </c>
    </row>
    <row r="5" spans="2:6" ht="228.75" customHeight="1" x14ac:dyDescent="0.3">
      <c r="B5" s="334" t="s">
        <v>377</v>
      </c>
      <c r="E5" s="6"/>
      <c r="F5" s="216"/>
    </row>
    <row r="6" spans="2:6" ht="123" customHeight="1" x14ac:dyDescent="0.3">
      <c r="B6" s="334" t="s">
        <v>250</v>
      </c>
    </row>
    <row r="7" spans="2:6" ht="48" customHeight="1" x14ac:dyDescent="0.3">
      <c r="B7" s="335" t="s">
        <v>362</v>
      </c>
    </row>
    <row r="8" spans="2:6" ht="36.75" customHeight="1" x14ac:dyDescent="0.3">
      <c r="B8" s="334" t="s">
        <v>251</v>
      </c>
    </row>
    <row r="9" spans="2:6" ht="19.95" customHeight="1" x14ac:dyDescent="0.3">
      <c r="B9" s="334" t="s">
        <v>252</v>
      </c>
    </row>
    <row r="10" spans="2:6" ht="68.25" customHeight="1" x14ac:dyDescent="0.3">
      <c r="B10" s="336" t="s">
        <v>253</v>
      </c>
    </row>
    <row r="11" spans="2:6" ht="17.399999999999999" customHeight="1" x14ac:dyDescent="0.3">
      <c r="B11" s="214" t="s">
        <v>363</v>
      </c>
    </row>
    <row r="12" spans="2:6" x14ac:dyDescent="0.3">
      <c r="B12" s="215" t="s">
        <v>254</v>
      </c>
    </row>
    <row r="13" spans="2:6" ht="43.2" x14ac:dyDescent="0.3">
      <c r="B13" s="214" t="s">
        <v>364</v>
      </c>
    </row>
    <row r="14" spans="2:6" x14ac:dyDescent="0.3">
      <c r="B14" s="337" t="s">
        <v>365</v>
      </c>
    </row>
    <row r="15" spans="2:6" s="217" customFormat="1" x14ac:dyDescent="0.3">
      <c r="B15" s="338" t="s">
        <v>255</v>
      </c>
    </row>
    <row r="16" spans="2:6" s="217" customFormat="1" x14ac:dyDescent="0.3">
      <c r="B16" s="338" t="s">
        <v>256</v>
      </c>
    </row>
    <row r="17" spans="2:6" s="217" customFormat="1" ht="156" customHeight="1" x14ac:dyDescent="0.3">
      <c r="B17" s="339" t="s">
        <v>257</v>
      </c>
      <c r="D17" s="218"/>
      <c r="E17" s="218"/>
      <c r="F17" s="218"/>
    </row>
    <row r="18" spans="2:6" s="217" customFormat="1" x14ac:dyDescent="0.3">
      <c r="B18" s="219" t="s">
        <v>258</v>
      </c>
      <c r="C18" s="218"/>
    </row>
    <row r="19" spans="2:6" s="217" customFormat="1" ht="20.399999999999999" customHeight="1" x14ac:dyDescent="0.3">
      <c r="B19" s="220" t="s">
        <v>259</v>
      </c>
    </row>
    <row r="21" spans="2:6" ht="21" x14ac:dyDescent="0.3">
      <c r="B21" s="213" t="s">
        <v>389</v>
      </c>
    </row>
    <row r="22" spans="2:6" x14ac:dyDescent="0.3">
      <c r="B22" s="327" t="s">
        <v>390</v>
      </c>
    </row>
    <row r="23" spans="2:6" ht="15.75" customHeight="1" x14ac:dyDescent="0.3">
      <c r="B23" s="327" t="s">
        <v>366</v>
      </c>
    </row>
    <row r="24" spans="2:6" x14ac:dyDescent="0.3">
      <c r="B24" s="327" t="s">
        <v>391</v>
      </c>
    </row>
    <row r="25" spans="2:6" x14ac:dyDescent="0.3">
      <c r="B25" s="327" t="s">
        <v>392</v>
      </c>
    </row>
    <row r="26" spans="2:6" x14ac:dyDescent="0.3">
      <c r="B26" s="328" t="s">
        <v>393</v>
      </c>
    </row>
    <row r="27" spans="2:6" x14ac:dyDescent="0.3">
      <c r="B27" s="329"/>
    </row>
    <row r="28" spans="2:6" ht="21" x14ac:dyDescent="0.3">
      <c r="B28" s="213" t="s">
        <v>367</v>
      </c>
    </row>
    <row r="29" spans="2:6" x14ac:dyDescent="0.3">
      <c r="B29" s="332" t="s">
        <v>368</v>
      </c>
    </row>
    <row r="30" spans="2:6" ht="82.5" customHeight="1" x14ac:dyDescent="0.3">
      <c r="B30" s="221" t="s">
        <v>369</v>
      </c>
    </row>
    <row r="31" spans="2:6" ht="126" customHeight="1" x14ac:dyDescent="0.3">
      <c r="B31" s="222" t="s">
        <v>370</v>
      </c>
    </row>
    <row r="32" spans="2:6" ht="95.25" customHeight="1" x14ac:dyDescent="0.3">
      <c r="B32" s="221" t="s">
        <v>371</v>
      </c>
    </row>
    <row r="33" spans="2:2" ht="79.5" customHeight="1" x14ac:dyDescent="0.3">
      <c r="B33" s="223" t="s">
        <v>372</v>
      </c>
    </row>
    <row r="35" spans="2:2" ht="21" x14ac:dyDescent="0.3">
      <c r="B35" s="213" t="s">
        <v>373</v>
      </c>
    </row>
    <row r="36" spans="2:2" ht="18" customHeight="1" x14ac:dyDescent="0.3">
      <c r="B36" s="330" t="s">
        <v>378</v>
      </c>
    </row>
    <row r="37" spans="2:2" ht="43.2" x14ac:dyDescent="0.3">
      <c r="B37" s="331" t="s">
        <v>374</v>
      </c>
    </row>
    <row r="38" spans="2:2" ht="28.8" x14ac:dyDescent="0.3">
      <c r="B38" s="333" t="s">
        <v>375</v>
      </c>
    </row>
    <row r="39" spans="2:2" ht="28.8" x14ac:dyDescent="0.3">
      <c r="B39" s="333" t="s">
        <v>379</v>
      </c>
    </row>
    <row r="40" spans="2:2" x14ac:dyDescent="0.3">
      <c r="B40" s="223" t="s">
        <v>376</v>
      </c>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sheetData>
  <hyperlinks>
    <hyperlink ref="B19" r:id="rId1" xr:uid="{5803CCE5-9D70-4475-AF5E-C59BAE8A8DB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D272"/>
  <sheetViews>
    <sheetView showGridLines="0" tabSelected="1" zoomScaleNormal="100" workbookViewId="0">
      <selection activeCell="B2" sqref="B2:C2"/>
    </sheetView>
  </sheetViews>
  <sheetFormatPr defaultColWidth="8.88671875" defaultRowHeight="14.4" outlineLevelRow="1" outlineLevelCol="1" x14ac:dyDescent="0.3"/>
  <cols>
    <col min="1" max="1" width="1.5546875" style="28" customWidth="1"/>
    <col min="2" max="2" width="37.88671875" style="28" customWidth="1"/>
    <col min="3" max="3" width="17" style="28" customWidth="1"/>
    <col min="4" max="5" width="11.5546875" style="29" hidden="1" customWidth="1" outlineLevel="1"/>
    <col min="6" max="7" width="11.5546875" style="30" hidden="1" customWidth="1" outlineLevel="1"/>
    <col min="8" max="8" width="11.5546875" style="30" customWidth="1" collapsed="1"/>
    <col min="9" max="10" width="11.5546875" style="29" customWidth="1" outlineLevel="1"/>
    <col min="11" max="12" width="11.5546875" style="30" customWidth="1" outlineLevel="1"/>
    <col min="13" max="13" width="11.5546875" style="30" customWidth="1"/>
    <col min="14" max="15" width="11.5546875" style="29" customWidth="1" outlineLevel="1"/>
    <col min="16" max="17" width="11.5546875" style="30" customWidth="1" outlineLevel="1"/>
    <col min="18" max="18" width="11.5546875" style="30" customWidth="1"/>
    <col min="19" max="20" width="11.5546875" style="29" customWidth="1" outlineLevel="1"/>
    <col min="21" max="22" width="11.5546875" style="30" customWidth="1" outlineLevel="1"/>
    <col min="23" max="23" width="11.5546875" style="30" customWidth="1"/>
    <col min="24" max="25" width="11.5546875" style="29" hidden="1" customWidth="1" outlineLevel="1"/>
    <col min="26" max="27" width="11.5546875" style="30" hidden="1" customWidth="1" outlineLevel="1"/>
    <col min="28" max="28" width="11.5546875" style="30" customWidth="1" collapsed="1"/>
    <col min="29" max="30" width="11.5546875" style="29" hidden="1" customWidth="1" outlineLevel="1"/>
    <col min="31" max="32" width="11.5546875" style="30" hidden="1" customWidth="1" outlineLevel="1"/>
    <col min="33" max="33" width="11.5546875" style="30" customWidth="1" collapsed="1"/>
    <col min="34" max="35" width="11.5546875" style="29" hidden="1" customWidth="1" outlineLevel="1"/>
    <col min="36" max="37" width="11.5546875" style="30" hidden="1" customWidth="1" outlineLevel="1"/>
    <col min="38" max="38" width="11.5546875" style="30" customWidth="1" collapsed="1"/>
    <col min="39" max="16384" width="8.88671875" style="28"/>
  </cols>
  <sheetData>
    <row r="1" spans="2:56" ht="9" customHeight="1" x14ac:dyDescent="0.3">
      <c r="B1" s="33" t="s">
        <v>146</v>
      </c>
    </row>
    <row r="2" spans="2:56" ht="45" customHeight="1" x14ac:dyDescent="0.3">
      <c r="B2" s="393" t="s">
        <v>145</v>
      </c>
      <c r="C2" s="394"/>
    </row>
    <row r="3" spans="2:56" x14ac:dyDescent="0.3">
      <c r="B3" s="345" t="s">
        <v>400</v>
      </c>
      <c r="C3" s="346"/>
      <c r="G3" s="243"/>
    </row>
    <row r="4" spans="2:56" x14ac:dyDescent="0.3">
      <c r="B4" s="347" t="s">
        <v>382</v>
      </c>
      <c r="C4" s="348"/>
      <c r="D4" s="326"/>
      <c r="BD4" s="33" t="s">
        <v>146</v>
      </c>
    </row>
    <row r="5" spans="2:56" x14ac:dyDescent="0.3">
      <c r="B5" s="349" t="s">
        <v>401</v>
      </c>
      <c r="C5" s="350"/>
      <c r="D5" s="287"/>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2:56" ht="14.4" customHeight="1" x14ac:dyDescent="0.3">
      <c r="B6" s="34" t="s">
        <v>130</v>
      </c>
      <c r="C6" s="35">
        <f>C238</f>
        <v>180.403906913398</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row>
    <row r="7" spans="2:56" ht="14.4" customHeight="1" x14ac:dyDescent="0.3">
      <c r="B7" s="36" t="s">
        <v>131</v>
      </c>
      <c r="C7" s="37">
        <f>C265</f>
        <v>198.4099720564983</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row>
    <row r="8" spans="2:56" ht="14.4" customHeight="1" x14ac:dyDescent="0.3">
      <c r="B8" s="36" t="s">
        <v>206</v>
      </c>
      <c r="C8" s="38">
        <f>(0.5*C6)+(0.5*C7)</f>
        <v>189.40693948494817</v>
      </c>
      <c r="D8" s="31"/>
      <c r="E8" s="4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row>
    <row r="9" spans="2:56" ht="14.4" customHeight="1" x14ac:dyDescent="0.3">
      <c r="B9" s="42" t="s">
        <v>207</v>
      </c>
      <c r="C9" s="43" t="str">
        <f>TEXT(C272,"$0")&amp;" to "&amp;TEXT(C271,"$0")</f>
        <v>$152 to $227</v>
      </c>
      <c r="D9" s="31"/>
      <c r="E9" s="41"/>
      <c r="F9" s="31"/>
      <c r="G9" s="31"/>
      <c r="H9" s="31"/>
      <c r="I9" s="31"/>
      <c r="J9" s="31"/>
      <c r="K9" s="31"/>
      <c r="L9" s="31"/>
      <c r="M9" s="31"/>
      <c r="N9" s="31"/>
      <c r="O9" s="462"/>
      <c r="P9" s="463"/>
      <c r="Q9" s="31"/>
      <c r="R9" s="31"/>
      <c r="S9" s="31"/>
      <c r="T9" s="31"/>
      <c r="U9" s="31"/>
      <c r="V9" s="31"/>
      <c r="W9" s="31"/>
      <c r="X9" s="31"/>
      <c r="Y9" s="31"/>
      <c r="Z9" s="31"/>
      <c r="AA9" s="31"/>
      <c r="AB9" s="31"/>
      <c r="AC9" s="31"/>
      <c r="AD9" s="31"/>
      <c r="AE9" s="31"/>
      <c r="AF9" s="31"/>
      <c r="AG9" s="31"/>
      <c r="AH9" s="31"/>
      <c r="AI9" s="31"/>
      <c r="AJ9" s="31"/>
      <c r="AK9" s="31"/>
      <c r="AL9" s="340" t="s">
        <v>146</v>
      </c>
    </row>
    <row r="10" spans="2:56" ht="3.75" customHeight="1" x14ac:dyDescent="0.3">
      <c r="C10" s="44"/>
      <c r="D10" s="45"/>
      <c r="E10" s="46"/>
      <c r="F10" s="45"/>
      <c r="G10" s="31"/>
      <c r="H10" s="31"/>
      <c r="I10" s="45"/>
      <c r="J10" s="45"/>
      <c r="K10" s="45"/>
      <c r="L10" s="31"/>
      <c r="M10" s="31"/>
      <c r="N10" s="45"/>
      <c r="O10" s="45"/>
      <c r="P10" s="45"/>
      <c r="Q10" s="31"/>
      <c r="R10" s="31"/>
      <c r="S10" s="45"/>
      <c r="T10" s="45"/>
      <c r="U10" s="45"/>
      <c r="V10" s="31"/>
      <c r="W10" s="31"/>
      <c r="X10" s="45"/>
      <c r="Y10" s="45"/>
      <c r="Z10" s="45"/>
      <c r="AA10" s="31"/>
      <c r="AB10" s="31"/>
      <c r="AC10" s="45"/>
      <c r="AD10" s="45"/>
      <c r="AE10" s="45"/>
      <c r="AF10" s="31"/>
      <c r="AG10" s="31"/>
      <c r="AH10" s="45"/>
      <c r="AI10" s="45"/>
      <c r="AJ10" s="45"/>
      <c r="AK10" s="31"/>
      <c r="AL10" s="31"/>
    </row>
    <row r="11" spans="2:56" ht="15.6" x14ac:dyDescent="0.3">
      <c r="B11" s="351" t="s">
        <v>62</v>
      </c>
      <c r="C11" s="352"/>
      <c r="D11" s="47" t="s">
        <v>66</v>
      </c>
      <c r="E11" s="47" t="s">
        <v>67</v>
      </c>
      <c r="F11" s="47" t="s">
        <v>68</v>
      </c>
      <c r="G11" s="47" t="s">
        <v>69</v>
      </c>
      <c r="H11" s="256" t="s">
        <v>69</v>
      </c>
      <c r="I11" s="47" t="s">
        <v>70</v>
      </c>
      <c r="J11" s="47" t="s">
        <v>71</v>
      </c>
      <c r="K11" s="47" t="s">
        <v>72</v>
      </c>
      <c r="L11" s="47" t="s">
        <v>73</v>
      </c>
      <c r="M11" s="256" t="s">
        <v>73</v>
      </c>
      <c r="N11" s="47" t="s">
        <v>74</v>
      </c>
      <c r="O11" s="47" t="s">
        <v>75</v>
      </c>
      <c r="P11" s="48" t="s">
        <v>76</v>
      </c>
      <c r="Q11" s="48" t="s">
        <v>77</v>
      </c>
      <c r="R11" s="254" t="s">
        <v>77</v>
      </c>
      <c r="S11" s="48" t="s">
        <v>136</v>
      </c>
      <c r="T11" s="48" t="s">
        <v>137</v>
      </c>
      <c r="U11" s="48" t="s">
        <v>138</v>
      </c>
      <c r="V11" s="48" t="s">
        <v>139</v>
      </c>
      <c r="W11" s="254" t="s">
        <v>139</v>
      </c>
      <c r="X11" s="48" t="s">
        <v>154</v>
      </c>
      <c r="Y11" s="48" t="s">
        <v>155</v>
      </c>
      <c r="Z11" s="48" t="s">
        <v>156</v>
      </c>
      <c r="AA11" s="48" t="s">
        <v>157</v>
      </c>
      <c r="AB11" s="254" t="s">
        <v>157</v>
      </c>
      <c r="AC11" s="15" t="s">
        <v>277</v>
      </c>
      <c r="AD11" s="15" t="s">
        <v>278</v>
      </c>
      <c r="AE11" s="15" t="s">
        <v>279</v>
      </c>
      <c r="AF11" s="15" t="s">
        <v>280</v>
      </c>
      <c r="AG11" s="252" t="s">
        <v>280</v>
      </c>
      <c r="AH11" s="15" t="s">
        <v>286</v>
      </c>
      <c r="AI11" s="15" t="s">
        <v>287</v>
      </c>
      <c r="AJ11" s="15" t="s">
        <v>288</v>
      </c>
      <c r="AK11" s="15" t="s">
        <v>289</v>
      </c>
      <c r="AL11" s="252" t="s">
        <v>289</v>
      </c>
    </row>
    <row r="12" spans="2:56" ht="16.2" x14ac:dyDescent="0.45">
      <c r="B12" s="353" t="s">
        <v>8</v>
      </c>
      <c r="C12" s="354"/>
      <c r="D12" s="49" t="s">
        <v>163</v>
      </c>
      <c r="E12" s="49" t="s">
        <v>196</v>
      </c>
      <c r="F12" s="49" t="s">
        <v>214</v>
      </c>
      <c r="G12" s="10" t="s">
        <v>216</v>
      </c>
      <c r="H12" s="257" t="s">
        <v>217</v>
      </c>
      <c r="I12" s="10" t="s">
        <v>218</v>
      </c>
      <c r="J12" s="10" t="s">
        <v>219</v>
      </c>
      <c r="K12" s="10" t="s">
        <v>220</v>
      </c>
      <c r="L12" s="10" t="s">
        <v>221</v>
      </c>
      <c r="M12" s="257" t="s">
        <v>222</v>
      </c>
      <c r="N12" s="10" t="s">
        <v>223</v>
      </c>
      <c r="O12" s="10" t="s">
        <v>383</v>
      </c>
      <c r="P12" s="50" t="s">
        <v>46</v>
      </c>
      <c r="Q12" s="50" t="s">
        <v>47</v>
      </c>
      <c r="R12" s="255" t="s">
        <v>128</v>
      </c>
      <c r="S12" s="50" t="s">
        <v>135</v>
      </c>
      <c r="T12" s="50" t="s">
        <v>140</v>
      </c>
      <c r="U12" s="50" t="s">
        <v>141</v>
      </c>
      <c r="V12" s="50" t="s">
        <v>142</v>
      </c>
      <c r="W12" s="255" t="s">
        <v>143</v>
      </c>
      <c r="X12" s="50" t="s">
        <v>158</v>
      </c>
      <c r="Y12" s="50" t="s">
        <v>159</v>
      </c>
      <c r="Z12" s="50" t="s">
        <v>160</v>
      </c>
      <c r="AA12" s="50" t="s">
        <v>161</v>
      </c>
      <c r="AB12" s="255" t="s">
        <v>162</v>
      </c>
      <c r="AC12" s="16" t="s">
        <v>281</v>
      </c>
      <c r="AD12" s="16" t="s">
        <v>282</v>
      </c>
      <c r="AE12" s="16" t="s">
        <v>283</v>
      </c>
      <c r="AF12" s="16" t="s">
        <v>284</v>
      </c>
      <c r="AG12" s="253" t="s">
        <v>285</v>
      </c>
      <c r="AH12" s="16" t="s">
        <v>290</v>
      </c>
      <c r="AI12" s="16" t="s">
        <v>291</v>
      </c>
      <c r="AJ12" s="16" t="s">
        <v>292</v>
      </c>
      <c r="AK12" s="16" t="s">
        <v>293</v>
      </c>
      <c r="AL12" s="253" t="s">
        <v>294</v>
      </c>
    </row>
    <row r="13" spans="2:56" x14ac:dyDescent="0.3">
      <c r="B13" s="370" t="s">
        <v>225</v>
      </c>
      <c r="C13" s="356"/>
      <c r="D13" s="207">
        <f>+D49+D53+D57+D61</f>
        <v>70672.092999999993</v>
      </c>
      <c r="E13" s="207">
        <f>+E49+E53+E57+E61</f>
        <v>45326.708000000006</v>
      </c>
      <c r="F13" s="207">
        <f>+F49+F53+F57+F61</f>
        <v>37625.923999999999</v>
      </c>
      <c r="G13" s="207">
        <f>+G49+G53+G57+G61</f>
        <v>43587.652000000002</v>
      </c>
      <c r="H13" s="208">
        <f>SUM(D13:G13)</f>
        <v>197212.37700000001</v>
      </c>
      <c r="I13" s="54">
        <v>79164</v>
      </c>
      <c r="J13" s="54">
        <f>+J49+J53+J57+J61</f>
        <v>51287</v>
      </c>
      <c r="K13" s="54">
        <f>+K49+K53+K57+K61</f>
        <v>43095</v>
      </c>
      <c r="L13" s="54">
        <f>+L49+L53+L57+L61</f>
        <v>52301</v>
      </c>
      <c r="M13" s="55">
        <f>SUM(I13:L13)</f>
        <v>225847</v>
      </c>
      <c r="N13" s="54">
        <v>73435</v>
      </c>
      <c r="O13" s="54">
        <v>46565</v>
      </c>
      <c r="P13" s="54">
        <f>+P49+P53+P57+P61</f>
        <v>41808.637675976868</v>
      </c>
      <c r="Q13" s="54">
        <f>+Q49+Q53+Q57+Q61</f>
        <v>49501.870872777348</v>
      </c>
      <c r="R13" s="55">
        <f>SUM(N13:Q13)</f>
        <v>211310.50854875421</v>
      </c>
      <c r="S13" s="54">
        <f>+S49+S53+S57+S61</f>
        <v>73896.223969782572</v>
      </c>
      <c r="T13" s="54">
        <f>+T49+T53+T57+T61</f>
        <v>48106.782759599126</v>
      </c>
      <c r="U13" s="54">
        <f>+U49+U53+U57+U61</f>
        <v>43359.093675251279</v>
      </c>
      <c r="V13" s="54">
        <f>+V49+V53+V57+V61</f>
        <v>51781.374694896687</v>
      </c>
      <c r="W13" s="55">
        <f>SUM(S13:V13)</f>
        <v>217143.47509952966</v>
      </c>
      <c r="X13" s="54">
        <f>+X49+X53+X57+X61</f>
        <v>76519.14774686392</v>
      </c>
      <c r="Y13" s="54">
        <f>+Y49+Y53+Y57+Y61</f>
        <v>50075.623642063736</v>
      </c>
      <c r="Z13" s="54">
        <f>+Z49+Z53+Z57+Z61</f>
        <v>45287.417696023782</v>
      </c>
      <c r="AA13" s="54">
        <f>+AA49+AA53+AA57+AA61</f>
        <v>54287.545431550832</v>
      </c>
      <c r="AB13" s="55">
        <f>SUM(X13:AA13)</f>
        <v>226169.73451650224</v>
      </c>
      <c r="AC13" s="54">
        <f>+AC49+AC53+AC57+AC61</f>
        <v>78535.482677866195</v>
      </c>
      <c r="AD13" s="54">
        <f>+AD49+AD53+AD57+AD61</f>
        <v>51261.21884489787</v>
      </c>
      <c r="AE13" s="54">
        <f>+AE49+AE53+AE57+AE61</f>
        <v>46152.621208370787</v>
      </c>
      <c r="AF13" s="54">
        <f>+AF49+AF53+AF57+AF61</f>
        <v>54924.899157913569</v>
      </c>
      <c r="AG13" s="55">
        <f>SUM(AC13:AF13)</f>
        <v>230874.22188904844</v>
      </c>
      <c r="AH13" s="54">
        <f>+AH49+AH53+AH57+AH61</f>
        <v>80027.970304782153</v>
      </c>
      <c r="AI13" s="54">
        <f>+AI49+AI53+AI57+AI61</f>
        <v>52139.761393663015</v>
      </c>
      <c r="AJ13" s="54">
        <f>+AJ49+AJ53+AJ57+AJ61</f>
        <v>46872.662235654156</v>
      </c>
      <c r="AK13" s="54">
        <f>+AK49+AK53+AK57+AK61</f>
        <v>55697.872026993289</v>
      </c>
      <c r="AL13" s="55">
        <f>SUM(AH13:AK13)</f>
        <v>234738.26596109261</v>
      </c>
    </row>
    <row r="14" spans="2:56" ht="16.2" x14ac:dyDescent="0.45">
      <c r="B14" s="370" t="s">
        <v>226</v>
      </c>
      <c r="C14" s="356"/>
      <c r="D14" s="27">
        <f>+D51+D55+D59+D63+D65</f>
        <v>7678.9070000000002</v>
      </c>
      <c r="E14" s="27">
        <f>+E51+E55+E59+E63+E65</f>
        <v>7569.2920000000004</v>
      </c>
      <c r="F14" s="27">
        <f>+F51+F55+F59+F63+F65</f>
        <v>7782.076</v>
      </c>
      <c r="G14" s="27">
        <f>+G51+G55+G59+G63+G65</f>
        <v>8991.3479999999981</v>
      </c>
      <c r="H14" s="209">
        <f>SUM(D14:G14)</f>
        <v>32021.623</v>
      </c>
      <c r="I14" s="5">
        <v>9129</v>
      </c>
      <c r="J14" s="5">
        <f>+J51+J55+J59+J63+J65</f>
        <v>9850</v>
      </c>
      <c r="K14" s="5">
        <f>+K51+K55+K59+K63+K65</f>
        <v>10170</v>
      </c>
      <c r="L14" s="5">
        <f>+L51+L55+L59+L63+L65</f>
        <v>10599</v>
      </c>
      <c r="M14" s="2">
        <f>SUM(I14:L14)</f>
        <v>39748</v>
      </c>
      <c r="N14" s="5">
        <v>10875</v>
      </c>
      <c r="O14" s="403">
        <v>11450</v>
      </c>
      <c r="P14" s="5">
        <f>+P51+P55+P59+P63+P65</f>
        <v>11691.225031411419</v>
      </c>
      <c r="Q14" s="5">
        <f>+Q51+Q55+Q59+Q63+Q65</f>
        <v>11898.042887860414</v>
      </c>
      <c r="R14" s="2">
        <f>SUM(N14:Q14)</f>
        <v>45914.267919271835</v>
      </c>
      <c r="S14" s="5">
        <f>+S51+S55+S59+S63+S65</f>
        <v>12903.864296065043</v>
      </c>
      <c r="T14" s="5">
        <f>+T51+T55+T59+T63+T65</f>
        <v>13193.318062504281</v>
      </c>
      <c r="U14" s="5">
        <f>+U51+U55+U59+U63+U65</f>
        <v>13080.594972905616</v>
      </c>
      <c r="V14" s="5">
        <f>+V51+V55+V59+V63+V65</f>
        <v>12878.813445768623</v>
      </c>
      <c r="W14" s="2">
        <f>SUM(S14:V14)</f>
        <v>52056.59077724356</v>
      </c>
      <c r="X14" s="5">
        <f>+X51+X55+X59+X63+X65</f>
        <v>14646.166744582033</v>
      </c>
      <c r="Y14" s="5">
        <f>+Y51+Y55+Y59+Y63+Y65</f>
        <v>14804.705595529544</v>
      </c>
      <c r="Z14" s="5">
        <f>+Z51+Z55+Z59+Z63+Z65</f>
        <v>14579.723850032369</v>
      </c>
      <c r="AA14" s="5">
        <f>+AA51+AA55+AA59+AA63+AA65</f>
        <v>14341.192200940191</v>
      </c>
      <c r="AB14" s="2">
        <f>SUM(X14:AA14)</f>
        <v>58371.788391084134</v>
      </c>
      <c r="AC14" s="5">
        <f>+AC51+AC55+AC59+AC63+AC65</f>
        <v>14958.549958585379</v>
      </c>
      <c r="AD14" s="5">
        <f>+AD51+AD55+AD59+AD63+AD65</f>
        <v>14995.766157058286</v>
      </c>
      <c r="AE14" s="5">
        <f>+AE51+AE55+AE59+AE63+AE65</f>
        <v>14515.537823554521</v>
      </c>
      <c r="AF14" s="5">
        <f>+AF51+AF55+AF59+AF63+AF65</f>
        <v>14281.607515540287</v>
      </c>
      <c r="AG14" s="2">
        <f>SUM(AC14:AF14)</f>
        <v>58751.461454738477</v>
      </c>
      <c r="AH14" s="5">
        <f>+AH51+AH55+AH59+AH63+AH65</f>
        <v>15054.572073359272</v>
      </c>
      <c r="AI14" s="5">
        <f>+AI51+AI55+AI59+AI63+AI65</f>
        <v>15036.132498027891</v>
      </c>
      <c r="AJ14" s="5">
        <f>+AJ51+AJ55+AJ59+AJ63+AJ65</f>
        <v>14517.547687592554</v>
      </c>
      <c r="AK14" s="5">
        <f>+AK51+AK55+AK59+AK63+AK65</f>
        <v>14299.797755742906</v>
      </c>
      <c r="AL14" s="2">
        <f>SUM(AH14:AK14)</f>
        <v>58908.050014722619</v>
      </c>
    </row>
    <row r="15" spans="2:56" s="14" customFormat="1" x14ac:dyDescent="0.3">
      <c r="B15" s="359" t="s">
        <v>224</v>
      </c>
      <c r="C15" s="360"/>
      <c r="D15" s="3">
        <v>78351</v>
      </c>
      <c r="E15" s="3">
        <v>52896</v>
      </c>
      <c r="F15" s="3">
        <v>45408</v>
      </c>
      <c r="G15" s="3">
        <f>229234-F15-E15-D15</f>
        <v>52579</v>
      </c>
      <c r="H15" s="4">
        <f>SUM(D15:G15)</f>
        <v>229234</v>
      </c>
      <c r="I15" s="3">
        <v>88293</v>
      </c>
      <c r="J15" s="3">
        <v>61137</v>
      </c>
      <c r="K15" s="3">
        <v>53265</v>
      </c>
      <c r="L15" s="3">
        <v>62900</v>
      </c>
      <c r="M15" s="4">
        <f>SUM(I15:L15)</f>
        <v>265595</v>
      </c>
      <c r="N15" s="3">
        <v>84310</v>
      </c>
      <c r="O15" s="404">
        <f>SUM(O13:O14)</f>
        <v>58015</v>
      </c>
      <c r="P15" s="304">
        <f t="shared" ref="P15:AL15" si="0">SUM(P13:P14)</f>
        <v>53499.862707388289</v>
      </c>
      <c r="Q15" s="306">
        <f t="shared" si="0"/>
        <v>61399.913760637763</v>
      </c>
      <c r="R15" s="4">
        <f t="shared" si="0"/>
        <v>257224.77646802604</v>
      </c>
      <c r="S15" s="306">
        <f t="shared" si="0"/>
        <v>86800.088265847618</v>
      </c>
      <c r="T15" s="306">
        <f t="shared" si="0"/>
        <v>61300.100822103406</v>
      </c>
      <c r="U15" s="3">
        <f t="shared" si="0"/>
        <v>56439.688648156894</v>
      </c>
      <c r="V15" s="3">
        <f t="shared" si="0"/>
        <v>64660.188140665312</v>
      </c>
      <c r="W15" s="307">
        <f t="shared" si="0"/>
        <v>269200.06587677321</v>
      </c>
      <c r="X15" s="3">
        <f t="shared" si="0"/>
        <v>91165.314491445955</v>
      </c>
      <c r="Y15" s="3">
        <f t="shared" si="0"/>
        <v>64880.32923759328</v>
      </c>
      <c r="Z15" s="3">
        <f t="shared" si="0"/>
        <v>59867.141546056155</v>
      </c>
      <c r="AA15" s="3">
        <f t="shared" si="0"/>
        <v>68628.737632491029</v>
      </c>
      <c r="AB15" s="307">
        <f t="shared" si="0"/>
        <v>284541.52290758636</v>
      </c>
      <c r="AC15" s="3">
        <f t="shared" si="0"/>
        <v>93494.032636451579</v>
      </c>
      <c r="AD15" s="3">
        <f t="shared" si="0"/>
        <v>66256.985001956156</v>
      </c>
      <c r="AE15" s="3">
        <f t="shared" si="0"/>
        <v>60668.159031925308</v>
      </c>
      <c r="AF15" s="3">
        <f t="shared" si="0"/>
        <v>69206.506673453856</v>
      </c>
      <c r="AG15" s="307">
        <f t="shared" si="0"/>
        <v>289625.68334378692</v>
      </c>
      <c r="AH15" s="3">
        <f t="shared" si="0"/>
        <v>95082.542378141428</v>
      </c>
      <c r="AI15" s="3">
        <f t="shared" si="0"/>
        <v>67175.89389169091</v>
      </c>
      <c r="AJ15" s="3">
        <f t="shared" si="0"/>
        <v>61390.209923246708</v>
      </c>
      <c r="AK15" s="3">
        <f t="shared" si="0"/>
        <v>69997.669782736193</v>
      </c>
      <c r="AL15" s="4">
        <f t="shared" si="0"/>
        <v>293646.31597581523</v>
      </c>
    </row>
    <row r="16" spans="2:56" customFormat="1" x14ac:dyDescent="0.3">
      <c r="B16" s="25" t="s">
        <v>228</v>
      </c>
      <c r="C16" s="26"/>
      <c r="D16" s="11"/>
      <c r="E16" s="11"/>
      <c r="F16" s="11"/>
      <c r="G16" s="11"/>
      <c r="H16" s="1"/>
      <c r="I16" s="11">
        <v>50575</v>
      </c>
      <c r="J16" s="11"/>
      <c r="K16" s="11"/>
      <c r="L16" s="11"/>
      <c r="M16" s="1"/>
      <c r="N16" s="11">
        <v>48238</v>
      </c>
      <c r="O16" s="405">
        <v>32047</v>
      </c>
      <c r="P16" s="11">
        <f>P13*(1-P78)</f>
        <v>28982.615863179213</v>
      </c>
      <c r="Q16" s="11">
        <f>Q13*(1-Q78)</f>
        <v>33234.577660930059</v>
      </c>
      <c r="R16" s="1">
        <f>SUM(N16:Q16)</f>
        <v>142502.19352410926</v>
      </c>
      <c r="S16" s="11">
        <f>S13*(1-S78)</f>
        <v>48725.709469223453</v>
      </c>
      <c r="T16" s="11">
        <f>T13*(1-T78)</f>
        <v>33204.300478369478</v>
      </c>
      <c r="U16" s="11">
        <f>U13*(1-U78)</f>
        <v>30144.142347035206</v>
      </c>
      <c r="V16" s="11">
        <f>V13*(1-V78)</f>
        <v>34868.554220321399</v>
      </c>
      <c r="W16" s="1">
        <f>SUM(S16:V16)</f>
        <v>146942.70651494953</v>
      </c>
      <c r="X16" s="11">
        <f>X13*(1-X78)</f>
        <v>50646.511433065665</v>
      </c>
      <c r="Y16" s="11">
        <f>Y13*(1-Y78)</f>
        <v>33845.124235947638</v>
      </c>
      <c r="Z16" s="11">
        <f>Z13*(1-Z78)</f>
        <v>30722.089023881075</v>
      </c>
      <c r="AA16" s="11">
        <f>AA13*(1-AA78)</f>
        <v>36963.31664870336</v>
      </c>
      <c r="AB16" s="1">
        <f>SUM(X16:AA16)</f>
        <v>152177.04134159774</v>
      </c>
      <c r="AC16" s="11">
        <f>AC13*(1-AC78)</f>
        <v>51981.083669464904</v>
      </c>
      <c r="AD16" s="11">
        <f>AD13*(1-AD78)</f>
        <v>34902.750693554641</v>
      </c>
      <c r="AE16" s="11">
        <f>AE13*(1-AE78)</f>
        <v>31424.407538256564</v>
      </c>
      <c r="AF16" s="11">
        <f>AF13*(1-AF78)</f>
        <v>37397.278203190683</v>
      </c>
      <c r="AG16" s="1">
        <f>SUM(AC16:AF16)</f>
        <v>155705.52010446679</v>
      </c>
      <c r="AH16" s="11">
        <f>AH13*(1-AH78)</f>
        <v>53169.001655301545</v>
      </c>
      <c r="AI16" s="11">
        <f>AI13*(1-AI78)</f>
        <v>35631.282353414899</v>
      </c>
      <c r="AJ16" s="11">
        <f>AJ13*(1-AJ78)</f>
        <v>32149.032552740086</v>
      </c>
      <c r="AK16" s="11">
        <f>AK13*(1-AK78)</f>
        <v>38341.314191538411</v>
      </c>
      <c r="AL16" s="1">
        <f>SUM(AH16:AK16)</f>
        <v>159290.63075299494</v>
      </c>
    </row>
    <row r="17" spans="1:38" s="203" customFormat="1" ht="16.2" x14ac:dyDescent="0.45">
      <c r="A17" s="14"/>
      <c r="B17" s="25" t="s">
        <v>229</v>
      </c>
      <c r="C17" s="26"/>
      <c r="D17" s="5"/>
      <c r="E17" s="5"/>
      <c r="F17" s="5"/>
      <c r="G17" s="5"/>
      <c r="H17" s="2"/>
      <c r="I17" s="5">
        <v>3806</v>
      </c>
      <c r="J17" s="5"/>
      <c r="K17" s="5"/>
      <c r="L17" s="5"/>
      <c r="M17" s="2"/>
      <c r="N17" s="5">
        <v>4041</v>
      </c>
      <c r="O17" s="403">
        <v>4147</v>
      </c>
      <c r="P17" s="5">
        <f>P14*(1-P79)</f>
        <v>4421.4273040190164</v>
      </c>
      <c r="Q17" s="5">
        <f>Q14*(1-Q79)</f>
        <v>4523.4384711917182</v>
      </c>
      <c r="R17" s="2">
        <f>SUM(N17:Q17)</f>
        <v>17132.865775210736</v>
      </c>
      <c r="S17" s="5">
        <f>S14*(1-S79)</f>
        <v>4923.9366310433024</v>
      </c>
      <c r="T17" s="5">
        <f>T14*(1-T79)</f>
        <v>4804.7875099420617</v>
      </c>
      <c r="U17" s="5">
        <f>U14*(1-U79)</f>
        <v>4973.0251507908688</v>
      </c>
      <c r="V17" s="5">
        <f>V14*(1-V79)</f>
        <v>4922.0687894046723</v>
      </c>
      <c r="W17" s="2">
        <f>SUM(S17:V17)</f>
        <v>19623.818081180903</v>
      </c>
      <c r="X17" s="5">
        <f>X14*(1-X79)</f>
        <v>5625.3906305009295</v>
      </c>
      <c r="Y17" s="5">
        <f>Y14*(1-Y79)</f>
        <v>5695.1245749964473</v>
      </c>
      <c r="Z17" s="5">
        <f>Z14*(1-Z79)</f>
        <v>5608.5778308252247</v>
      </c>
      <c r="AA17" s="5">
        <f>AA14*(1-AA79)</f>
        <v>5516.8186635865668</v>
      </c>
      <c r="AB17" s="2">
        <f>SUM(X17:AA17)</f>
        <v>22445.911699909168</v>
      </c>
      <c r="AC17" s="5">
        <f>AC14*(1-AC79)</f>
        <v>5745.3727142656289</v>
      </c>
      <c r="AD17" s="5">
        <f>AD14*(1-AD79)</f>
        <v>5768.622402579289</v>
      </c>
      <c r="AE17" s="5">
        <f>AE14*(1-AE79)</f>
        <v>5583.886531534833</v>
      </c>
      <c r="AF17" s="5">
        <f>AF14*(1-AF79)</f>
        <v>5493.897423854728</v>
      </c>
      <c r="AG17" s="2">
        <f>SUM(AC17:AF17)</f>
        <v>22591.77907223448</v>
      </c>
      <c r="AH17" s="5">
        <f>AH14*(1-AH79)</f>
        <v>5819.8899142907158</v>
      </c>
      <c r="AI17" s="5">
        <f>AI14*(1-AI79)</f>
        <v>5821.7409953608858</v>
      </c>
      <c r="AJ17" s="5">
        <f>AJ14*(1-AJ79)</f>
        <v>5657.2474313167695</v>
      </c>
      <c r="AK17" s="5">
        <f>AK14*(1-AK79)</f>
        <v>5608.1433905819649</v>
      </c>
      <c r="AL17" s="2">
        <f>SUM(AH17:AK17)</f>
        <v>22907.021731550336</v>
      </c>
    </row>
    <row r="18" spans="1:38" s="14" customFormat="1" ht="17.25" customHeight="1" x14ac:dyDescent="0.45">
      <c r="B18" s="359" t="s">
        <v>227</v>
      </c>
      <c r="C18" s="360"/>
      <c r="D18" s="83">
        <v>48175</v>
      </c>
      <c r="E18" s="83">
        <v>32305</v>
      </c>
      <c r="F18" s="83">
        <v>27920</v>
      </c>
      <c r="G18" s="83">
        <f>141048-F18-E18-D18</f>
        <v>32648</v>
      </c>
      <c r="H18" s="84">
        <f>SUM(D18:G18)</f>
        <v>141048</v>
      </c>
      <c r="I18" s="83">
        <v>54381</v>
      </c>
      <c r="J18" s="83">
        <v>37715</v>
      </c>
      <c r="K18" s="83">
        <v>32844</v>
      </c>
      <c r="L18" s="83">
        <v>38816</v>
      </c>
      <c r="M18" s="84">
        <f>SUM(I18:L18)</f>
        <v>163756</v>
      </c>
      <c r="N18" s="83">
        <v>52279</v>
      </c>
      <c r="O18" s="406">
        <f>SUM(O16:O17)</f>
        <v>36194</v>
      </c>
      <c r="P18" s="83">
        <f t="shared" ref="P18:Q18" si="1">SUM(P16:P17)</f>
        <v>33404.04316719823</v>
      </c>
      <c r="Q18" s="83">
        <f t="shared" si="1"/>
        <v>37758.016132121775</v>
      </c>
      <c r="R18" s="84">
        <f>SUM(R16:R17)</f>
        <v>159635.05929931998</v>
      </c>
      <c r="S18" s="83">
        <f>SUM(S16:S17)</f>
        <v>53649.646100266757</v>
      </c>
      <c r="T18" s="83">
        <f>SUM(T16:T17)</f>
        <v>38009.087988311541</v>
      </c>
      <c r="U18" s="83">
        <f t="shared" ref="U18" si="2">SUM(U16:U17)</f>
        <v>35117.167497826071</v>
      </c>
      <c r="V18" s="83">
        <f t="shared" ref="V18" si="3">SUM(V16:V17)</f>
        <v>39790.62300972607</v>
      </c>
      <c r="W18" s="84">
        <f>SUM(W16:W17)</f>
        <v>166566.52459613045</v>
      </c>
      <c r="X18" s="83">
        <f>SUM(X16:X17)</f>
        <v>56271.902063566595</v>
      </c>
      <c r="Y18" s="83">
        <f>SUM(Y16:Y17)</f>
        <v>39540.248810944089</v>
      </c>
      <c r="Z18" s="83">
        <f t="shared" ref="Z18" si="4">SUM(Z16:Z17)</f>
        <v>36330.666854706302</v>
      </c>
      <c r="AA18" s="83">
        <f t="shared" ref="AA18" si="5">SUM(AA16:AA17)</f>
        <v>42480.135312289924</v>
      </c>
      <c r="AB18" s="84">
        <f>SUM(AB16:AB17)</f>
        <v>174622.9530415069</v>
      </c>
      <c r="AC18" s="83">
        <f>SUM(AC16:AC17)</f>
        <v>57726.456383730532</v>
      </c>
      <c r="AD18" s="83">
        <f>SUM(AD16:AD17)</f>
        <v>40671.373096133932</v>
      </c>
      <c r="AE18" s="83">
        <f t="shared" ref="AE18" si="6">SUM(AE16:AE17)</f>
        <v>37008.294069791395</v>
      </c>
      <c r="AF18" s="83">
        <f t="shared" ref="AF18" si="7">SUM(AF16:AF17)</f>
        <v>42891.175627045413</v>
      </c>
      <c r="AG18" s="84">
        <f>SUM(AG16:AG17)</f>
        <v>178297.29917670129</v>
      </c>
      <c r="AH18" s="83">
        <f>SUM(AH16:AH17)</f>
        <v>58988.891569592262</v>
      </c>
      <c r="AI18" s="83">
        <f>SUM(AI16:AI17)</f>
        <v>41453.023348775787</v>
      </c>
      <c r="AJ18" s="83">
        <f t="shared" ref="AJ18" si="8">SUM(AJ16:AJ17)</f>
        <v>37806.279984056855</v>
      </c>
      <c r="AK18" s="83">
        <f t="shared" ref="AK18" si="9">SUM(AK16:AK17)</f>
        <v>43949.457582120376</v>
      </c>
      <c r="AL18" s="84">
        <f>SUM(AL16:AL17)</f>
        <v>182197.65248454528</v>
      </c>
    </row>
    <row r="19" spans="1:38" x14ac:dyDescent="0.3">
      <c r="B19" s="357" t="s">
        <v>0</v>
      </c>
      <c r="C19" s="358"/>
      <c r="D19" s="65">
        <f t="shared" ref="D19:N19" si="10">D15-D18</f>
        <v>30176</v>
      </c>
      <c r="E19" s="65">
        <f t="shared" si="10"/>
        <v>20591</v>
      </c>
      <c r="F19" s="65">
        <f t="shared" si="10"/>
        <v>17488</v>
      </c>
      <c r="G19" s="65">
        <f t="shared" si="10"/>
        <v>19931</v>
      </c>
      <c r="H19" s="66">
        <f t="shared" si="10"/>
        <v>88186</v>
      </c>
      <c r="I19" s="65">
        <f t="shared" si="10"/>
        <v>33912</v>
      </c>
      <c r="J19" s="65">
        <f t="shared" si="10"/>
        <v>23422</v>
      </c>
      <c r="K19" s="65">
        <f t="shared" si="10"/>
        <v>20421</v>
      </c>
      <c r="L19" s="65">
        <f t="shared" si="10"/>
        <v>24084</v>
      </c>
      <c r="M19" s="66">
        <f t="shared" si="10"/>
        <v>101839</v>
      </c>
      <c r="N19" s="65">
        <f t="shared" si="10"/>
        <v>32031</v>
      </c>
      <c r="O19" s="407">
        <f>O15-O18</f>
        <v>21821</v>
      </c>
      <c r="P19" s="291">
        <f t="shared" ref="P19:Q19" si="11">P15-P18</f>
        <v>20095.819540190059</v>
      </c>
      <c r="Q19" s="65">
        <f t="shared" si="11"/>
        <v>23641.897628515988</v>
      </c>
      <c r="R19" s="66">
        <f>R15-R18</f>
        <v>97589.717168706062</v>
      </c>
      <c r="S19" s="65">
        <f>S15-S18</f>
        <v>33150.442165580862</v>
      </c>
      <c r="T19" s="65">
        <f>T15-T18</f>
        <v>23291.012833791865</v>
      </c>
      <c r="U19" s="65">
        <f t="shared" ref="U19" si="12">U15-U18</f>
        <v>21322.521150330824</v>
      </c>
      <c r="V19" s="65">
        <f t="shared" ref="V19" si="13">V15-V18</f>
        <v>24869.565130939241</v>
      </c>
      <c r="W19" s="66">
        <f>W15-W18</f>
        <v>102633.54128064276</v>
      </c>
      <c r="X19" s="65">
        <f>X15-X18</f>
        <v>34893.412427879361</v>
      </c>
      <c r="Y19" s="65">
        <f>Y15-Y18</f>
        <v>25340.08042664919</v>
      </c>
      <c r="Z19" s="65">
        <f t="shared" ref="Z19" si="14">Z15-Z18</f>
        <v>23536.474691349853</v>
      </c>
      <c r="AA19" s="65">
        <f t="shared" ref="AA19" si="15">AA15-AA18</f>
        <v>26148.602320201106</v>
      </c>
      <c r="AB19" s="66">
        <f>AB15-AB18</f>
        <v>109918.56986607946</v>
      </c>
      <c r="AC19" s="65">
        <f>AC15-AC18</f>
        <v>35767.576252721046</v>
      </c>
      <c r="AD19" s="65">
        <f>AD15-AD18</f>
        <v>25585.611905822225</v>
      </c>
      <c r="AE19" s="65">
        <f t="shared" ref="AE19" si="16">AE15-AE18</f>
        <v>23659.864962133914</v>
      </c>
      <c r="AF19" s="65">
        <f t="shared" ref="AF19" si="17">AF15-AF18</f>
        <v>26315.331046408442</v>
      </c>
      <c r="AG19" s="66">
        <f>AG15-AG18</f>
        <v>111328.38416708563</v>
      </c>
      <c r="AH19" s="65">
        <f>AH15-AH18</f>
        <v>36093.650808549166</v>
      </c>
      <c r="AI19" s="65">
        <f>AI15-AI18</f>
        <v>25722.870542915123</v>
      </c>
      <c r="AJ19" s="65">
        <f t="shared" ref="AJ19" si="18">AJ15-AJ18</f>
        <v>23583.929939189853</v>
      </c>
      <c r="AK19" s="65">
        <f t="shared" ref="AK19" si="19">AK15-AK18</f>
        <v>26048.212200615817</v>
      </c>
      <c r="AL19" s="66">
        <f>AL15-AL18</f>
        <v>111448.66349126995</v>
      </c>
    </row>
    <row r="20" spans="1:38" x14ac:dyDescent="0.3">
      <c r="B20" s="355" t="s">
        <v>6</v>
      </c>
      <c r="C20" s="356"/>
      <c r="D20" s="67">
        <v>2871</v>
      </c>
      <c r="E20" s="54">
        <v>2776</v>
      </c>
      <c r="F20" s="54">
        <v>2937</v>
      </c>
      <c r="G20" s="68">
        <f>11581-F20-E20-D20</f>
        <v>2997</v>
      </c>
      <c r="H20" s="55">
        <f>SUM(D20:G20)</f>
        <v>11581</v>
      </c>
      <c r="I20" s="67">
        <v>3407</v>
      </c>
      <c r="J20" s="54">
        <v>3378</v>
      </c>
      <c r="K20" s="54">
        <v>3701</v>
      </c>
      <c r="L20" s="68">
        <v>3750</v>
      </c>
      <c r="M20" s="55">
        <f>SUM(I20:L20)</f>
        <v>14236</v>
      </c>
      <c r="N20" s="67">
        <v>3902</v>
      </c>
      <c r="O20" s="408">
        <v>3948</v>
      </c>
      <c r="P20" s="54">
        <f>P15*P84</f>
        <v>4023.6106562210607</v>
      </c>
      <c r="Q20" s="68">
        <f>Q15*Q84</f>
        <v>4255.5784396910094</v>
      </c>
      <c r="R20" s="55">
        <f>SUM(N20:Q20)</f>
        <v>16129.18909591207</v>
      </c>
      <c r="S20" s="67">
        <f>S15*S84</f>
        <v>4230.3550082668271</v>
      </c>
      <c r="T20" s="54">
        <f>T15*T84</f>
        <v>3987.6687242917387</v>
      </c>
      <c r="U20" s="69">
        <f>U15*U84</f>
        <v>4158.7838735857249</v>
      </c>
      <c r="V20" s="68">
        <f>V15*V84</f>
        <v>4254.8955104322185</v>
      </c>
      <c r="W20" s="55">
        <f>SUM(S20:V20)</f>
        <v>16631.703116576511</v>
      </c>
      <c r="X20" s="67">
        <f>X15*X84</f>
        <v>3724.4273154764351</v>
      </c>
      <c r="Y20" s="54">
        <f>Y15*Y84</f>
        <v>3886.063269080144</v>
      </c>
      <c r="Z20" s="69">
        <f>Z15*Z84</f>
        <v>4058.4561678498321</v>
      </c>
      <c r="AA20" s="68">
        <f>AA15*AA84</f>
        <v>4179.5557226156516</v>
      </c>
      <c r="AB20" s="55">
        <f>SUM(X20:AA20)</f>
        <v>15848.502475022062</v>
      </c>
      <c r="AC20" s="67">
        <f>AC15*AC84</f>
        <v>3528.8586621295362</v>
      </c>
      <c r="AD20" s="54">
        <f>AD15*AD84</f>
        <v>3672.1462149106278</v>
      </c>
      <c r="AE20" s="69">
        <f>AE15*AE84</f>
        <v>3863.7914441155717</v>
      </c>
      <c r="AF20" s="68">
        <f>AF15*AF84</f>
        <v>3896.4305333598527</v>
      </c>
      <c r="AG20" s="55">
        <f>SUM(AC20:AF20)</f>
        <v>14961.226854515589</v>
      </c>
      <c r="AH20" s="67">
        <f>AH15*AH84</f>
        <v>3736.6378588163416</v>
      </c>
      <c r="AI20" s="54">
        <f>AI15*AI84</f>
        <v>3873.3163962667645</v>
      </c>
      <c r="AJ20" s="69">
        <f>AJ15*AJ84</f>
        <v>4035.7417425167441</v>
      </c>
      <c r="AK20" s="68">
        <f>AK15*AK84</f>
        <v>4101.9496034026633</v>
      </c>
      <c r="AL20" s="55">
        <f>SUM(AH20:AK20)</f>
        <v>15747.645601002514</v>
      </c>
    </row>
    <row r="21" spans="1:38" ht="16.2" x14ac:dyDescent="0.45">
      <c r="B21" s="355" t="s">
        <v>5</v>
      </c>
      <c r="C21" s="356"/>
      <c r="D21" s="70">
        <v>3946</v>
      </c>
      <c r="E21" s="60">
        <v>3718</v>
      </c>
      <c r="F21" s="60">
        <v>3783</v>
      </c>
      <c r="G21" s="71">
        <f>15261-F21-E21-D21</f>
        <v>3814</v>
      </c>
      <c r="H21" s="61">
        <f>SUM(D21:G21)</f>
        <v>15261</v>
      </c>
      <c r="I21" s="70">
        <v>4231</v>
      </c>
      <c r="J21" s="60">
        <v>4150</v>
      </c>
      <c r="K21" s="60">
        <v>4108</v>
      </c>
      <c r="L21" s="71">
        <v>4216</v>
      </c>
      <c r="M21" s="61">
        <f>SUM(I21:L21)</f>
        <v>16705</v>
      </c>
      <c r="N21" s="70">
        <v>4783</v>
      </c>
      <c r="O21" s="409">
        <v>4458</v>
      </c>
      <c r="P21" s="60">
        <f>P15*P83</f>
        <v>4726.3880174416126</v>
      </c>
      <c r="Q21" s="71">
        <f>Q15*Q83</f>
        <v>4960.0536670502624</v>
      </c>
      <c r="R21" s="61">
        <f>SUM(N21:Q21)</f>
        <v>18927.441684491874</v>
      </c>
      <c r="S21" s="70">
        <f>S15*S83</f>
        <v>5088.898789608038</v>
      </c>
      <c r="T21" s="60">
        <f>T15*T83</f>
        <v>4644.137873507043</v>
      </c>
      <c r="U21" s="60">
        <f>U15*U83</f>
        <v>4745.1103795304307</v>
      </c>
      <c r="V21" s="71">
        <f>V15*V83</f>
        <v>4865.3568429985917</v>
      </c>
      <c r="W21" s="61">
        <f>SUM(S21:V21)</f>
        <v>19343.503885644102</v>
      </c>
      <c r="X21" s="70">
        <f>X15*X83</f>
        <v>4651.6049480794964</v>
      </c>
      <c r="Y21" s="60">
        <f>Y15*Y83</f>
        <v>4518.6443337098799</v>
      </c>
      <c r="Z21" s="60">
        <f>Z15*Z83</f>
        <v>4762.6317094143369</v>
      </c>
      <c r="AA21" s="71">
        <f>AA15*AA83</f>
        <v>4897.2278290344029</v>
      </c>
      <c r="AB21" s="61">
        <f>SUM(X21:AA21)</f>
        <v>18830.108820238118</v>
      </c>
      <c r="AC21" s="70">
        <f>AC15*AC83</f>
        <v>4466.6662981462532</v>
      </c>
      <c r="AD21" s="60">
        <f>AD15*AD83</f>
        <v>4349.924389791644</v>
      </c>
      <c r="AE21" s="60">
        <f>AE15*AE83</f>
        <v>4535.7172108086625</v>
      </c>
      <c r="AF21" s="71">
        <f>AF15*AF83</f>
        <v>4584.9792630558341</v>
      </c>
      <c r="AG21" s="61">
        <f>SUM(AC21:AF21)</f>
        <v>17937.287161802393</v>
      </c>
      <c r="AH21" s="70">
        <f>AH15*AH83</f>
        <v>4697.0170709853401</v>
      </c>
      <c r="AI21" s="60">
        <f>AI15*AI83</f>
        <v>4544.3868612739761</v>
      </c>
      <c r="AJ21" s="60">
        <f>AJ15*AJ83</f>
        <v>4736.7483045411072</v>
      </c>
      <c r="AK21" s="71">
        <f>AK15*AK83</f>
        <v>4816.1534129177717</v>
      </c>
      <c r="AL21" s="61">
        <f>SUM(AH21:AK21)</f>
        <v>18794.305649718193</v>
      </c>
    </row>
    <row r="22" spans="1:38" s="14" customFormat="1" ht="16.2" x14ac:dyDescent="0.45">
      <c r="B22" s="210" t="s">
        <v>132</v>
      </c>
      <c r="C22" s="301"/>
      <c r="D22" s="302">
        <f t="shared" ref="D22:R22" si="20">SUM(D20:D21)</f>
        <v>6817</v>
      </c>
      <c r="E22" s="83">
        <f t="shared" si="20"/>
        <v>6494</v>
      </c>
      <c r="F22" s="83">
        <f t="shared" si="20"/>
        <v>6720</v>
      </c>
      <c r="G22" s="303">
        <f t="shared" si="20"/>
        <v>6811</v>
      </c>
      <c r="H22" s="84">
        <f t="shared" si="20"/>
        <v>26842</v>
      </c>
      <c r="I22" s="302">
        <f t="shared" si="20"/>
        <v>7638</v>
      </c>
      <c r="J22" s="83">
        <v>7528</v>
      </c>
      <c r="K22" s="83">
        <f t="shared" si="20"/>
        <v>7809</v>
      </c>
      <c r="L22" s="303">
        <f t="shared" si="20"/>
        <v>7966</v>
      </c>
      <c r="M22" s="84">
        <f t="shared" si="20"/>
        <v>30941</v>
      </c>
      <c r="N22" s="302">
        <f t="shared" si="20"/>
        <v>8685</v>
      </c>
      <c r="O22" s="406">
        <f>SUM(O20:O21)</f>
        <v>8406</v>
      </c>
      <c r="P22" s="294">
        <f t="shared" si="20"/>
        <v>8749.9986736626743</v>
      </c>
      <c r="Q22" s="303">
        <f t="shared" si="20"/>
        <v>9215.6321067412719</v>
      </c>
      <c r="R22" s="84">
        <f t="shared" si="20"/>
        <v>35056.630780403946</v>
      </c>
      <c r="S22" s="302">
        <f t="shared" ref="S22:AB22" si="21">SUM(S20:S21)</f>
        <v>9319.253797874866</v>
      </c>
      <c r="T22" s="83">
        <f t="shared" si="21"/>
        <v>8631.8065977987826</v>
      </c>
      <c r="U22" s="83">
        <f t="shared" si="21"/>
        <v>8903.8942531161556</v>
      </c>
      <c r="V22" s="303">
        <f t="shared" si="21"/>
        <v>9120.2523534308093</v>
      </c>
      <c r="W22" s="84">
        <f t="shared" si="21"/>
        <v>35975.207002220617</v>
      </c>
      <c r="X22" s="302">
        <f t="shared" si="21"/>
        <v>8376.0322635559314</v>
      </c>
      <c r="Y22" s="83">
        <f t="shared" si="21"/>
        <v>8404.7076027900239</v>
      </c>
      <c r="Z22" s="83">
        <f t="shared" si="21"/>
        <v>8821.0878772641699</v>
      </c>
      <c r="AA22" s="303">
        <f t="shared" si="21"/>
        <v>9076.7835516500545</v>
      </c>
      <c r="AB22" s="84">
        <f t="shared" si="21"/>
        <v>34678.611295260183</v>
      </c>
      <c r="AC22" s="302">
        <f t="shared" ref="AC22:AL22" si="22">SUM(AC20:AC21)</f>
        <v>7995.5249602757895</v>
      </c>
      <c r="AD22" s="83">
        <f t="shared" si="22"/>
        <v>8022.0706047022722</v>
      </c>
      <c r="AE22" s="83">
        <f t="shared" si="22"/>
        <v>8399.5086549242333</v>
      </c>
      <c r="AF22" s="303">
        <f t="shared" si="22"/>
        <v>8481.4097964156863</v>
      </c>
      <c r="AG22" s="84">
        <f t="shared" si="22"/>
        <v>32898.514016317982</v>
      </c>
      <c r="AH22" s="302">
        <f t="shared" si="22"/>
        <v>8433.6549298016816</v>
      </c>
      <c r="AI22" s="83">
        <f t="shared" si="22"/>
        <v>8417.7032575407411</v>
      </c>
      <c r="AJ22" s="83">
        <f t="shared" si="22"/>
        <v>8772.4900470578505</v>
      </c>
      <c r="AK22" s="303">
        <f t="shared" si="22"/>
        <v>8918.1030163204341</v>
      </c>
      <c r="AL22" s="84">
        <f t="shared" si="22"/>
        <v>34541.951250720711</v>
      </c>
    </row>
    <row r="23" spans="1:38" x14ac:dyDescent="0.3">
      <c r="B23" s="361" t="s">
        <v>1</v>
      </c>
      <c r="C23" s="362"/>
      <c r="D23" s="74">
        <f t="shared" ref="D23:R23" si="23">D19-D21-D20</f>
        <v>23359</v>
      </c>
      <c r="E23" s="65">
        <f t="shared" si="23"/>
        <v>14097</v>
      </c>
      <c r="F23" s="65">
        <f>F19-F21-F20</f>
        <v>10768</v>
      </c>
      <c r="G23" s="75">
        <f t="shared" si="23"/>
        <v>13120</v>
      </c>
      <c r="H23" s="66">
        <f t="shared" si="23"/>
        <v>61344</v>
      </c>
      <c r="I23" s="74">
        <f t="shared" si="23"/>
        <v>26274</v>
      </c>
      <c r="J23" s="65">
        <f t="shared" si="23"/>
        <v>15894</v>
      </c>
      <c r="K23" s="65">
        <f t="shared" si="23"/>
        <v>12612</v>
      </c>
      <c r="L23" s="75">
        <f t="shared" si="23"/>
        <v>16118</v>
      </c>
      <c r="M23" s="66">
        <f t="shared" si="23"/>
        <v>70898</v>
      </c>
      <c r="N23" s="74">
        <f t="shared" si="23"/>
        <v>23346</v>
      </c>
      <c r="O23" s="407">
        <f>O19-O21-O20</f>
        <v>13415</v>
      </c>
      <c r="P23" s="65">
        <f t="shared" si="23"/>
        <v>11345.820866527387</v>
      </c>
      <c r="Q23" s="75">
        <f t="shared" si="23"/>
        <v>14426.265521774716</v>
      </c>
      <c r="R23" s="66">
        <f t="shared" si="23"/>
        <v>62533.086388302116</v>
      </c>
      <c r="S23" s="74">
        <f t="shared" ref="S23:AB23" si="24">S19-S21-S20</f>
        <v>23831.188367706</v>
      </c>
      <c r="T23" s="65">
        <f t="shared" si="24"/>
        <v>14659.206235993082</v>
      </c>
      <c r="U23" s="65">
        <f t="shared" si="24"/>
        <v>12418.626897214668</v>
      </c>
      <c r="V23" s="75">
        <f t="shared" si="24"/>
        <v>15749.312777508432</v>
      </c>
      <c r="W23" s="66">
        <f t="shared" si="24"/>
        <v>66658.334278422146</v>
      </c>
      <c r="X23" s="74">
        <f t="shared" si="24"/>
        <v>26517.380164323429</v>
      </c>
      <c r="Y23" s="65">
        <f t="shared" si="24"/>
        <v>16935.372823859168</v>
      </c>
      <c r="Z23" s="65">
        <f t="shared" si="24"/>
        <v>14715.386814085683</v>
      </c>
      <c r="AA23" s="75">
        <f t="shared" si="24"/>
        <v>17071.818768551049</v>
      </c>
      <c r="AB23" s="66">
        <f t="shared" si="24"/>
        <v>75239.958570819275</v>
      </c>
      <c r="AC23" s="74">
        <f t="shared" ref="AC23:AL23" si="25">AC19-AC21-AC20</f>
        <v>27772.051292445256</v>
      </c>
      <c r="AD23" s="65">
        <f t="shared" si="25"/>
        <v>17563.541301119953</v>
      </c>
      <c r="AE23" s="65">
        <f t="shared" si="25"/>
        <v>15260.356307209679</v>
      </c>
      <c r="AF23" s="75">
        <f t="shared" si="25"/>
        <v>17833.921249992756</v>
      </c>
      <c r="AG23" s="66">
        <f t="shared" si="25"/>
        <v>78429.870150767645</v>
      </c>
      <c r="AH23" s="74">
        <f t="shared" si="25"/>
        <v>27659.995878747482</v>
      </c>
      <c r="AI23" s="65">
        <f t="shared" si="25"/>
        <v>17305.167285374384</v>
      </c>
      <c r="AJ23" s="65">
        <f t="shared" si="25"/>
        <v>14811.439892132003</v>
      </c>
      <c r="AK23" s="75">
        <f t="shared" si="25"/>
        <v>17130.109184295383</v>
      </c>
      <c r="AL23" s="66">
        <f t="shared" si="25"/>
        <v>76906.712240549241</v>
      </c>
    </row>
    <row r="24" spans="1:38" s="296" customFormat="1" x14ac:dyDescent="0.3">
      <c r="B24" s="297" t="s">
        <v>199</v>
      </c>
      <c r="C24" s="298"/>
      <c r="D24" s="299">
        <f t="shared" ref="D24:AL24" si="26">+D23+D175</f>
        <v>26346</v>
      </c>
      <c r="E24" s="299">
        <f t="shared" si="26"/>
        <v>16429</v>
      </c>
      <c r="F24" s="299">
        <f t="shared" si="26"/>
        <v>13122</v>
      </c>
      <c r="G24" s="299">
        <f t="shared" si="26"/>
        <v>15604</v>
      </c>
      <c r="H24" s="300">
        <f t="shared" si="26"/>
        <v>71501</v>
      </c>
      <c r="I24" s="299">
        <f t="shared" si="26"/>
        <v>29019</v>
      </c>
      <c r="J24" s="299">
        <f t="shared" si="26"/>
        <v>18633</v>
      </c>
      <c r="K24" s="299">
        <f t="shared" si="26"/>
        <v>15277</v>
      </c>
      <c r="L24" s="299">
        <f t="shared" si="26"/>
        <v>18872</v>
      </c>
      <c r="M24" s="300">
        <f t="shared" si="26"/>
        <v>81801</v>
      </c>
      <c r="N24" s="299">
        <f t="shared" si="26"/>
        <v>26741</v>
      </c>
      <c r="O24" s="410">
        <f t="shared" si="26"/>
        <v>16455</v>
      </c>
      <c r="P24" s="299">
        <f t="shared" si="26"/>
        <v>14287.700968242218</v>
      </c>
      <c r="Q24" s="299">
        <f t="shared" si="26"/>
        <v>17399.153479080782</v>
      </c>
      <c r="R24" s="300">
        <f t="shared" si="26"/>
        <v>74882.854447323014</v>
      </c>
      <c r="S24" s="299">
        <f t="shared" si="26"/>
        <v>26931.810335771901</v>
      </c>
      <c r="T24" s="299">
        <f t="shared" si="26"/>
        <v>17755.172789510867</v>
      </c>
      <c r="U24" s="299">
        <f t="shared" si="26"/>
        <v>15530.522559389368</v>
      </c>
      <c r="V24" s="299">
        <f t="shared" si="26"/>
        <v>18878.883155285948</v>
      </c>
      <c r="W24" s="300">
        <f t="shared" si="26"/>
        <v>79096.388839958046</v>
      </c>
      <c r="X24" s="299">
        <f t="shared" si="26"/>
        <v>29660.853142369651</v>
      </c>
      <c r="Y24" s="299">
        <f t="shared" si="26"/>
        <v>20077.25163540084</v>
      </c>
      <c r="Z24" s="299">
        <f t="shared" si="26"/>
        <v>17869.459335057636</v>
      </c>
      <c r="AA24" s="299">
        <f t="shared" si="26"/>
        <v>20241.029368662839</v>
      </c>
      <c r="AB24" s="300">
        <f t="shared" si="26"/>
        <v>87848.593481490912</v>
      </c>
      <c r="AC24" s="299">
        <f t="shared" si="26"/>
        <v>30955.443398436742</v>
      </c>
      <c r="AD24" s="299">
        <f t="shared" si="26"/>
        <v>20760.884666090467</v>
      </c>
      <c r="AE24" s="299">
        <f t="shared" si="26"/>
        <v>18475.335216612511</v>
      </c>
      <c r="AF24" s="299">
        <f t="shared" si="26"/>
        <v>21067.667471806581</v>
      </c>
      <c r="AG24" s="300">
        <f t="shared" si="26"/>
        <v>91259.330752946291</v>
      </c>
      <c r="AH24" s="299">
        <f t="shared" si="26"/>
        <v>30913.195456521535</v>
      </c>
      <c r="AI24" s="299">
        <f t="shared" si="26"/>
        <v>20578.945150713771</v>
      </c>
      <c r="AJ24" s="299">
        <f t="shared" si="26"/>
        <v>18107.287798359535</v>
      </c>
      <c r="AK24" s="299">
        <f t="shared" si="26"/>
        <v>20448.971253281459</v>
      </c>
      <c r="AL24" s="300">
        <f t="shared" si="26"/>
        <v>90048.399658876297</v>
      </c>
    </row>
    <row r="25" spans="1:38" x14ac:dyDescent="0.3">
      <c r="B25" s="76" t="s">
        <v>188</v>
      </c>
      <c r="C25" s="77"/>
      <c r="D25" s="81">
        <v>1224</v>
      </c>
      <c r="E25" s="81">
        <v>1282</v>
      </c>
      <c r="F25" s="81">
        <v>1327</v>
      </c>
      <c r="G25" s="81">
        <f>5201-F25-E25-D25</f>
        <v>1368</v>
      </c>
      <c r="H25" s="80">
        <f>SUM(D25:G25)</f>
        <v>5201</v>
      </c>
      <c r="I25" s="81">
        <v>1452</v>
      </c>
      <c r="J25" s="81">
        <v>1505</v>
      </c>
      <c r="K25" s="81">
        <v>1418</v>
      </c>
      <c r="L25" s="81">
        <v>1311</v>
      </c>
      <c r="M25" s="80">
        <f>SUM(I25:L25)</f>
        <v>5686</v>
      </c>
      <c r="N25" s="81">
        <v>1307</v>
      </c>
      <c r="O25" s="411">
        <v>1358</v>
      </c>
      <c r="P25" s="81">
        <f t="shared" ref="P25:Q25" si="27">+(O118+O119+O126)*P85</f>
        <v>1358</v>
      </c>
      <c r="Q25" s="81">
        <f t="shared" si="27"/>
        <v>1307.7330178920195</v>
      </c>
      <c r="R25" s="80">
        <f>SUM(N25:Q25)</f>
        <v>5330.7330178920192</v>
      </c>
      <c r="S25" s="81">
        <f>+(Q118+Q119+Q126)*S85</f>
        <v>1345.9796405754587</v>
      </c>
      <c r="T25" s="81">
        <f>+(S118+S119+S126)*T85</f>
        <v>1569.0761197515046</v>
      </c>
      <c r="U25" s="81">
        <f t="shared" ref="U25:V25" si="28">+(T118+T119+T126)*U85</f>
        <v>1605.4723935871002</v>
      </c>
      <c r="V25" s="81">
        <f t="shared" si="28"/>
        <v>1588.0203532821629</v>
      </c>
      <c r="W25" s="80">
        <f>SUM(S25:V25)</f>
        <v>6108.5485071962266</v>
      </c>
      <c r="X25" s="81">
        <f>+(V118+V119+V126)*X85</f>
        <v>1685.5142656495996</v>
      </c>
      <c r="Y25" s="81">
        <f>+(X118+X119+X126)*Y85</f>
        <v>1950.7266214190947</v>
      </c>
      <c r="Z25" s="81">
        <f t="shared" ref="Z25:AA25" si="29">+(Y118+Y119+Y126)*Z85</f>
        <v>2005.9291484178405</v>
      </c>
      <c r="AA25" s="81">
        <f t="shared" si="29"/>
        <v>2015.5215653428913</v>
      </c>
      <c r="AB25" s="80">
        <f>SUM(X25:AA25)</f>
        <v>7657.6916008294256</v>
      </c>
      <c r="AC25" s="81">
        <f>+(AA118+AA119+AA126)*AC85</f>
        <v>2137.3787502405085</v>
      </c>
      <c r="AD25" s="81">
        <f>+(AC118+AC119+AC126)*AD85</f>
        <v>2400.3625477025757</v>
      </c>
      <c r="AE25" s="81">
        <f t="shared" ref="AE25:AF25" si="30">+(AD118+AD119+AD126)*AE85</f>
        <v>2448.5321776928008</v>
      </c>
      <c r="AF25" s="81">
        <f t="shared" si="30"/>
        <v>2442.7799512595329</v>
      </c>
      <c r="AG25" s="80">
        <f>SUM(AC25:AF25)</f>
        <v>9429.0534268954179</v>
      </c>
      <c r="AH25" s="81">
        <f>+(AF118+AF119+AF126)*AH85</f>
        <v>2555.0521350168874</v>
      </c>
      <c r="AI25" s="81">
        <f>+(AH118+AH119+AH126)*AI85</f>
        <v>2820.6034349279639</v>
      </c>
      <c r="AJ25" s="81">
        <f t="shared" ref="AJ25:AK25" si="31">+(AI118+AI119+AI126)*AJ85</f>
        <v>2855.0330866999802</v>
      </c>
      <c r="AK25" s="81">
        <f t="shared" si="31"/>
        <v>2839.4461488353759</v>
      </c>
      <c r="AL25" s="80">
        <f>SUM(AH25:AK25)</f>
        <v>11070.134805480206</v>
      </c>
    </row>
    <row r="26" spans="1:38" x14ac:dyDescent="0.3">
      <c r="B26" s="72" t="s">
        <v>189</v>
      </c>
      <c r="C26" s="73"/>
      <c r="D26" s="54">
        <v>-525</v>
      </c>
      <c r="E26" s="54">
        <v>-530</v>
      </c>
      <c r="F26" s="54">
        <v>-602</v>
      </c>
      <c r="G26" s="54">
        <f>-2323-F26-E26-D26</f>
        <v>-666</v>
      </c>
      <c r="H26" s="55">
        <f>SUM(D26:G26)</f>
        <v>-2323</v>
      </c>
      <c r="I26" s="54">
        <v>-734</v>
      </c>
      <c r="J26" s="54">
        <v>-792</v>
      </c>
      <c r="K26" s="54">
        <v>-846</v>
      </c>
      <c r="L26" s="54">
        <v>-868</v>
      </c>
      <c r="M26" s="55">
        <f>SUM(I26:L26)</f>
        <v>-3240</v>
      </c>
      <c r="N26" s="54">
        <v>-890</v>
      </c>
      <c r="O26" s="408">
        <v>-1010</v>
      </c>
      <c r="P26" s="54">
        <f t="shared" ref="P26:Q26" si="32">+P86*((O136+O139))</f>
        <v>-1010</v>
      </c>
      <c r="Q26" s="54">
        <f t="shared" si="32"/>
        <v>-976.67548414030978</v>
      </c>
      <c r="R26" s="55">
        <f>SUM(N26:Q26)</f>
        <v>-3886.6754841403099</v>
      </c>
      <c r="S26" s="54">
        <f>+S86*((Q136+Q139))</f>
        <v>-976.40361431980546</v>
      </c>
      <c r="T26" s="54">
        <f>+T86*((S136+S139))</f>
        <v>-1085.1328839952109</v>
      </c>
      <c r="U26" s="54">
        <f t="shared" ref="U26:V26" si="33">+U86*((T136+T139))</f>
        <v>-1132.6490514158456</v>
      </c>
      <c r="V26" s="54">
        <f t="shared" si="33"/>
        <v>-1150.4653588954218</v>
      </c>
      <c r="W26" s="55">
        <f>SUM(S26:V26)</f>
        <v>-4344.650908626284</v>
      </c>
      <c r="X26" s="54">
        <f>+X86*((V136+V139))</f>
        <v>-1200.4345594445554</v>
      </c>
      <c r="Y26" s="54">
        <f>+Y86*((X136+X139))</f>
        <v>-1326.4296689535327</v>
      </c>
      <c r="Z26" s="54">
        <f t="shared" ref="Z26:AA26" si="34">+Z86*((Y136+Y139))</f>
        <v>-1391.9382612939819</v>
      </c>
      <c r="AA26" s="54">
        <f t="shared" si="34"/>
        <v>-1428.3651942105189</v>
      </c>
      <c r="AB26" s="55">
        <f>SUM(X26:AA26)</f>
        <v>-5347.1676839025886</v>
      </c>
      <c r="AC26" s="54">
        <f>+AC86*((AA136+AA139))</f>
        <v>-1489.8261736633256</v>
      </c>
      <c r="AD26" s="54">
        <f>+AD86*((AC136+AC139))</f>
        <v>-1610.5578093142553</v>
      </c>
      <c r="AE26" s="54">
        <f t="shared" ref="AE26:AF26" si="35">+AE86*((AD136+AD139))</f>
        <v>-1666.9489282296188</v>
      </c>
      <c r="AF26" s="54">
        <f t="shared" si="35"/>
        <v>-1693.4450072508253</v>
      </c>
      <c r="AG26" s="55">
        <f>SUM(AC26:AF26)</f>
        <v>-6460.7779184580249</v>
      </c>
      <c r="AH26" s="54">
        <f>+AH86*((AF136+AF139))</f>
        <v>-1744.9429632651756</v>
      </c>
      <c r="AI26" s="54">
        <f>+AI86*((AH136+AH139))</f>
        <v>-1854.1105665650148</v>
      </c>
      <c r="AJ26" s="54">
        <f t="shared" ref="AJ26:AK26" si="36">+AJ86*((AI136+AI139))</f>
        <v>-1900.8420893981145</v>
      </c>
      <c r="AK26" s="54">
        <f t="shared" si="36"/>
        <v>-1917.2723892465526</v>
      </c>
      <c r="AL26" s="55">
        <f>SUM(AH26:AK26)</f>
        <v>-7417.1680084748577</v>
      </c>
    </row>
    <row r="27" spans="1:38" ht="16.2" x14ac:dyDescent="0.45">
      <c r="B27" s="72" t="s">
        <v>190</v>
      </c>
      <c r="C27" s="73"/>
      <c r="D27" s="60">
        <v>122</v>
      </c>
      <c r="E27" s="60">
        <v>-165</v>
      </c>
      <c r="F27" s="60">
        <v>-185</v>
      </c>
      <c r="G27" s="60">
        <f>-133-F27-E27-D27</f>
        <v>95</v>
      </c>
      <c r="H27" s="61">
        <f>SUM(D27:G27)</f>
        <v>-133</v>
      </c>
      <c r="I27" s="60">
        <v>38</v>
      </c>
      <c r="J27" s="60">
        <v>-439</v>
      </c>
      <c r="K27" s="60">
        <v>100</v>
      </c>
      <c r="L27" s="60">
        <v>-140</v>
      </c>
      <c r="M27" s="61">
        <f>SUM(I27:L27)</f>
        <v>-441</v>
      </c>
      <c r="N27" s="60">
        <v>143</v>
      </c>
      <c r="O27" s="409">
        <v>30</v>
      </c>
      <c r="P27" s="288">
        <v>-98</v>
      </c>
      <c r="Q27" s="288">
        <f>AVERAGE(P27,N27,O27,L27)</f>
        <v>-16.25</v>
      </c>
      <c r="R27" s="61">
        <f>SUM(N27:Q27)</f>
        <v>58.75</v>
      </c>
      <c r="S27" s="288">
        <f>AVERAGE(Q27,P27,O27,N27)</f>
        <v>14.6875</v>
      </c>
      <c r="T27" s="288">
        <f>AVERAGE(S27,Q27,P27,O27)</f>
        <v>-17.390625</v>
      </c>
      <c r="U27" s="288">
        <f>AVERAGE(T27,S27,Q27,P27)</f>
        <v>-29.23828125</v>
      </c>
      <c r="V27" s="288">
        <f>AVERAGE(U27,S27,T27,Q27)</f>
        <v>-12.0478515625</v>
      </c>
      <c r="W27" s="61">
        <f>SUM(S27:V27)</f>
        <v>-43.9892578125</v>
      </c>
      <c r="X27" s="288">
        <f>AVERAGE(V27,U27,T27,S27)</f>
        <v>-10.997314453125</v>
      </c>
      <c r="Y27" s="288">
        <f>AVERAGE(X27,V27,U27,T27)</f>
        <v>-17.41851806640625</v>
      </c>
      <c r="Z27" s="288">
        <f>AVERAGE(Y27,X27,V27,U27)</f>
        <v>-17.425491333007813</v>
      </c>
      <c r="AA27" s="288">
        <f>AVERAGE(Z27,X27,Y27,V27)</f>
        <v>-14.472293853759766</v>
      </c>
      <c r="AB27" s="61">
        <f>SUM(X27:AA27)</f>
        <v>-60.313617706298828</v>
      </c>
      <c r="AC27" s="288">
        <f>AVERAGE(AA27,Z27,Y27,X27)</f>
        <v>-15.078404426574707</v>
      </c>
      <c r="AD27" s="288">
        <f>AVERAGE(AC27,AA27,Z27,Y27)</f>
        <v>-16.098676919937134</v>
      </c>
      <c r="AE27" s="288">
        <f>AVERAGE(AD27,AC27,AA27,Z27)</f>
        <v>-15.768716633319855</v>
      </c>
      <c r="AF27" s="288">
        <f>AVERAGE(AE27,AC27,AD27,AA27)</f>
        <v>-15.354522958397865</v>
      </c>
      <c r="AG27" s="61">
        <f>SUM(AC27:AF27)</f>
        <v>-62.300320938229561</v>
      </c>
      <c r="AH27" s="288">
        <f>AVERAGE(AF27,AE27,AD27,AC27)</f>
        <v>-15.57508023455739</v>
      </c>
      <c r="AI27" s="288">
        <f>AVERAGE(AH27,AF27,AE27,AD27)</f>
        <v>-15.699249186553061</v>
      </c>
      <c r="AJ27" s="288">
        <f>AVERAGE(AI27,AH27,AF27,AE27)</f>
        <v>-15.599392253207043</v>
      </c>
      <c r="AK27" s="288">
        <f>AVERAGE(AJ27,AH27,AI27,AF27)</f>
        <v>-15.55706115817884</v>
      </c>
      <c r="AL27" s="61">
        <f>SUM(AH27:AK27)</f>
        <v>-62.430782832496334</v>
      </c>
    </row>
    <row r="28" spans="1:38" s="85" customFormat="1" ht="16.2" x14ac:dyDescent="0.45">
      <c r="B28" s="357" t="s">
        <v>191</v>
      </c>
      <c r="C28" s="358"/>
      <c r="D28" s="83">
        <f>SUM(D25:D27)</f>
        <v>821</v>
      </c>
      <c r="E28" s="83">
        <f>SUM(E25:E27)</f>
        <v>587</v>
      </c>
      <c r="F28" s="83">
        <f>SUM(F25:F27)</f>
        <v>540</v>
      </c>
      <c r="G28" s="83">
        <f>SUM(G25:G27)</f>
        <v>797</v>
      </c>
      <c r="H28" s="84">
        <f>SUM(H25:H27)</f>
        <v>2745</v>
      </c>
      <c r="I28" s="83">
        <f t="shared" ref="I28:AB28" si="37">SUM(I25:I27)</f>
        <v>756</v>
      </c>
      <c r="J28" s="83">
        <f t="shared" si="37"/>
        <v>274</v>
      </c>
      <c r="K28" s="83">
        <f t="shared" si="37"/>
        <v>672</v>
      </c>
      <c r="L28" s="83">
        <f t="shared" si="37"/>
        <v>303</v>
      </c>
      <c r="M28" s="84">
        <f t="shared" si="37"/>
        <v>2005</v>
      </c>
      <c r="N28" s="83">
        <f t="shared" si="37"/>
        <v>560</v>
      </c>
      <c r="O28" s="406">
        <f>SUM(O25:O27)</f>
        <v>378</v>
      </c>
      <c r="P28" s="294">
        <f t="shared" si="37"/>
        <v>250</v>
      </c>
      <c r="Q28" s="83">
        <f t="shared" si="37"/>
        <v>314.80753375170968</v>
      </c>
      <c r="R28" s="84">
        <f t="shared" si="37"/>
        <v>1502.8075337517093</v>
      </c>
      <c r="S28" s="83">
        <f t="shared" si="37"/>
        <v>384.26352625565323</v>
      </c>
      <c r="T28" s="83">
        <f t="shared" si="37"/>
        <v>466.55261075629369</v>
      </c>
      <c r="U28" s="83">
        <f t="shared" si="37"/>
        <v>443.58506092125458</v>
      </c>
      <c r="V28" s="83">
        <f t="shared" si="37"/>
        <v>425.5071428242411</v>
      </c>
      <c r="W28" s="84">
        <f t="shared" si="37"/>
        <v>1719.9083407574426</v>
      </c>
      <c r="X28" s="83">
        <f t="shared" si="37"/>
        <v>474.0823917519192</v>
      </c>
      <c r="Y28" s="83">
        <f t="shared" si="37"/>
        <v>606.87843439915582</v>
      </c>
      <c r="Z28" s="83">
        <f t="shared" si="37"/>
        <v>596.56539579085074</v>
      </c>
      <c r="AA28" s="83">
        <f t="shared" si="37"/>
        <v>572.68407727861268</v>
      </c>
      <c r="AB28" s="84">
        <f t="shared" si="37"/>
        <v>2250.2102992205382</v>
      </c>
      <c r="AC28" s="83">
        <f t="shared" ref="AC28:AL28" si="38">SUM(AC25:AC27)</f>
        <v>632.47417215060818</v>
      </c>
      <c r="AD28" s="83">
        <f t="shared" si="38"/>
        <v>773.70606146838327</v>
      </c>
      <c r="AE28" s="83">
        <f t="shared" si="38"/>
        <v>765.81453282986217</v>
      </c>
      <c r="AF28" s="83">
        <f t="shared" si="38"/>
        <v>733.98042105030981</v>
      </c>
      <c r="AG28" s="84">
        <f t="shared" si="38"/>
        <v>2905.9751874991634</v>
      </c>
      <c r="AH28" s="83">
        <f t="shared" si="38"/>
        <v>794.53409151715437</v>
      </c>
      <c r="AI28" s="83">
        <f t="shared" si="38"/>
        <v>950.79361917639608</v>
      </c>
      <c r="AJ28" s="83">
        <f t="shared" si="38"/>
        <v>938.59160504865872</v>
      </c>
      <c r="AK28" s="83">
        <f t="shared" si="38"/>
        <v>906.61669843064442</v>
      </c>
      <c r="AL28" s="84">
        <f t="shared" si="38"/>
        <v>3590.5360141728515</v>
      </c>
    </row>
    <row r="29" spans="1:38" x14ac:dyDescent="0.3">
      <c r="B29" s="361" t="s">
        <v>2</v>
      </c>
      <c r="C29" s="362"/>
      <c r="D29" s="65">
        <f t="shared" ref="D29:R29" si="39">D23+D28</f>
        <v>24180</v>
      </c>
      <c r="E29" s="65">
        <f t="shared" si="39"/>
        <v>14684</v>
      </c>
      <c r="F29" s="65">
        <f t="shared" si="39"/>
        <v>11308</v>
      </c>
      <c r="G29" s="65">
        <f t="shared" si="39"/>
        <v>13917</v>
      </c>
      <c r="H29" s="66">
        <f t="shared" si="39"/>
        <v>64089</v>
      </c>
      <c r="I29" s="65">
        <f t="shared" si="39"/>
        <v>27030</v>
      </c>
      <c r="J29" s="65">
        <f t="shared" si="39"/>
        <v>16168</v>
      </c>
      <c r="K29" s="65">
        <f t="shared" si="39"/>
        <v>13284</v>
      </c>
      <c r="L29" s="65">
        <f t="shared" si="39"/>
        <v>16421</v>
      </c>
      <c r="M29" s="66">
        <f t="shared" si="39"/>
        <v>72903</v>
      </c>
      <c r="N29" s="65">
        <f t="shared" si="39"/>
        <v>23906</v>
      </c>
      <c r="O29" s="407">
        <f t="shared" si="39"/>
        <v>13793</v>
      </c>
      <c r="P29" s="65">
        <f t="shared" si="39"/>
        <v>11595.820866527387</v>
      </c>
      <c r="Q29" s="65">
        <f t="shared" si="39"/>
        <v>14741.073055526425</v>
      </c>
      <c r="R29" s="66">
        <f t="shared" si="39"/>
        <v>64035.893922053823</v>
      </c>
      <c r="S29" s="65">
        <f t="shared" ref="S29:AB29" si="40">S23+S28</f>
        <v>24215.451893961654</v>
      </c>
      <c r="T29" s="65">
        <f t="shared" si="40"/>
        <v>15125.758846749377</v>
      </c>
      <c r="U29" s="65">
        <f t="shared" si="40"/>
        <v>12862.211958135922</v>
      </c>
      <c r="V29" s="65">
        <f t="shared" si="40"/>
        <v>16174.819920332673</v>
      </c>
      <c r="W29" s="66">
        <f t="shared" si="40"/>
        <v>68378.242619179582</v>
      </c>
      <c r="X29" s="65">
        <f t="shared" si="40"/>
        <v>26991.462556075348</v>
      </c>
      <c r="Y29" s="65">
        <f t="shared" si="40"/>
        <v>17542.251258258326</v>
      </c>
      <c r="Z29" s="65">
        <f t="shared" si="40"/>
        <v>15311.952209876534</v>
      </c>
      <c r="AA29" s="65">
        <f t="shared" si="40"/>
        <v>17644.502845829662</v>
      </c>
      <c r="AB29" s="66">
        <f t="shared" si="40"/>
        <v>77490.168870039808</v>
      </c>
      <c r="AC29" s="65">
        <f t="shared" ref="AC29:AL29" si="41">AC23+AC28</f>
        <v>28404.525464595863</v>
      </c>
      <c r="AD29" s="65">
        <f t="shared" si="41"/>
        <v>18337.247362588336</v>
      </c>
      <c r="AE29" s="65">
        <f t="shared" si="41"/>
        <v>16026.17084003954</v>
      </c>
      <c r="AF29" s="65">
        <f t="shared" si="41"/>
        <v>18567.901671043066</v>
      </c>
      <c r="AG29" s="66">
        <f t="shared" si="41"/>
        <v>81335.845338266809</v>
      </c>
      <c r="AH29" s="65">
        <f t="shared" si="41"/>
        <v>28454.529970264637</v>
      </c>
      <c r="AI29" s="65">
        <f t="shared" si="41"/>
        <v>18255.960904550779</v>
      </c>
      <c r="AJ29" s="65">
        <f t="shared" si="41"/>
        <v>15750.031497180662</v>
      </c>
      <c r="AK29" s="65">
        <f t="shared" si="41"/>
        <v>18036.725882726027</v>
      </c>
      <c r="AL29" s="66">
        <f t="shared" si="41"/>
        <v>80497.248254722086</v>
      </c>
    </row>
    <row r="30" spans="1:38" ht="16.2" x14ac:dyDescent="0.45">
      <c r="B30" s="355" t="s">
        <v>65</v>
      </c>
      <c r="C30" s="356"/>
      <c r="D30" s="60">
        <v>6289</v>
      </c>
      <c r="E30" s="60">
        <v>3655</v>
      </c>
      <c r="F30" s="60">
        <v>2591</v>
      </c>
      <c r="G30" s="60">
        <f>15738-F30-E30-D30</f>
        <v>3203</v>
      </c>
      <c r="H30" s="61">
        <f>SUM(D30:G30)</f>
        <v>15738</v>
      </c>
      <c r="I30" s="60">
        <v>6965</v>
      </c>
      <c r="J30" s="60">
        <v>2346</v>
      </c>
      <c r="K30" s="60">
        <v>1765</v>
      </c>
      <c r="L30" s="60">
        <v>2296</v>
      </c>
      <c r="M30" s="61">
        <f>SUM(I30:L30)</f>
        <v>13372</v>
      </c>
      <c r="N30" s="60">
        <v>3941</v>
      </c>
      <c r="O30" s="409">
        <v>2232</v>
      </c>
      <c r="P30" s="292">
        <f>P29*P82</f>
        <v>1884.3208908107003</v>
      </c>
      <c r="Q30" s="60">
        <f>Q29*Q82</f>
        <v>2395.4243715230441</v>
      </c>
      <c r="R30" s="61">
        <f>SUM(N30:Q30)</f>
        <v>10452.745262333745</v>
      </c>
      <c r="S30" s="60">
        <f>S29*S82</f>
        <v>3935.0109327687687</v>
      </c>
      <c r="T30" s="60">
        <f>T29*T82</f>
        <v>2457.9358125967738</v>
      </c>
      <c r="U30" s="60">
        <f>U29*U82</f>
        <v>2090.1094431970873</v>
      </c>
      <c r="V30" s="60">
        <f>V29*V82</f>
        <v>2628.4082370540596</v>
      </c>
      <c r="W30" s="61">
        <f>SUM(S30:V30)</f>
        <v>11111.46442561669</v>
      </c>
      <c r="X30" s="60">
        <f>X29*X82</f>
        <v>4386.1126653622441</v>
      </c>
      <c r="Y30" s="60">
        <f>Y29*Y82</f>
        <v>2850.6158294669781</v>
      </c>
      <c r="Z30" s="60">
        <f>Z29*Z82</f>
        <v>2488.1922341049367</v>
      </c>
      <c r="AA30" s="60">
        <f>AA29*AA82</f>
        <v>2867.2317124473202</v>
      </c>
      <c r="AB30" s="61">
        <f>SUM(X30:AA30)</f>
        <v>12592.152441381477</v>
      </c>
      <c r="AC30" s="60">
        <f>AC29*AC82</f>
        <v>4615.7353879968277</v>
      </c>
      <c r="AD30" s="60">
        <f>AD29*AD82</f>
        <v>2979.8026964206047</v>
      </c>
      <c r="AE30" s="60">
        <f>AE29*AE82</f>
        <v>2604.2527615064255</v>
      </c>
      <c r="AF30" s="60">
        <f>AF29*AF82</f>
        <v>3017.2840215444985</v>
      </c>
      <c r="AG30" s="61">
        <f>SUM(AC30:AF30)</f>
        <v>13217.074867468356</v>
      </c>
      <c r="AH30" s="60">
        <f>AH29*AH82</f>
        <v>4623.8611201680033</v>
      </c>
      <c r="AI30" s="60">
        <f>AI29*AI82</f>
        <v>2966.5936469895018</v>
      </c>
      <c r="AJ30" s="60">
        <f>AJ29*AJ82</f>
        <v>2559.3801182918578</v>
      </c>
      <c r="AK30" s="60">
        <f>AK29*AK82</f>
        <v>2930.9679559429796</v>
      </c>
      <c r="AL30" s="61">
        <f>SUM(AH30:AK30)</f>
        <v>13080.802841392342</v>
      </c>
    </row>
    <row r="31" spans="1:38" x14ac:dyDescent="0.3">
      <c r="B31" s="357" t="s">
        <v>120</v>
      </c>
      <c r="C31" s="358"/>
      <c r="D31" s="65">
        <f t="shared" ref="D31:R31" si="42">D29-D30</f>
        <v>17891</v>
      </c>
      <c r="E31" s="65">
        <f t="shared" si="42"/>
        <v>11029</v>
      </c>
      <c r="F31" s="65">
        <f t="shared" si="42"/>
        <v>8717</v>
      </c>
      <c r="G31" s="65">
        <f t="shared" si="42"/>
        <v>10714</v>
      </c>
      <c r="H31" s="66">
        <f t="shared" si="42"/>
        <v>48351</v>
      </c>
      <c r="I31" s="65">
        <f t="shared" si="42"/>
        <v>20065</v>
      </c>
      <c r="J31" s="65">
        <f t="shared" si="42"/>
        <v>13822</v>
      </c>
      <c r="K31" s="65">
        <f t="shared" si="42"/>
        <v>11519</v>
      </c>
      <c r="L31" s="65">
        <f t="shared" si="42"/>
        <v>14125</v>
      </c>
      <c r="M31" s="66">
        <f t="shared" si="42"/>
        <v>59531</v>
      </c>
      <c r="N31" s="65">
        <f t="shared" si="42"/>
        <v>19965</v>
      </c>
      <c r="O31" s="407">
        <f>O29-O30</f>
        <v>11561</v>
      </c>
      <c r="P31" s="65">
        <f t="shared" si="42"/>
        <v>9711.4999757166861</v>
      </c>
      <c r="Q31" s="65">
        <f t="shared" si="42"/>
        <v>12345.648684003381</v>
      </c>
      <c r="R31" s="66">
        <f t="shared" si="42"/>
        <v>53583.148659720078</v>
      </c>
      <c r="S31" s="65">
        <f t="shared" ref="S31:AB31" si="43">S29-S30</f>
        <v>20280.440961192886</v>
      </c>
      <c r="T31" s="65">
        <f t="shared" si="43"/>
        <v>12667.823034152603</v>
      </c>
      <c r="U31" s="65">
        <f t="shared" si="43"/>
        <v>10772.102514938835</v>
      </c>
      <c r="V31" s="65">
        <f t="shared" si="43"/>
        <v>13546.411683278613</v>
      </c>
      <c r="W31" s="66">
        <f t="shared" si="43"/>
        <v>57266.778193562888</v>
      </c>
      <c r="X31" s="65">
        <f t="shared" si="43"/>
        <v>22605.349890713103</v>
      </c>
      <c r="Y31" s="65">
        <f t="shared" si="43"/>
        <v>14691.635428791347</v>
      </c>
      <c r="Z31" s="65">
        <f t="shared" si="43"/>
        <v>12823.759975771598</v>
      </c>
      <c r="AA31" s="65">
        <f t="shared" si="43"/>
        <v>14777.271133382343</v>
      </c>
      <c r="AB31" s="66">
        <f t="shared" si="43"/>
        <v>64898.016428658331</v>
      </c>
      <c r="AC31" s="65">
        <f t="shared" ref="AC31:AL31" si="44">AC29-AC30</f>
        <v>23788.790076599034</v>
      </c>
      <c r="AD31" s="65">
        <f t="shared" si="44"/>
        <v>15357.444666167732</v>
      </c>
      <c r="AE31" s="65">
        <f t="shared" si="44"/>
        <v>13421.918078533115</v>
      </c>
      <c r="AF31" s="65">
        <f t="shared" si="44"/>
        <v>15550.617649498567</v>
      </c>
      <c r="AG31" s="66">
        <f t="shared" si="44"/>
        <v>68118.770470798452</v>
      </c>
      <c r="AH31" s="65">
        <f t="shared" si="44"/>
        <v>23830.668850096634</v>
      </c>
      <c r="AI31" s="65">
        <f t="shared" si="44"/>
        <v>15289.367257561276</v>
      </c>
      <c r="AJ31" s="65">
        <f t="shared" si="44"/>
        <v>13190.651378888804</v>
      </c>
      <c r="AK31" s="65">
        <f t="shared" si="44"/>
        <v>15105.757926783048</v>
      </c>
      <c r="AL31" s="66">
        <f t="shared" si="44"/>
        <v>67416.44541332974</v>
      </c>
    </row>
    <row r="32" spans="1:38" x14ac:dyDescent="0.3">
      <c r="B32" s="355" t="s">
        <v>3</v>
      </c>
      <c r="C32" s="356"/>
      <c r="D32" s="54">
        <v>5298.6610000000001</v>
      </c>
      <c r="E32" s="54">
        <v>5225.7910000000002</v>
      </c>
      <c r="F32" s="54">
        <v>5195.0879999999997</v>
      </c>
      <c r="G32" s="54">
        <v>5090.5070894157188</v>
      </c>
      <c r="H32" s="55">
        <f>(D32*D31/H31)+(E32*E31/H31)+(F32*F31/H31)+(G32*G31/H31)</f>
        <v>5217.2420000000002</v>
      </c>
      <c r="I32" s="54">
        <v>5112.8770000000004</v>
      </c>
      <c r="J32" s="54">
        <v>5024.8770000000004</v>
      </c>
      <c r="K32" s="54">
        <v>4882.1670000000004</v>
      </c>
      <c r="L32" s="54">
        <v>4801.5889999999999</v>
      </c>
      <c r="M32" s="55">
        <v>4955.3770000000004</v>
      </c>
      <c r="N32" s="54">
        <v>4735.82</v>
      </c>
      <c r="O32" s="408">
        <v>4674.0709999999999</v>
      </c>
      <c r="P32" s="54">
        <f>O32*(1+P88)-P92</f>
        <v>4606.2562005555556</v>
      </c>
      <c r="Q32" s="54">
        <f>P32*(1+Q88)-Q92</f>
        <v>4568.1315178765171</v>
      </c>
      <c r="R32" s="55">
        <f>(N32*N31/R31)+(O32*O31/R31)+(P32*P31/R31)+(Q32*Q31/R31)</f>
        <v>4660.3790784804405</v>
      </c>
      <c r="S32" s="54">
        <f>Q32*(1+S88)-S92</f>
        <v>4550.9634838802031</v>
      </c>
      <c r="T32" s="54">
        <f>S32*(1+T88)-T92</f>
        <v>4541.6094564425075</v>
      </c>
      <c r="U32" s="54">
        <f>T32*(1+U88)-U92</f>
        <v>4519.7346365179483</v>
      </c>
      <c r="V32" s="54">
        <f>U32*(1+V88)-V92</f>
        <v>4503.5942438693892</v>
      </c>
      <c r="W32" s="55">
        <f>(S32*S31/W31)+(T32*T31/W31)+(U32*U31/W31)+(V32*V31/W31)</f>
        <v>4531.8148820145489</v>
      </c>
      <c r="X32" s="54">
        <f>V32*(1+X88)-X92</f>
        <v>4487.4024326292474</v>
      </c>
      <c r="Y32" s="54">
        <f>X32*(1+Y88)-Y92</f>
        <v>4471.4499052905376</v>
      </c>
      <c r="Z32" s="54">
        <f>Y32*(1+Z88)-Z92</f>
        <v>4453.8761000189534</v>
      </c>
      <c r="AA32" s="54">
        <f>Z32*(1+AA88)-AA92</f>
        <v>4437.3563895051584</v>
      </c>
      <c r="AB32" s="55">
        <f>(X32*X31/AB31)+(Y32*Y31/AB31)+(Z32*Z31/AB31)+(AA32*AA31/AB31)</f>
        <v>4465.7708576791711</v>
      </c>
      <c r="AC32" s="54">
        <f>AA32*(1+AC88)-AC92</f>
        <v>4420.7431231829596</v>
      </c>
      <c r="AD32" s="54">
        <f>AC32*(1+AD88)-AD92</f>
        <v>4404.025978351021</v>
      </c>
      <c r="AE32" s="54">
        <f>AD32*(1+AE88)-AE92</f>
        <v>4387.12078008344</v>
      </c>
      <c r="AF32" s="54">
        <f>AE32*(1+AF88)-AF92</f>
        <v>4370.3791379583008</v>
      </c>
      <c r="AG32" s="55">
        <f>(AC32*AC31/AG31)+(AD32*AD31/AG31)+(AE32*AE31/AG31)+(AF32*AF31/AG31)</f>
        <v>4398.8519465124145</v>
      </c>
      <c r="AH32" s="54">
        <f>AF32*(1+AH88)-AH92</f>
        <v>4353.5825962492036</v>
      </c>
      <c r="AI32" s="54">
        <f>AH32*(1+AI88)-AI92</f>
        <v>4336.7406434249879</v>
      </c>
      <c r="AJ32" s="54">
        <f>AI32*(1+AJ88)-AJ92</f>
        <v>4319.8676231747349</v>
      </c>
      <c r="AK32" s="54">
        <f>AJ32*(1+AK88)-AK92</f>
        <v>4303.0020334587225</v>
      </c>
      <c r="AL32" s="55">
        <f>(AH32*AH31/AL31)+(AI32*AI31/AL31)+(AJ32*AJ31/AL31)+(AK32*AK31/AL31)</f>
        <v>4331.8329625142678</v>
      </c>
    </row>
    <row r="33" spans="2:41" ht="15.75" customHeight="1" x14ac:dyDescent="0.3">
      <c r="B33" s="355" t="s">
        <v>4</v>
      </c>
      <c r="C33" s="356"/>
      <c r="D33" s="54">
        <v>5327.9949999999999</v>
      </c>
      <c r="E33" s="54">
        <v>5261.6880000000001</v>
      </c>
      <c r="F33" s="54">
        <v>5233.4989999999998</v>
      </c>
      <c r="G33" s="54">
        <v>5128.787904797462</v>
      </c>
      <c r="H33" s="55">
        <f>(D33*D31/H31)+(E33*E31/H31)+(F33*F31/H31)+(G33*G31/H31)</f>
        <v>5251.692</v>
      </c>
      <c r="I33" s="54">
        <v>5157.7870000000003</v>
      </c>
      <c r="J33" s="54">
        <v>5068.4930000000004</v>
      </c>
      <c r="K33" s="54">
        <v>4926.6090000000004</v>
      </c>
      <c r="L33" s="54">
        <v>4847.5469999999996</v>
      </c>
      <c r="M33" s="55">
        <v>5000.1090000000004</v>
      </c>
      <c r="N33" s="54">
        <v>4773.2520000000004</v>
      </c>
      <c r="O33" s="408">
        <v>4700.6459999999997</v>
      </c>
      <c r="P33" s="54">
        <f>O33*(1+P89)-P92</f>
        <v>4627.9976795555558</v>
      </c>
      <c r="Q33" s="54">
        <f>P33*(1+Q89)-Q92</f>
        <v>4584.3477142979227</v>
      </c>
      <c r="R33" s="55">
        <f>(N33*N31/R31)+(O33*O31/R31)+(P33*P31/R31)+(Q33*Q31/R31)</f>
        <v>4687.7366587730667</v>
      </c>
      <c r="S33" s="54">
        <f>Q33*(1+S89)-S92</f>
        <v>4559.9917229340317</v>
      </c>
      <c r="T33" s="54">
        <f>S33*(1+T89)-T92</f>
        <v>4543.6463131372293</v>
      </c>
      <c r="U33" s="54">
        <f>T33*(1+U89)-U92</f>
        <v>4515.738851640338</v>
      </c>
      <c r="V33" s="54">
        <f>U33*(1+V89)-V92</f>
        <v>4493.2273376302519</v>
      </c>
      <c r="W33" s="55">
        <f>(S33*S31/W31)+(T33*T31/W31)+(U33*U31/W31)+(V33*V31/W31)</f>
        <v>4532.258801263104</v>
      </c>
      <c r="X33" s="54">
        <f>V33*(1+X89)-X92</f>
        <v>4470.4524675098164</v>
      </c>
      <c r="Y33" s="54">
        <f>X33*(1+Y89)-Y92</f>
        <v>4448.0631261763656</v>
      </c>
      <c r="Z33" s="54">
        <f>Y33*(1+Z89)-Z92</f>
        <v>4424.1999109359731</v>
      </c>
      <c r="AA33" s="54">
        <f>Z33*(1+AA89)-AA92</f>
        <v>4401.3213975327271</v>
      </c>
      <c r="AB33" s="55">
        <f>(X33*X31/AB31)+(Y33*Y31/AB31)+(Z33*Z31/AB31)+(AA33*AA31/AB31)</f>
        <v>4440.5033812991587</v>
      </c>
      <c r="AC33" s="54">
        <f>AA33*(1+AC89)-AC92</f>
        <v>4378.3535440828246</v>
      </c>
      <c r="AD33" s="54">
        <f>AC33*(1+AD89)-AD92</f>
        <v>4355.3387763052997</v>
      </c>
      <c r="AE33" s="54">
        <f>AD33*(1+AE89)-AE92</f>
        <v>4332.1717836006383</v>
      </c>
      <c r="AF33" s="54">
        <f>AE33*(1+AF89)-AF92</f>
        <v>4309.1744395821861</v>
      </c>
      <c r="AG33" s="55">
        <f>(AC33*AC31/AG31)+(AD33*AD31/AG31)+(AE33*AE31/AG31)+(AF33*AF31/AG31)</f>
        <v>4348.2726483499082</v>
      </c>
      <c r="AH33" s="54">
        <f>AF33*(1+AH89)-AH92</f>
        <v>4286.1482655752761</v>
      </c>
      <c r="AI33" s="54">
        <f>AH33*(1+AI89)-AI92</f>
        <v>4263.1080034558627</v>
      </c>
      <c r="AJ33" s="54">
        <f>AI33*(1+AJ89)-AJ92</f>
        <v>4240.0616492060262</v>
      </c>
      <c r="AK33" s="54">
        <f>AJ33*(1+AK89)-AK92</f>
        <v>4217.0447720928451</v>
      </c>
      <c r="AL33" s="55">
        <f>(AH33*AH31/AL31)+(AI33*AI31/AL31)+(AJ33*AJ31/AL31)+(AK33*AK31/AL31)</f>
        <v>4256.4219257902678</v>
      </c>
    </row>
    <row r="34" spans="2:41" ht="15.75" customHeight="1" x14ac:dyDescent="0.3">
      <c r="B34" s="357" t="s">
        <v>121</v>
      </c>
      <c r="C34" s="358"/>
      <c r="D34" s="86">
        <f t="shared" ref="D34:R34" si="45">D31/D32</f>
        <v>3.3765134248067579</v>
      </c>
      <c r="E34" s="86">
        <f t="shared" si="45"/>
        <v>2.1104938946084908</v>
      </c>
      <c r="F34" s="86">
        <f t="shared" si="45"/>
        <v>1.6779311534280075</v>
      </c>
      <c r="G34" s="86">
        <f t="shared" si="45"/>
        <v>2.1047019111861678</v>
      </c>
      <c r="H34" s="87">
        <f t="shared" si="45"/>
        <v>9.2675402061088974</v>
      </c>
      <c r="I34" s="86">
        <f t="shared" si="45"/>
        <v>3.9244049876419869</v>
      </c>
      <c r="J34" s="86">
        <f t="shared" si="45"/>
        <v>2.750714097081381</v>
      </c>
      <c r="K34" s="86">
        <f t="shared" si="45"/>
        <v>2.3594031093160064</v>
      </c>
      <c r="L34" s="86">
        <f t="shared" si="45"/>
        <v>2.9417344966426739</v>
      </c>
      <c r="M34" s="87">
        <f t="shared" si="45"/>
        <v>12.0134149228202</v>
      </c>
      <c r="N34" s="86">
        <f t="shared" si="45"/>
        <v>4.2157429969889062</v>
      </c>
      <c r="O34" s="412">
        <f t="shared" si="45"/>
        <v>2.4734326885492326</v>
      </c>
      <c r="P34" s="86">
        <f t="shared" si="45"/>
        <v>2.1083282285829852</v>
      </c>
      <c r="Q34" s="86">
        <f t="shared" si="45"/>
        <v>2.702559818098718</v>
      </c>
      <c r="R34" s="87">
        <f t="shared" si="45"/>
        <v>11.497594456885116</v>
      </c>
      <c r="S34" s="86">
        <f t="shared" ref="S34:AB34" si="46">S31/S32</f>
        <v>4.4562961300453132</v>
      </c>
      <c r="T34" s="86">
        <f t="shared" si="46"/>
        <v>2.7892805745731049</v>
      </c>
      <c r="U34" s="86">
        <f t="shared" si="46"/>
        <v>2.3833484443763227</v>
      </c>
      <c r="V34" s="86">
        <f t="shared" si="46"/>
        <v>3.0079112259544578</v>
      </c>
      <c r="W34" s="87">
        <f t="shared" si="46"/>
        <v>12.636610206837448</v>
      </c>
      <c r="X34" s="86">
        <f t="shared" si="46"/>
        <v>5.0375134011478071</v>
      </c>
      <c r="Y34" s="86">
        <f t="shared" si="46"/>
        <v>3.2856535888747125</v>
      </c>
      <c r="Z34" s="86">
        <f t="shared" si="46"/>
        <v>2.8792359032432508</v>
      </c>
      <c r="AA34" s="86">
        <f t="shared" si="46"/>
        <v>3.3301970444231688</v>
      </c>
      <c r="AB34" s="87">
        <f t="shared" si="46"/>
        <v>14.532321181921404</v>
      </c>
      <c r="AC34" s="86">
        <f t="shared" ref="AC34:AL34" si="47">AC31/AC32</f>
        <v>5.3811744798849501</v>
      </c>
      <c r="AD34" s="86">
        <f t="shared" si="47"/>
        <v>3.4871376194556301</v>
      </c>
      <c r="AE34" s="86">
        <f t="shared" si="47"/>
        <v>3.0593910565365925</v>
      </c>
      <c r="AF34" s="86">
        <f t="shared" si="47"/>
        <v>3.5581850358098017</v>
      </c>
      <c r="AG34" s="87">
        <f t="shared" si="47"/>
        <v>15.48557926001709</v>
      </c>
      <c r="AH34" s="86">
        <f t="shared" si="47"/>
        <v>5.4738065313444997</v>
      </c>
      <c r="AI34" s="86">
        <f t="shared" si="47"/>
        <v>3.5255433780071139</v>
      </c>
      <c r="AJ34" s="86">
        <f t="shared" si="47"/>
        <v>3.0534850901738508</v>
      </c>
      <c r="AK34" s="86">
        <f t="shared" si="47"/>
        <v>3.5105161023224398</v>
      </c>
      <c r="AL34" s="87">
        <f t="shared" si="47"/>
        <v>15.563029783632311</v>
      </c>
    </row>
    <row r="35" spans="2:41" x14ac:dyDescent="0.3">
      <c r="B35" s="357" t="s">
        <v>122</v>
      </c>
      <c r="C35" s="358"/>
      <c r="D35" s="86">
        <f t="shared" ref="D35:R35" si="48">D31/D33</f>
        <v>3.3579235716249736</v>
      </c>
      <c r="E35" s="86">
        <f t="shared" si="48"/>
        <v>2.0960953975226202</v>
      </c>
      <c r="F35" s="86">
        <f t="shared" si="48"/>
        <v>1.6656160629819554</v>
      </c>
      <c r="G35" s="86">
        <f t="shared" si="48"/>
        <v>2.0889926038817355</v>
      </c>
      <c r="H35" s="87">
        <f t="shared" si="48"/>
        <v>9.2067470826545037</v>
      </c>
      <c r="I35" s="86">
        <f t="shared" si="48"/>
        <v>3.8902343194862445</v>
      </c>
      <c r="J35" s="86">
        <f t="shared" si="48"/>
        <v>2.7270433243175041</v>
      </c>
      <c r="K35" s="86">
        <f t="shared" si="48"/>
        <v>2.3381193839413679</v>
      </c>
      <c r="L35" s="86">
        <f t="shared" si="48"/>
        <v>2.9138448786571849</v>
      </c>
      <c r="M35" s="87">
        <f t="shared" si="48"/>
        <v>11.905940450498179</v>
      </c>
      <c r="N35" s="86">
        <f t="shared" si="48"/>
        <v>4.182683001023201</v>
      </c>
      <c r="O35" s="412">
        <f t="shared" si="48"/>
        <v>2.4594491906006111</v>
      </c>
      <c r="P35" s="308">
        <f t="shared" si="48"/>
        <v>2.0984236916577967</v>
      </c>
      <c r="Q35" s="308">
        <f t="shared" si="48"/>
        <v>2.6930000631276449</v>
      </c>
      <c r="R35" s="441">
        <f t="shared" si="48"/>
        <v>11.430494620349371</v>
      </c>
      <c r="S35" s="308">
        <f t="shared" ref="S35:AB35" si="49">S31/S33</f>
        <v>4.447473195882</v>
      </c>
      <c r="T35" s="308">
        <f t="shared" si="49"/>
        <v>2.7880301768924247</v>
      </c>
      <c r="U35" s="412">
        <f t="shared" si="49"/>
        <v>2.3854573678515263</v>
      </c>
      <c r="V35" s="412">
        <f t="shared" si="49"/>
        <v>3.0148511671842204</v>
      </c>
      <c r="W35" s="309">
        <f t="shared" si="49"/>
        <v>12.635372494086855</v>
      </c>
      <c r="X35" s="412">
        <f t="shared" si="49"/>
        <v>5.0566134088223507</v>
      </c>
      <c r="Y35" s="412">
        <f t="shared" si="49"/>
        <v>3.3029287157218334</v>
      </c>
      <c r="Z35" s="412">
        <f t="shared" si="49"/>
        <v>2.8985489430694904</v>
      </c>
      <c r="AA35" s="412">
        <f t="shared" si="49"/>
        <v>3.357462407009431</v>
      </c>
      <c r="AB35" s="309">
        <f t="shared" si="49"/>
        <v>14.615013401852451</v>
      </c>
      <c r="AC35" s="412">
        <f t="shared" ref="AC35:AL35" si="50">AC31/AC33</f>
        <v>5.4332729956786299</v>
      </c>
      <c r="AD35" s="412">
        <f t="shared" si="50"/>
        <v>3.5261194260520159</v>
      </c>
      <c r="AE35" s="412">
        <f t="shared" si="50"/>
        <v>3.0981961817261161</v>
      </c>
      <c r="AF35" s="412">
        <f t="shared" si="50"/>
        <v>3.6087231713474894</v>
      </c>
      <c r="AG35" s="309">
        <f t="shared" si="50"/>
        <v>15.665708197173034</v>
      </c>
      <c r="AH35" s="412">
        <f t="shared" si="50"/>
        <v>5.5599263892701902</v>
      </c>
      <c r="AI35" s="412">
        <f t="shared" si="50"/>
        <v>3.5864367604965777</v>
      </c>
      <c r="AJ35" s="412">
        <f t="shared" si="50"/>
        <v>3.1109574506679221</v>
      </c>
      <c r="AK35" s="412">
        <f t="shared" si="50"/>
        <v>3.58207198243388</v>
      </c>
      <c r="AL35" s="441">
        <f t="shared" si="50"/>
        <v>15.838760016915588</v>
      </c>
      <c r="AM35" s="442"/>
      <c r="AN35" s="442"/>
      <c r="AO35" s="442"/>
    </row>
    <row r="36" spans="2:41" x14ac:dyDescent="0.3">
      <c r="B36" s="355" t="s">
        <v>78</v>
      </c>
      <c r="C36" s="356"/>
      <c r="D36" s="69">
        <v>0.56999999999999995</v>
      </c>
      <c r="E36" s="69">
        <v>0.56999999999999995</v>
      </c>
      <c r="F36" s="69">
        <v>0.63</v>
      </c>
      <c r="G36" s="69">
        <v>0.63</v>
      </c>
      <c r="H36" s="88">
        <f>SUM(D36:G36)</f>
        <v>2.4</v>
      </c>
      <c r="I36" s="69">
        <v>0.63</v>
      </c>
      <c r="J36" s="69">
        <v>0.63</v>
      </c>
      <c r="K36" s="69">
        <v>0.73</v>
      </c>
      <c r="L36" s="69">
        <v>0.73</v>
      </c>
      <c r="M36" s="88">
        <f>SUM(I36:L36)</f>
        <v>2.7199999999999998</v>
      </c>
      <c r="N36" s="69">
        <v>0.73</v>
      </c>
      <c r="O36" s="69">
        <v>0.73</v>
      </c>
      <c r="P36" s="69">
        <f>K36*(1+P37)</f>
        <v>0.76649999999999996</v>
      </c>
      <c r="Q36" s="69">
        <f>L36*(1+Q37)</f>
        <v>0.76649999999999996</v>
      </c>
      <c r="R36" s="88">
        <f>SUM(N36:Q36)</f>
        <v>2.9929999999999994</v>
      </c>
      <c r="S36" s="69">
        <f>N36*(1+S37)</f>
        <v>0.76649999999999996</v>
      </c>
      <c r="T36" s="69">
        <f>O36*(1+T37)</f>
        <v>0.76649999999999996</v>
      </c>
      <c r="U36" s="69">
        <f>P36*(1+U37)</f>
        <v>0.84315000000000007</v>
      </c>
      <c r="V36" s="69">
        <f>Q36*(1+V37)</f>
        <v>0.84315000000000007</v>
      </c>
      <c r="W36" s="88">
        <f>SUM(S36:V36)</f>
        <v>3.2193000000000001</v>
      </c>
      <c r="X36" s="69">
        <f>S36*(1+X37)</f>
        <v>0.84315000000000007</v>
      </c>
      <c r="Y36" s="69">
        <f>T36*(1+Y37)</f>
        <v>0.84315000000000007</v>
      </c>
      <c r="Z36" s="69">
        <f>U36*(1+Z37)</f>
        <v>0.92746500000000009</v>
      </c>
      <c r="AA36" s="69">
        <f>V36*(1+AA37)</f>
        <v>0.92746500000000009</v>
      </c>
      <c r="AB36" s="88">
        <f>SUM(X36:AA36)</f>
        <v>3.5412300000000005</v>
      </c>
      <c r="AC36" s="69">
        <f>X36*(1+AC37)</f>
        <v>0.92746500000000009</v>
      </c>
      <c r="AD36" s="69">
        <f>Y36*(1+AD37)</f>
        <v>0.92746500000000009</v>
      </c>
      <c r="AE36" s="69">
        <f>Z36*(1+AE37)</f>
        <v>1.0202115000000003</v>
      </c>
      <c r="AF36" s="69">
        <f>AA36*(1+AF37)</f>
        <v>1.0202115000000003</v>
      </c>
      <c r="AG36" s="88">
        <f>SUM(AC36:AF36)</f>
        <v>3.895353000000001</v>
      </c>
      <c r="AH36" s="69">
        <f>AC36*(1+AH37)</f>
        <v>1.0202115000000003</v>
      </c>
      <c r="AI36" s="69">
        <f>AD36*(1+AI37)</f>
        <v>1.0202115000000003</v>
      </c>
      <c r="AJ36" s="69">
        <f>AE36*(1+AJ37)</f>
        <v>1.1222326500000004</v>
      </c>
      <c r="AK36" s="69">
        <f>AF36*(1+AK37)</f>
        <v>1.1222326500000004</v>
      </c>
      <c r="AL36" s="88">
        <f>SUM(AH36:AK36)</f>
        <v>4.2848883000000013</v>
      </c>
    </row>
    <row r="37" spans="2:41" x14ac:dyDescent="0.3">
      <c r="B37" s="293" t="s">
        <v>178</v>
      </c>
      <c r="C37" s="90"/>
      <c r="D37" s="92">
        <f>D36/0.52-1</f>
        <v>9.6153846153846034E-2</v>
      </c>
      <c r="E37" s="93">
        <f>E36/0.52-1</f>
        <v>9.6153846153846034E-2</v>
      </c>
      <c r="F37" s="93">
        <f>F36/0.57-1</f>
        <v>0.10526315789473695</v>
      </c>
      <c r="G37" s="94">
        <f>G36/0.57-1</f>
        <v>0.10526315789473695</v>
      </c>
      <c r="H37" s="93"/>
      <c r="I37" s="92">
        <f t="shared" ref="I37:J37" si="51">I36/D36-1</f>
        <v>0.10526315789473695</v>
      </c>
      <c r="J37" s="93">
        <f t="shared" si="51"/>
        <v>0.10526315789473695</v>
      </c>
      <c r="K37" s="93">
        <f t="shared" ref="K37" si="52">K36/F36-1</f>
        <v>0.15873015873015861</v>
      </c>
      <c r="L37" s="94">
        <f t="shared" ref="L37" si="53">L36/G36-1</f>
        <v>0.15873015873015861</v>
      </c>
      <c r="M37" s="93">
        <f t="shared" ref="M37:O37" si="54">M36/H36-1</f>
        <v>0.1333333333333333</v>
      </c>
      <c r="N37" s="92">
        <f t="shared" si="54"/>
        <v>0.15873015873015861</v>
      </c>
      <c r="O37" s="93">
        <f t="shared" si="54"/>
        <v>0.15873015873015861</v>
      </c>
      <c r="P37" s="95">
        <v>0.05</v>
      </c>
      <c r="Q37" s="96">
        <f>P37</f>
        <v>0.05</v>
      </c>
      <c r="R37" s="93">
        <f>R36/M36-1</f>
        <v>0.10036764705882351</v>
      </c>
      <c r="S37" s="97">
        <f>Q37</f>
        <v>0.05</v>
      </c>
      <c r="T37" s="95">
        <f>S37</f>
        <v>0.05</v>
      </c>
      <c r="U37" s="95">
        <v>0.1</v>
      </c>
      <c r="V37" s="96">
        <v>0.1</v>
      </c>
      <c r="W37" s="93">
        <f>W36/R36-1</f>
        <v>7.5609756097561265E-2</v>
      </c>
      <c r="X37" s="97">
        <v>0.1</v>
      </c>
      <c r="Y37" s="95">
        <v>0.1</v>
      </c>
      <c r="Z37" s="95">
        <v>0.1</v>
      </c>
      <c r="AA37" s="96">
        <v>0.1</v>
      </c>
      <c r="AB37" s="98">
        <f>AB36/W36-1</f>
        <v>0.10000000000000009</v>
      </c>
      <c r="AC37" s="97">
        <v>0.1</v>
      </c>
      <c r="AD37" s="95">
        <v>0.1</v>
      </c>
      <c r="AE37" s="95">
        <v>0.1</v>
      </c>
      <c r="AF37" s="96">
        <v>0.1</v>
      </c>
      <c r="AG37" s="98">
        <f>AG36/AB36-1</f>
        <v>0.10000000000000009</v>
      </c>
      <c r="AH37" s="97">
        <v>0.1</v>
      </c>
      <c r="AI37" s="95">
        <v>0.1</v>
      </c>
      <c r="AJ37" s="95">
        <v>0.1</v>
      </c>
      <c r="AK37" s="96">
        <v>0.1</v>
      </c>
      <c r="AL37" s="98">
        <f>AL36/AG36-1</f>
        <v>0.10000000000000009</v>
      </c>
    </row>
    <row r="38" spans="2:41" x14ac:dyDescent="0.3">
      <c r="B38" s="99"/>
      <c r="C38" s="100"/>
      <c r="D38" s="101"/>
      <c r="E38" s="101"/>
      <c r="F38" s="91"/>
      <c r="G38" s="91"/>
      <c r="H38" s="101"/>
      <c r="I38" s="101"/>
      <c r="J38" s="101"/>
      <c r="K38" s="91"/>
      <c r="L38" s="91"/>
      <c r="M38" s="101"/>
      <c r="N38" s="101"/>
      <c r="O38" s="305"/>
      <c r="P38" s="305"/>
      <c r="Q38" s="305"/>
      <c r="R38" s="290"/>
      <c r="S38" s="305"/>
      <c r="T38" s="101"/>
      <c r="U38" s="91"/>
      <c r="V38" s="305"/>
      <c r="W38" s="101"/>
      <c r="X38" s="101"/>
      <c r="Y38" s="101"/>
      <c r="Z38" s="91"/>
      <c r="AA38" s="305"/>
      <c r="AB38" s="101"/>
      <c r="AC38" s="101"/>
      <c r="AD38" s="101"/>
      <c r="AE38" s="91"/>
      <c r="AF38" s="305"/>
      <c r="AG38" s="101"/>
      <c r="AH38" s="101"/>
      <c r="AI38" s="101"/>
      <c r="AJ38" s="91"/>
      <c r="AK38" s="305"/>
      <c r="AL38" s="101"/>
    </row>
    <row r="39" spans="2:41" ht="15.6" x14ac:dyDescent="0.3">
      <c r="B39" s="351" t="s">
        <v>194</v>
      </c>
      <c r="C39" s="352"/>
      <c r="D39" s="47" t="s">
        <v>66</v>
      </c>
      <c r="E39" s="47" t="s">
        <v>67</v>
      </c>
      <c r="F39" s="47" t="s">
        <v>68</v>
      </c>
      <c r="G39" s="47" t="s">
        <v>69</v>
      </c>
      <c r="H39" s="256" t="s">
        <v>69</v>
      </c>
      <c r="I39" s="47" t="s">
        <v>70</v>
      </c>
      <c r="J39" s="47" t="s">
        <v>71</v>
      </c>
      <c r="K39" s="47" t="s">
        <v>72</v>
      </c>
      <c r="L39" s="47" t="s">
        <v>73</v>
      </c>
      <c r="M39" s="256" t="s">
        <v>73</v>
      </c>
      <c r="N39" s="47" t="s">
        <v>74</v>
      </c>
      <c r="O39" s="47" t="s">
        <v>75</v>
      </c>
      <c r="P39" s="48" t="s">
        <v>76</v>
      </c>
      <c r="Q39" s="48" t="s">
        <v>77</v>
      </c>
      <c r="R39" s="254" t="s">
        <v>77</v>
      </c>
      <c r="S39" s="48" t="s">
        <v>136</v>
      </c>
      <c r="T39" s="48" t="s">
        <v>137</v>
      </c>
      <c r="U39" s="48" t="s">
        <v>138</v>
      </c>
      <c r="V39" s="48" t="s">
        <v>139</v>
      </c>
      <c r="W39" s="254" t="s">
        <v>139</v>
      </c>
      <c r="X39" s="48" t="s">
        <v>154</v>
      </c>
      <c r="Y39" s="48" t="s">
        <v>155</v>
      </c>
      <c r="Z39" s="48" t="s">
        <v>156</v>
      </c>
      <c r="AA39" s="48" t="s">
        <v>157</v>
      </c>
      <c r="AB39" s="254" t="s">
        <v>157</v>
      </c>
      <c r="AC39" s="15" t="s">
        <v>277</v>
      </c>
      <c r="AD39" s="15" t="s">
        <v>278</v>
      </c>
      <c r="AE39" s="15" t="s">
        <v>279</v>
      </c>
      <c r="AF39" s="15" t="s">
        <v>280</v>
      </c>
      <c r="AG39" s="252" t="s">
        <v>280</v>
      </c>
      <c r="AH39" s="15" t="s">
        <v>286</v>
      </c>
      <c r="AI39" s="15" t="s">
        <v>287</v>
      </c>
      <c r="AJ39" s="15" t="s">
        <v>288</v>
      </c>
      <c r="AK39" s="15" t="s">
        <v>289</v>
      </c>
      <c r="AL39" s="252" t="s">
        <v>289</v>
      </c>
    </row>
    <row r="40" spans="2:41" ht="16.2" x14ac:dyDescent="0.45">
      <c r="B40" s="353"/>
      <c r="C40" s="354"/>
      <c r="D40" s="49" t="s">
        <v>163</v>
      </c>
      <c r="E40" s="49" t="s">
        <v>196</v>
      </c>
      <c r="F40" s="49" t="s">
        <v>214</v>
      </c>
      <c r="G40" s="10" t="s">
        <v>216</v>
      </c>
      <c r="H40" s="257" t="s">
        <v>217</v>
      </c>
      <c r="I40" s="10" t="s">
        <v>218</v>
      </c>
      <c r="J40" s="10" t="s">
        <v>219</v>
      </c>
      <c r="K40" s="10" t="s">
        <v>220</v>
      </c>
      <c r="L40" s="10" t="s">
        <v>221</v>
      </c>
      <c r="M40" s="257" t="s">
        <v>222</v>
      </c>
      <c r="N40" s="10" t="s">
        <v>223</v>
      </c>
      <c r="O40" s="10" t="s">
        <v>383</v>
      </c>
      <c r="P40" s="50" t="s">
        <v>46</v>
      </c>
      <c r="Q40" s="50" t="s">
        <v>47</v>
      </c>
      <c r="R40" s="255" t="s">
        <v>128</v>
      </c>
      <c r="S40" s="50" t="s">
        <v>135</v>
      </c>
      <c r="T40" s="50" t="s">
        <v>140</v>
      </c>
      <c r="U40" s="50" t="s">
        <v>141</v>
      </c>
      <c r="V40" s="50" t="s">
        <v>142</v>
      </c>
      <c r="W40" s="255" t="s">
        <v>143</v>
      </c>
      <c r="X40" s="50" t="s">
        <v>158</v>
      </c>
      <c r="Y40" s="50" t="s">
        <v>159</v>
      </c>
      <c r="Z40" s="50" t="s">
        <v>160</v>
      </c>
      <c r="AA40" s="50" t="s">
        <v>161</v>
      </c>
      <c r="AB40" s="255" t="s">
        <v>162</v>
      </c>
      <c r="AC40" s="16" t="s">
        <v>281</v>
      </c>
      <c r="AD40" s="16" t="s">
        <v>282</v>
      </c>
      <c r="AE40" s="16" t="s">
        <v>283</v>
      </c>
      <c r="AF40" s="16" t="s">
        <v>284</v>
      </c>
      <c r="AG40" s="253" t="s">
        <v>285</v>
      </c>
      <c r="AH40" s="16" t="s">
        <v>290</v>
      </c>
      <c r="AI40" s="16" t="s">
        <v>291</v>
      </c>
      <c r="AJ40" s="16" t="s">
        <v>292</v>
      </c>
      <c r="AK40" s="16" t="s">
        <v>293</v>
      </c>
      <c r="AL40" s="253" t="s">
        <v>294</v>
      </c>
    </row>
    <row r="41" spans="2:41" ht="16.2" x14ac:dyDescent="0.45">
      <c r="B41" s="371" t="s">
        <v>147</v>
      </c>
      <c r="C41" s="372"/>
      <c r="D41" s="102"/>
      <c r="E41" s="102"/>
      <c r="F41" s="102"/>
      <c r="G41" s="102"/>
      <c r="H41" s="103"/>
      <c r="I41" s="102"/>
      <c r="J41" s="12"/>
      <c r="K41" s="102"/>
      <c r="L41" s="102"/>
      <c r="M41" s="103"/>
      <c r="N41" s="102"/>
      <c r="O41" s="102"/>
      <c r="P41" s="102"/>
      <c r="Q41" s="102"/>
      <c r="R41" s="103"/>
      <c r="S41" s="102"/>
      <c r="T41" s="102"/>
      <c r="U41" s="102"/>
      <c r="V41" s="102"/>
      <c r="W41" s="103"/>
      <c r="X41" s="102"/>
      <c r="Y41" s="102"/>
      <c r="Z41" s="102"/>
      <c r="AA41" s="102"/>
      <c r="AB41" s="103"/>
      <c r="AC41" s="102"/>
      <c r="AD41" s="102"/>
      <c r="AE41" s="102"/>
      <c r="AF41" s="102"/>
      <c r="AG41" s="103"/>
      <c r="AH41" s="102"/>
      <c r="AI41" s="102"/>
      <c r="AJ41" s="102"/>
      <c r="AK41" s="102"/>
      <c r="AL41" s="103"/>
    </row>
    <row r="42" spans="2:41" hidden="1" outlineLevel="1" x14ac:dyDescent="0.3">
      <c r="B42" s="355" t="s">
        <v>110</v>
      </c>
      <c r="C42" s="356"/>
      <c r="D42" s="104">
        <v>31968</v>
      </c>
      <c r="E42" s="104">
        <v>21157</v>
      </c>
      <c r="F42" s="104">
        <v>20376</v>
      </c>
      <c r="G42" s="104">
        <f>96600-F42-E42-D42</f>
        <v>23099</v>
      </c>
      <c r="H42" s="105">
        <f>SUM(D42:G42)</f>
        <v>96600</v>
      </c>
      <c r="I42" s="104">
        <v>35193</v>
      </c>
      <c r="J42" s="104">
        <v>24841</v>
      </c>
      <c r="K42" s="104">
        <v>24542</v>
      </c>
      <c r="L42" s="104">
        <v>27517</v>
      </c>
      <c r="M42" s="105">
        <f>SUM(I42:L42)</f>
        <v>112093</v>
      </c>
      <c r="N42" s="104">
        <v>36940</v>
      </c>
      <c r="O42" s="104">
        <v>25596</v>
      </c>
      <c r="P42" s="104">
        <f t="shared" ref="P42" si="55">O42/O47*(P13+P14)</f>
        <v>23603.938392800323</v>
      </c>
      <c r="Q42" s="120">
        <f>P42/P47*(Q13+Q14)</f>
        <v>27089.411231875969</v>
      </c>
      <c r="R42" s="105">
        <f>SUM(N42:Q42)</f>
        <v>113229.3496246763</v>
      </c>
      <c r="S42" s="104">
        <f>Q42/Q47*(S13+S14)</f>
        <v>38295.872778637175</v>
      </c>
      <c r="T42" s="104">
        <f>S42/S47*(T13+T14)</f>
        <v>27045.374138456584</v>
      </c>
      <c r="U42" s="104">
        <f t="shared" ref="U42" si="56">T42/T47*(U13+U14)</f>
        <v>24900.978551033761</v>
      </c>
      <c r="V42" s="104">
        <f>U42/U47*(V13+V14)</f>
        <v>28527.832037377731</v>
      </c>
      <c r="W42" s="105">
        <f>SUM(S42:V42)</f>
        <v>118770.05750550525</v>
      </c>
      <c r="X42" s="104">
        <f>V42/V47*(X13+X14)</f>
        <v>40221.794186383704</v>
      </c>
      <c r="Y42" s="104">
        <f>X42/X47*(Y13+Y14)</f>
        <v>28624.957462129401</v>
      </c>
      <c r="Z42" s="104">
        <f t="shared" ref="Z42" si="57">Y42/Y47*(Z13+Z14)</f>
        <v>26413.157890422361</v>
      </c>
      <c r="AA42" s="104">
        <f>Z42/Z47*(AA13+AA14)</f>
        <v>30278.741160755671</v>
      </c>
      <c r="AB42" s="105">
        <f>SUM(X42:AA42)</f>
        <v>125538.65069969113</v>
      </c>
      <c r="AC42" s="104">
        <f>AA42/AA47*(AC13+AC14)</f>
        <v>41249.215881455042</v>
      </c>
      <c r="AD42" s="104">
        <f>AC42/AC47*(AD13+AD14)</f>
        <v>29232.332812377314</v>
      </c>
      <c r="AE42" s="104">
        <f t="shared" ref="AE42" si="58">AD42/AD47*(AE13+AE14)</f>
        <v>26766.563795245373</v>
      </c>
      <c r="AF42" s="104">
        <f>AE42/AE47*(AF13+AF14)</f>
        <v>30533.650690575279</v>
      </c>
      <c r="AG42" s="105">
        <f>SUM(AC42:AF42)</f>
        <v>127781.763179653</v>
      </c>
      <c r="AH42" s="104">
        <f>AF42/AF47*(AH13+AH14)</f>
        <v>41950.060410426755</v>
      </c>
      <c r="AI42" s="104">
        <f>AH42/AH47*(AI13+AI14)</f>
        <v>29637.751961591319</v>
      </c>
      <c r="AJ42" s="104">
        <f t="shared" ref="AJ42" si="59">AI42/AI47*(AJ13+AJ14)</f>
        <v>27085.129935282643</v>
      </c>
      <c r="AK42" s="104">
        <f>AJ42/AJ47*(AK13+AK14)</f>
        <v>30882.708881477472</v>
      </c>
      <c r="AL42" s="105">
        <f>SUM(AH42:AK42)</f>
        <v>129555.6511887782</v>
      </c>
    </row>
    <row r="43" spans="2:41" hidden="1" outlineLevel="1" x14ac:dyDescent="0.3">
      <c r="B43" s="355" t="s">
        <v>144</v>
      </c>
      <c r="C43" s="356"/>
      <c r="D43" s="104">
        <v>18521</v>
      </c>
      <c r="E43" s="104">
        <v>12733</v>
      </c>
      <c r="F43" s="104">
        <v>10675</v>
      </c>
      <c r="G43" s="104">
        <f>54938-F43-E43-D43</f>
        <v>13009</v>
      </c>
      <c r="H43" s="105">
        <f>SUM(D43:G43)</f>
        <v>54938</v>
      </c>
      <c r="I43" s="104">
        <v>21054</v>
      </c>
      <c r="J43" s="104">
        <v>13846</v>
      </c>
      <c r="K43" s="104">
        <v>12138</v>
      </c>
      <c r="L43" s="104">
        <v>15382</v>
      </c>
      <c r="M43" s="105">
        <f>SUM(I43:L43)</f>
        <v>62420</v>
      </c>
      <c r="N43" s="104">
        <v>20363</v>
      </c>
      <c r="O43" s="104">
        <v>13054</v>
      </c>
      <c r="P43" s="104">
        <f t="shared" ref="P43:Q43" si="60">O43/O47*(P13+P14)</f>
        <v>12038.045467245483</v>
      </c>
      <c r="Q43" s="104">
        <f t="shared" si="60"/>
        <v>13815.642062076455</v>
      </c>
      <c r="R43" s="105">
        <f>SUM(N43:Q43)</f>
        <v>59270.687529321935</v>
      </c>
      <c r="S43" s="104">
        <f>Q43/Q47*(S13+S14)</f>
        <v>19530.954963757216</v>
      </c>
      <c r="T43" s="104">
        <f>S43/S47*(T13+T14)</f>
        <v>13793.183075613857</v>
      </c>
      <c r="U43" s="104">
        <f t="shared" ref="U43:V43" si="61">T43/T47*(U13+U14)</f>
        <v>12699.537974886498</v>
      </c>
      <c r="V43" s="104">
        <f t="shared" si="61"/>
        <v>14549.238920766096</v>
      </c>
      <c r="W43" s="105">
        <f>SUM(S43:V43)</f>
        <v>60572.914935023662</v>
      </c>
      <c r="X43" s="104">
        <f>V43/V47*(X13+X14)</f>
        <v>20513.17789143042</v>
      </c>
      <c r="Y43" s="104">
        <f>X43/X47*(Y13+Y14)</f>
        <v>14598.77303917164</v>
      </c>
      <c r="Z43" s="104">
        <f t="shared" ref="Z43:AA43" si="62">Y43/Y47*(Z13+Z14)</f>
        <v>13470.751801124141</v>
      </c>
      <c r="AA43" s="104">
        <f t="shared" si="62"/>
        <v>15442.205309911884</v>
      </c>
      <c r="AB43" s="105">
        <f>SUM(X43:AA43)</f>
        <v>64024.908041638089</v>
      </c>
      <c r="AC43" s="104">
        <f>AA43/AA47*(AC13+AC14)</f>
        <v>21037.164561514073</v>
      </c>
      <c r="AD43" s="104">
        <f>AC43/AC47*(AD13+AD14)</f>
        <v>14908.535416970366</v>
      </c>
      <c r="AE43" s="104">
        <f t="shared" ref="AE43:AF43" si="63">AD43/AD47*(AE13+AE14)</f>
        <v>13650.989364866899</v>
      </c>
      <c r="AF43" s="104">
        <f t="shared" si="63"/>
        <v>15572.209568478269</v>
      </c>
      <c r="AG43" s="105">
        <f>SUM(AC43:AF43)</f>
        <v>65168.898911829601</v>
      </c>
      <c r="AH43" s="104">
        <f>AF43/AF47*(AH13+AH14)</f>
        <v>21394.596366530353</v>
      </c>
      <c r="AI43" s="104">
        <f>AH43/AH47*(AI13+AI14)</f>
        <v>15115.299816635925</v>
      </c>
      <c r="AJ43" s="104">
        <f t="shared" ref="AJ43:AK43" si="64">AI43/AI47*(AJ13+AJ14)</f>
        <v>13813.458594123289</v>
      </c>
      <c r="AK43" s="104">
        <f t="shared" si="64"/>
        <v>15750.229791327043</v>
      </c>
      <c r="AL43" s="105">
        <f>SUM(AH43:AK43)</f>
        <v>66073.584568616599</v>
      </c>
    </row>
    <row r="44" spans="2:41" hidden="1" outlineLevel="1" x14ac:dyDescent="0.3">
      <c r="B44" s="355" t="s">
        <v>123</v>
      </c>
      <c r="C44" s="356"/>
      <c r="D44" s="104">
        <v>16233</v>
      </c>
      <c r="E44" s="104">
        <v>10726</v>
      </c>
      <c r="F44" s="104">
        <v>8004</v>
      </c>
      <c r="G44" s="104">
        <f>44764-F44-E44-D44</f>
        <v>9801</v>
      </c>
      <c r="H44" s="105">
        <f>SUM(D44:G44)</f>
        <v>44764</v>
      </c>
      <c r="I44" s="104">
        <v>17956</v>
      </c>
      <c r="J44" s="104">
        <v>13024</v>
      </c>
      <c r="K44" s="104">
        <v>9551</v>
      </c>
      <c r="L44" s="104">
        <v>11411</v>
      </c>
      <c r="M44" s="105">
        <f>SUM(I44:L44)</f>
        <v>51942</v>
      </c>
      <c r="N44" s="104">
        <v>13169</v>
      </c>
      <c r="O44" s="104">
        <v>10218</v>
      </c>
      <c r="P44" s="104">
        <f t="shared" ref="P44:Q44" si="65">O44/O47*(P13+P14)</f>
        <v>9422.7630292871418</v>
      </c>
      <c r="Q44" s="104">
        <f t="shared" si="65"/>
        <v>10814.174244698728</v>
      </c>
      <c r="R44" s="105">
        <f>SUM(N44:Q44)</f>
        <v>43623.937273985866</v>
      </c>
      <c r="S44" s="104">
        <f>Q44/Q47*(S13+S14)</f>
        <v>15287.827318804291</v>
      </c>
      <c r="T44" s="104">
        <f>S44/S47*(T13+T14)</f>
        <v>10796.594504873785</v>
      </c>
      <c r="U44" s="104">
        <f t="shared" ref="U44:V44" si="66">T44/T47*(U13+U14)</f>
        <v>9940.5453521824893</v>
      </c>
      <c r="V44" s="104">
        <f t="shared" si="66"/>
        <v>11388.396146191815</v>
      </c>
      <c r="W44" s="105">
        <f>SUM(S44:V44)</f>
        <v>47413.363322052384</v>
      </c>
      <c r="X44" s="104">
        <f>V44/V47*(X13+X14)</f>
        <v>16056.660923443847</v>
      </c>
      <c r="Y44" s="104">
        <f>X44/X47*(Y13+Y14)</f>
        <v>11427.16890717449</v>
      </c>
      <c r="Z44" s="104">
        <f t="shared" ref="Z44:AA44" si="67">Y44/Y47*(Z13+Z14)</f>
        <v>10544.211881713381</v>
      </c>
      <c r="AA44" s="104">
        <f t="shared" si="67"/>
        <v>12087.364321792526</v>
      </c>
      <c r="AB44" s="105">
        <f>SUM(X44:AA44)</f>
        <v>50115.406034124244</v>
      </c>
      <c r="AC44" s="104">
        <f>AA44/AA47*(AC13+AC14)</f>
        <v>16466.810746863091</v>
      </c>
      <c r="AD44" s="104">
        <f>AC44/AC47*(AD13+AD14)</f>
        <v>11669.63496940426</v>
      </c>
      <c r="AE44" s="104">
        <f t="shared" ref="AE44:AF44" si="68">AD44/AD47*(AE13+AE14)</f>
        <v>10685.292579302128</v>
      </c>
      <c r="AF44" s="104">
        <f t="shared" si="68"/>
        <v>12189.124970944611</v>
      </c>
      <c r="AG44" s="105">
        <f>SUM(AC44:AF44)</f>
        <v>51010.86326651409</v>
      </c>
      <c r="AH44" s="104">
        <f>AF44/AF47*(AH13+AH14)</f>
        <v>16746.589985690756</v>
      </c>
      <c r="AI44" s="104">
        <f>AH44/AH47*(AI13+AI14)</f>
        <v>11831.479510218007</v>
      </c>
      <c r="AJ44" s="104">
        <f t="shared" ref="AJ44:AK44" si="69">AI44/AI47*(AJ13+AJ14)</f>
        <v>10812.465138252777</v>
      </c>
      <c r="AK44" s="104">
        <f t="shared" si="69"/>
        <v>12328.470048090985</v>
      </c>
      <c r="AL44" s="105">
        <f>SUM(AH44:AK44)</f>
        <v>51719.004682252518</v>
      </c>
    </row>
    <row r="45" spans="2:41" hidden="1" outlineLevel="1" x14ac:dyDescent="0.3">
      <c r="B45" s="355" t="s">
        <v>111</v>
      </c>
      <c r="C45" s="356"/>
      <c r="D45" s="104">
        <v>5766</v>
      </c>
      <c r="E45" s="104">
        <v>4485</v>
      </c>
      <c r="F45" s="104">
        <v>3624</v>
      </c>
      <c r="G45" s="104">
        <f>17733-F45-E45-D45</f>
        <v>3858</v>
      </c>
      <c r="H45" s="105">
        <f>SUM(D45:G45)</f>
        <v>17733</v>
      </c>
      <c r="I45" s="104">
        <v>7237</v>
      </c>
      <c r="J45" s="104">
        <v>5468</v>
      </c>
      <c r="K45" s="104">
        <v>3867</v>
      </c>
      <c r="L45" s="104">
        <v>5161</v>
      </c>
      <c r="M45" s="105">
        <f>SUM(I45:L45)</f>
        <v>21733</v>
      </c>
      <c r="N45" s="104">
        <v>6910</v>
      </c>
      <c r="O45" s="104">
        <v>5532</v>
      </c>
      <c r="P45" s="104">
        <f t="shared" ref="P45:Q45" si="70">O45/O47*(P13+P14)</f>
        <v>5101.4606652981474</v>
      </c>
      <c r="Q45" s="104">
        <f t="shared" si="70"/>
        <v>5854.7672657734747</v>
      </c>
      <c r="R45" s="105">
        <f>SUM(N45:Q45)</f>
        <v>23398.227931071619</v>
      </c>
      <c r="S45" s="104">
        <f>Q45/Q47*(S13+S14)</f>
        <v>8276.7920070097225</v>
      </c>
      <c r="T45" s="104">
        <f>S45/S47*(T13+T14)</f>
        <v>5845.2496379880386</v>
      </c>
      <c r="U45" s="104">
        <f t="shared" ref="U45:V45" si="71">T45/T47*(U13+U14)</f>
        <v>5381.786737940256</v>
      </c>
      <c r="V45" s="104">
        <f t="shared" si="71"/>
        <v>6165.6495870750759</v>
      </c>
      <c r="W45" s="105">
        <f>SUM(S45:V45)</f>
        <v>25669.477970013093</v>
      </c>
      <c r="X45" s="104">
        <f>V45/V47*(X13+X14)</f>
        <v>8693.0366244364213</v>
      </c>
      <c r="Y45" s="104">
        <f>X45/X47*(Y13+Y14)</f>
        <v>6186.6410642483133</v>
      </c>
      <c r="Z45" s="104">
        <f t="shared" ref="Z45:AA45" si="72">Y45/Y47*(Z13+Z14)</f>
        <v>5708.6103082441186</v>
      </c>
      <c r="AA45" s="104">
        <f t="shared" si="72"/>
        <v>6544.0692335247822</v>
      </c>
      <c r="AB45" s="105">
        <f>SUM(X45:AA45)</f>
        <v>27132.357230453636</v>
      </c>
      <c r="AC45" s="104">
        <f>AA45/AA47*(AC13+AC14)</f>
        <v>8915.0907273093162</v>
      </c>
      <c r="AD45" s="104">
        <f>AC45/AC47*(AD13+AD14)</f>
        <v>6317.9115923609652</v>
      </c>
      <c r="AE45" s="104">
        <f t="shared" ref="AE45:AF45" si="73">AD45/AD47*(AE13+AE14)</f>
        <v>5784.9910499803627</v>
      </c>
      <c r="AF45" s="104">
        <f t="shared" si="73"/>
        <v>6599.1621980099399</v>
      </c>
      <c r="AG45" s="105">
        <f>SUM(AC45:AF45)</f>
        <v>27617.155567660586</v>
      </c>
      <c r="AH45" s="104">
        <f>AF45/AF47*(AH13+AH14)</f>
        <v>9066.5625172089676</v>
      </c>
      <c r="AI45" s="104">
        <f>AH45/AH47*(AI13+AI14)</f>
        <v>6405.5338276106859</v>
      </c>
      <c r="AJ45" s="104">
        <f t="shared" ref="AJ45:AK45" si="74">AI45/AI47*(AJ13+AJ14)</f>
        <v>5853.8419597586944</v>
      </c>
      <c r="AK45" s="104">
        <f t="shared" si="74"/>
        <v>6674.6032791191328</v>
      </c>
      <c r="AL45" s="105">
        <f>SUM(AH45:AK45)</f>
        <v>28000.541583697479</v>
      </c>
    </row>
    <row r="46" spans="2:41" ht="16.2" hidden="1" outlineLevel="1" x14ac:dyDescent="0.45">
      <c r="B46" s="355" t="s">
        <v>112</v>
      </c>
      <c r="C46" s="356"/>
      <c r="D46" s="106">
        <v>5863</v>
      </c>
      <c r="E46" s="106">
        <v>3795</v>
      </c>
      <c r="F46" s="106">
        <v>2729</v>
      </c>
      <c r="G46" s="106">
        <f>15199-F46-E46-D46</f>
        <v>2812</v>
      </c>
      <c r="H46" s="107">
        <f>SUM(D46:G46)</f>
        <v>15199</v>
      </c>
      <c r="I46" s="106">
        <v>6853</v>
      </c>
      <c r="J46" s="106">
        <v>3958</v>
      </c>
      <c r="K46" s="106">
        <v>3167</v>
      </c>
      <c r="L46" s="106">
        <v>3429</v>
      </c>
      <c r="M46" s="107">
        <f>SUM(I46:L46)</f>
        <v>17407</v>
      </c>
      <c r="N46" s="106">
        <v>6928</v>
      </c>
      <c r="O46" s="106">
        <v>3615</v>
      </c>
      <c r="P46" s="106">
        <f t="shared" ref="P46:Q46" si="75">O46/O47*(P13+P14)</f>
        <v>3333.6551527571951</v>
      </c>
      <c r="Q46" s="106">
        <f t="shared" si="75"/>
        <v>3825.9189562131442</v>
      </c>
      <c r="R46" s="107">
        <f>SUM(N46:Q46)</f>
        <v>17702.574108970341</v>
      </c>
      <c r="S46" s="106">
        <f>Q46/Q47*(S13+S14)</f>
        <v>5408.6411976392174</v>
      </c>
      <c r="T46" s="106">
        <f>S46/S47*(T13+T14)</f>
        <v>3819.6994651711429</v>
      </c>
      <c r="U46" s="106">
        <f t="shared" ref="U46:V46" si="76">T46/T47*(U13+U14)</f>
        <v>3516.8400321138879</v>
      </c>
      <c r="V46" s="106">
        <f t="shared" si="76"/>
        <v>4029.0714492545922</v>
      </c>
      <c r="W46" s="107">
        <f>SUM(S46:V46)</f>
        <v>16774.252144178841</v>
      </c>
      <c r="X46" s="106">
        <f>V46/V47*(X13+X14)</f>
        <v>5680.6448657515675</v>
      </c>
      <c r="Y46" s="106">
        <f>X46/X47*(Y13+Y14)</f>
        <v>4042.788764869425</v>
      </c>
      <c r="Z46" s="106">
        <f t="shared" ref="Z46:AA46" si="77">Y46/Y47*(Z13+Z14)</f>
        <v>3730.4096645521508</v>
      </c>
      <c r="AA46" s="106">
        <f t="shared" si="77"/>
        <v>4276.3576065061634</v>
      </c>
      <c r="AB46" s="107">
        <f>SUM(X46:AA46)</f>
        <v>17730.200901679305</v>
      </c>
      <c r="AC46" s="106">
        <f>AA46/AA47*(AC13+AC14)</f>
        <v>5825.7507193100482</v>
      </c>
      <c r="AD46" s="106">
        <f>AC46/AC47*(AD13+AD14)</f>
        <v>4128.570210843257</v>
      </c>
      <c r="AE46" s="106">
        <f t="shared" ref="AE46:AF46" si="78">AD46/AD47*(AE13+AE14)</f>
        <v>3780.322242530553</v>
      </c>
      <c r="AF46" s="106">
        <f t="shared" si="78"/>
        <v>4312.3592454457594</v>
      </c>
      <c r="AG46" s="107">
        <f>SUM(AC46:AF46)</f>
        <v>18047.002418129618</v>
      </c>
      <c r="AH46" s="106">
        <f>AF46/AF47*(AH13+AH14)</f>
        <v>5924.7330982846042</v>
      </c>
      <c r="AI46" s="106">
        <f>AH46/AH47*(AI13+AI14)</f>
        <v>4185.8287756349673</v>
      </c>
      <c r="AJ46" s="106">
        <f t="shared" ref="AJ46:AK46" si="79">AI46/AI47*(AJ13+AJ14)</f>
        <v>3825.3142958293001</v>
      </c>
      <c r="AK46" s="106">
        <f t="shared" si="79"/>
        <v>4361.6577827215606</v>
      </c>
      <c r="AL46" s="107">
        <f>SUM(AH46:AK46)</f>
        <v>18297.533952470432</v>
      </c>
    </row>
    <row r="47" spans="2:41" collapsed="1" x14ac:dyDescent="0.3">
      <c r="B47" s="375" t="s">
        <v>109</v>
      </c>
      <c r="C47" s="376"/>
      <c r="D47" s="108">
        <f t="shared" ref="D47:AL47" si="80">SUM(D42:D46)</f>
        <v>78351</v>
      </c>
      <c r="E47" s="108">
        <f t="shared" si="80"/>
        <v>52896</v>
      </c>
      <c r="F47" s="108">
        <f t="shared" si="80"/>
        <v>45408</v>
      </c>
      <c r="G47" s="108">
        <f t="shared" si="80"/>
        <v>52579</v>
      </c>
      <c r="H47" s="109">
        <f t="shared" si="80"/>
        <v>229234</v>
      </c>
      <c r="I47" s="108">
        <f t="shared" si="80"/>
        <v>88293</v>
      </c>
      <c r="J47" s="108">
        <f t="shared" si="80"/>
        <v>61137</v>
      </c>
      <c r="K47" s="108">
        <f t="shared" si="80"/>
        <v>53265</v>
      </c>
      <c r="L47" s="108">
        <f t="shared" si="80"/>
        <v>62900</v>
      </c>
      <c r="M47" s="109">
        <f t="shared" si="80"/>
        <v>265595</v>
      </c>
      <c r="N47" s="108">
        <f t="shared" si="80"/>
        <v>84310</v>
      </c>
      <c r="O47" s="108">
        <f t="shared" si="80"/>
        <v>58015</v>
      </c>
      <c r="P47" s="108">
        <f t="shared" si="80"/>
        <v>53499.862707388282</v>
      </c>
      <c r="Q47" s="108">
        <f t="shared" si="80"/>
        <v>61399.91376063777</v>
      </c>
      <c r="R47" s="109">
        <f t="shared" si="80"/>
        <v>257224.77646802607</v>
      </c>
      <c r="S47" s="108">
        <f t="shared" si="80"/>
        <v>86800.088265847618</v>
      </c>
      <c r="T47" s="108">
        <f t="shared" si="80"/>
        <v>61300.100822103406</v>
      </c>
      <c r="U47" s="108">
        <f t="shared" si="80"/>
        <v>56439.688648156894</v>
      </c>
      <c r="V47" s="108">
        <f t="shared" si="80"/>
        <v>64660.188140665312</v>
      </c>
      <c r="W47" s="109">
        <f t="shared" si="80"/>
        <v>269200.06587677321</v>
      </c>
      <c r="X47" s="108">
        <f t="shared" si="80"/>
        <v>91165.31449144597</v>
      </c>
      <c r="Y47" s="108">
        <f t="shared" si="80"/>
        <v>64880.329237593272</v>
      </c>
      <c r="Z47" s="108">
        <f t="shared" si="80"/>
        <v>59867.141546056155</v>
      </c>
      <c r="AA47" s="108">
        <f t="shared" si="80"/>
        <v>68628.737632491029</v>
      </c>
      <c r="AB47" s="109">
        <f t="shared" si="80"/>
        <v>284541.52290758642</v>
      </c>
      <c r="AC47" s="108">
        <f t="shared" si="80"/>
        <v>93494.032636451564</v>
      </c>
      <c r="AD47" s="108">
        <f t="shared" si="80"/>
        <v>66256.985001956156</v>
      </c>
      <c r="AE47" s="108">
        <f t="shared" si="80"/>
        <v>60668.159031925308</v>
      </c>
      <c r="AF47" s="108">
        <f t="shared" si="80"/>
        <v>69206.506673453856</v>
      </c>
      <c r="AG47" s="109">
        <f t="shared" si="80"/>
        <v>289625.68334378686</v>
      </c>
      <c r="AH47" s="108">
        <f t="shared" si="80"/>
        <v>95082.542378141443</v>
      </c>
      <c r="AI47" s="108">
        <f t="shared" si="80"/>
        <v>67175.89389169091</v>
      </c>
      <c r="AJ47" s="108">
        <f t="shared" si="80"/>
        <v>61390.209923246701</v>
      </c>
      <c r="AK47" s="108">
        <f t="shared" si="80"/>
        <v>69997.669782736208</v>
      </c>
      <c r="AL47" s="109">
        <f t="shared" si="80"/>
        <v>293646.31597581529</v>
      </c>
    </row>
    <row r="48" spans="2:41" ht="16.2" x14ac:dyDescent="0.45">
      <c r="B48" s="363" t="s">
        <v>148</v>
      </c>
      <c r="C48" s="364"/>
      <c r="D48" s="49" t="s">
        <v>163</v>
      </c>
      <c r="E48" s="49" t="s">
        <v>196</v>
      </c>
      <c r="F48" s="49" t="s">
        <v>214</v>
      </c>
      <c r="G48" s="10" t="s">
        <v>216</v>
      </c>
      <c r="H48" s="267" t="s">
        <v>217</v>
      </c>
      <c r="I48" s="10" t="s">
        <v>218</v>
      </c>
      <c r="J48" s="10" t="s">
        <v>219</v>
      </c>
      <c r="K48" s="10" t="s">
        <v>220</v>
      </c>
      <c r="L48" s="10" t="s">
        <v>221</v>
      </c>
      <c r="M48" s="267" t="s">
        <v>222</v>
      </c>
      <c r="N48" s="10" t="s">
        <v>223</v>
      </c>
      <c r="O48" s="10" t="s">
        <v>383</v>
      </c>
      <c r="P48" s="50" t="s">
        <v>46</v>
      </c>
      <c r="Q48" s="50" t="s">
        <v>47</v>
      </c>
      <c r="R48" s="268" t="s">
        <v>128</v>
      </c>
      <c r="S48" s="50" t="s">
        <v>135</v>
      </c>
      <c r="T48" s="50" t="s">
        <v>140</v>
      </c>
      <c r="U48" s="50" t="s">
        <v>141</v>
      </c>
      <c r="V48" s="50" t="s">
        <v>142</v>
      </c>
      <c r="W48" s="268" t="s">
        <v>143</v>
      </c>
      <c r="X48" s="50" t="s">
        <v>158</v>
      </c>
      <c r="Y48" s="50" t="s">
        <v>159</v>
      </c>
      <c r="Z48" s="50" t="s">
        <v>160</v>
      </c>
      <c r="AA48" s="50" t="s">
        <v>161</v>
      </c>
      <c r="AB48" s="268" t="s">
        <v>162</v>
      </c>
      <c r="AC48" s="50" t="s">
        <v>281</v>
      </c>
      <c r="AD48" s="50" t="s">
        <v>282</v>
      </c>
      <c r="AE48" s="50" t="s">
        <v>283</v>
      </c>
      <c r="AF48" s="50" t="s">
        <v>284</v>
      </c>
      <c r="AG48" s="268" t="s">
        <v>285</v>
      </c>
      <c r="AH48" s="50" t="s">
        <v>290</v>
      </c>
      <c r="AI48" s="50" t="s">
        <v>291</v>
      </c>
      <c r="AJ48" s="50" t="s">
        <v>292</v>
      </c>
      <c r="AK48" s="50" t="s">
        <v>293</v>
      </c>
      <c r="AL48" s="268" t="s">
        <v>294</v>
      </c>
    </row>
    <row r="49" spans="2:38" outlineLevel="1" x14ac:dyDescent="0.3">
      <c r="B49" s="370" t="s">
        <v>299</v>
      </c>
      <c r="C49" s="356"/>
      <c r="D49" s="119">
        <f>54378-D51</f>
        <v>53997.353999999999</v>
      </c>
      <c r="E49" s="119">
        <f>33249-E51</f>
        <v>32850.012000000002</v>
      </c>
      <c r="F49" s="119">
        <f>24846-F51</f>
        <v>24473.31</v>
      </c>
      <c r="G49" s="119">
        <f>28846-G51</f>
        <v>28499.848000000002</v>
      </c>
      <c r="H49" s="262">
        <f>SUM(D49:G49)</f>
        <v>139820.524</v>
      </c>
      <c r="I49" s="104">
        <v>61104</v>
      </c>
      <c r="J49" s="104">
        <f>38032-J51</f>
        <v>37559</v>
      </c>
      <c r="K49" s="104">
        <f>29906-K51</f>
        <v>29470</v>
      </c>
      <c r="L49" s="104">
        <f>37185-L51</f>
        <v>36755</v>
      </c>
      <c r="M49" s="262">
        <f>SUM(I49:L49)</f>
        <v>164888</v>
      </c>
      <c r="N49" s="104">
        <v>51982</v>
      </c>
      <c r="O49" s="104">
        <v>31051</v>
      </c>
      <c r="P49" s="104">
        <f>K49*(1+P50)</f>
        <v>26685.777490466622</v>
      </c>
      <c r="Q49" s="104">
        <f>L49*(1+Q50)</f>
        <v>32414.79996616648</v>
      </c>
      <c r="R49" s="105">
        <f>SUM(N49:Q49)</f>
        <v>142133.57745663309</v>
      </c>
      <c r="S49" s="104">
        <f>N49*(1+S50)</f>
        <v>49616.062168794742</v>
      </c>
      <c r="T49" s="104">
        <f>O49*(1+T50)</f>
        <v>30833.167051323035</v>
      </c>
      <c r="U49" s="104">
        <f>P49*(1+U50)</f>
        <v>26675.21051122206</v>
      </c>
      <c r="V49" s="104">
        <f>Q49*(1+V50)</f>
        <v>33164.364761197139</v>
      </c>
      <c r="W49" s="105">
        <f>SUM(S49:V49)</f>
        <v>140288.80449253699</v>
      </c>
      <c r="X49" s="104">
        <f>S49*(1+X50)</f>
        <v>50382.985497580899</v>
      </c>
      <c r="Y49" s="104">
        <f>T49*(1+Y50)</f>
        <v>31779.747986560502</v>
      </c>
      <c r="Z49" s="104">
        <f>U49*(1+Z50)</f>
        <v>27745.658479348149</v>
      </c>
      <c r="AA49" s="104">
        <f>V49*(1+AA50)</f>
        <v>34831.211426512171</v>
      </c>
      <c r="AB49" s="105">
        <f>SUM(X49:AA49)</f>
        <v>144739.60339000172</v>
      </c>
      <c r="AC49" s="104">
        <f>X49*(1+AC50)</f>
        <v>51263.699069162125</v>
      </c>
      <c r="AD49" s="104">
        <f>Y49*(1+AD50)</f>
        <v>32351.344299838795</v>
      </c>
      <c r="AE49" s="104">
        <f>Z49*(1+AE50)</f>
        <v>28156.508000930109</v>
      </c>
      <c r="AF49" s="104">
        <f>AA49*(1+AF50)</f>
        <v>35126.489386007081</v>
      </c>
      <c r="AG49" s="105">
        <f>SUM(AC49:AF49)</f>
        <v>146898.0407559381</v>
      </c>
      <c r="AH49" s="104">
        <f>AC49*(1+AH50)</f>
        <v>52016.655907380271</v>
      </c>
      <c r="AI49" s="104">
        <f>AD49*(1+AI50)</f>
        <v>32803.933108787758</v>
      </c>
      <c r="AJ49" s="104">
        <f>AE49*(1+AJ50)</f>
        <v>28522.28085013384</v>
      </c>
      <c r="AK49" s="104">
        <f>AF49*(1+AK50)</f>
        <v>35566.850978354632</v>
      </c>
      <c r="AL49" s="105">
        <f>SUM(AH49:AK49)</f>
        <v>148909.72084465652</v>
      </c>
    </row>
    <row r="50" spans="2:38" s="113" customFormat="1" outlineLevel="1" x14ac:dyDescent="0.3">
      <c r="B50" s="377" t="s">
        <v>300</v>
      </c>
      <c r="C50" s="378"/>
      <c r="D50" s="111"/>
      <c r="E50" s="111"/>
      <c r="F50" s="111"/>
      <c r="G50" s="111"/>
      <c r="H50" s="112"/>
      <c r="I50" s="111">
        <f>I49/D49-1</f>
        <v>0.13161100449477581</v>
      </c>
      <c r="J50" s="111">
        <f>J49/E49-1</f>
        <v>0.14334813637206567</v>
      </c>
      <c r="K50" s="111">
        <f>K49/F49-1</f>
        <v>0.20416894976609212</v>
      </c>
      <c r="L50" s="111">
        <f>L49/G49-1</f>
        <v>0.28965600097235589</v>
      </c>
      <c r="M50" s="112">
        <f>M49/H49-1</f>
        <v>0.17928323598615603</v>
      </c>
      <c r="N50" s="111">
        <f>N49/I49-1</f>
        <v>-0.14928646242471855</v>
      </c>
      <c r="O50" s="413">
        <f>O49/J49-1</f>
        <v>-0.1732740488298411</v>
      </c>
      <c r="P50" s="114">
        <f>AVERAGE(O50,N50,L50,K50)-13.7292611721443%</f>
        <v>-9.4476501850470906E-2</v>
      </c>
      <c r="Q50" s="114">
        <f>AVERAGE(P50,O50,N50,L50)-8.62393622255314%</f>
        <v>-0.11808461525870008</v>
      </c>
      <c r="R50" s="112">
        <f>R49/M49-1</f>
        <v>-0.13799926339919766</v>
      </c>
      <c r="S50" s="114">
        <f>AVERAGE(Q50,P50,O50,N50)+8.82658476048556%</f>
        <v>-4.551455948607705E-2</v>
      </c>
      <c r="T50" s="114">
        <f>AVERAGE(S50,Q50,P50,O50)+10.0822103390121%</f>
        <v>-7.0153279661512857E-3</v>
      </c>
      <c r="U50" s="114">
        <f>AVERAGE(T50,S50,Q50,P50)+6.5876773198604%</f>
        <v>-3.9597794174583978E-4</v>
      </c>
      <c r="V50" s="114">
        <f>AVERAGE(U50,T50,S50,Q50)+6.5876773198604%</f>
        <v>2.3124153035435427E-2</v>
      </c>
      <c r="W50" s="112">
        <f>W49/R49-1</f>
        <v>-1.2979149593690953E-2</v>
      </c>
      <c r="X50" s="114">
        <f>AVERAGE(V50,U50,T50,S50)+2.29075864222946%</f>
        <v>1.5457158332659916E-2</v>
      </c>
      <c r="Y50" s="114">
        <f>AVERAGE(X50,V50,U50,T50)+2.29075864222946%</f>
        <v>3.0700087787344156E-2</v>
      </c>
      <c r="Z50" s="114">
        <f>AVERAGE(Y50,X50,V50,U50)+2.29075864222946%</f>
        <v>4.0128941725718015E-2</v>
      </c>
      <c r="AA50" s="114">
        <f>AVERAGE(Z50,Y50,X50,V50)+2.29075864222946%</f>
        <v>5.0260171642583978E-2</v>
      </c>
      <c r="AB50" s="112">
        <f>AB49/W49-1</f>
        <v>3.1725973527000129E-2</v>
      </c>
      <c r="AC50" s="114">
        <f>AVERAGE(AA50,Z50,Y50,X50)-1.66562130567027%</f>
        <v>1.7480376815373816E-2</v>
      </c>
      <c r="AD50" s="114">
        <f>AVERAGE(AC50,AA50,Z50,Y50)-1.66562130567027%</f>
        <v>1.7986181436052288E-2</v>
      </c>
      <c r="AE50" s="114">
        <f>AVERAGE(AD50,AC50,AA50,Z50)-1.66562130567027%</f>
        <v>1.4807704848229325E-2</v>
      </c>
      <c r="AF50" s="114">
        <f>AVERAGE(AE50,AD50,AC50,AA50)-1.66562130567027%</f>
        <v>8.4773956288571525E-3</v>
      </c>
      <c r="AG50" s="112">
        <f>AG49/AB49-1</f>
        <v>1.4912555481587653E-2</v>
      </c>
      <c r="AH50" s="114">
        <f>AVERAGE(AF50,AE50,AD50,AC50)</f>
        <v>1.4687914682128145E-2</v>
      </c>
      <c r="AI50" s="114">
        <f>AVERAGE(AH50,AF50,AE50,AD50)</f>
        <v>1.3989799148816729E-2</v>
      </c>
      <c r="AJ50" s="114">
        <f>AVERAGE(AI50,AH50,AF50,AE50)</f>
        <v>1.2990703577007838E-2</v>
      </c>
      <c r="AK50" s="114">
        <f>AVERAGE(AJ50,AI50,AH50,AF50)</f>
        <v>1.2536453259202466E-2</v>
      </c>
      <c r="AL50" s="112">
        <f>AL49/AG49-1</f>
        <v>1.3694397000574732E-2</v>
      </c>
    </row>
    <row r="51" spans="2:38" outlineLevel="1" x14ac:dyDescent="0.3">
      <c r="B51" s="261" t="s">
        <v>310</v>
      </c>
      <c r="C51" s="73"/>
      <c r="D51" s="119">
        <f>0.7%*54378</f>
        <v>380.64599999999996</v>
      </c>
      <c r="E51" s="119">
        <f>1.2%*33249</f>
        <v>398.988</v>
      </c>
      <c r="F51" s="119">
        <f>1.5%*24846</f>
        <v>372.69</v>
      </c>
      <c r="G51" s="119">
        <f>1.2%*28846</f>
        <v>346.15199999999999</v>
      </c>
      <c r="H51" s="262">
        <f>SUM(D51:G51)</f>
        <v>1498.4760000000001</v>
      </c>
      <c r="I51" s="17">
        <f>61576-61104</f>
        <v>472</v>
      </c>
      <c r="J51" s="119">
        <f>38032-37559</f>
        <v>473</v>
      </c>
      <c r="K51" s="119">
        <f>29906-29470</f>
        <v>436</v>
      </c>
      <c r="L51" s="119">
        <f>37185-36755</f>
        <v>430</v>
      </c>
      <c r="M51" s="262">
        <f>SUM(I51:L51)</f>
        <v>1811</v>
      </c>
      <c r="N51" s="104"/>
      <c r="O51" s="104"/>
      <c r="P51" s="438"/>
      <c r="Q51" s="438"/>
      <c r="R51" s="439"/>
      <c r="S51" s="438"/>
      <c r="T51" s="438"/>
      <c r="U51" s="438"/>
      <c r="V51" s="438"/>
      <c r="W51" s="439"/>
      <c r="X51" s="438"/>
      <c r="Y51" s="438"/>
      <c r="Z51" s="438"/>
      <c r="AA51" s="438"/>
      <c r="AB51" s="439"/>
      <c r="AC51" s="438"/>
      <c r="AD51" s="438"/>
      <c r="AE51" s="438"/>
      <c r="AF51" s="438"/>
      <c r="AG51" s="439"/>
      <c r="AH51" s="438"/>
      <c r="AI51" s="438"/>
      <c r="AJ51" s="438"/>
      <c r="AK51" s="438"/>
      <c r="AL51" s="439"/>
    </row>
    <row r="52" spans="2:38" ht="16.2" x14ac:dyDescent="0.45">
      <c r="B52" s="363" t="s">
        <v>149</v>
      </c>
      <c r="C52" s="364"/>
      <c r="D52" s="49" t="s">
        <v>163</v>
      </c>
      <c r="E52" s="49" t="s">
        <v>196</v>
      </c>
      <c r="F52" s="49" t="s">
        <v>214</v>
      </c>
      <c r="G52" s="10" t="s">
        <v>216</v>
      </c>
      <c r="H52" s="267" t="s">
        <v>217</v>
      </c>
      <c r="I52" s="10" t="s">
        <v>218</v>
      </c>
      <c r="J52" s="10" t="s">
        <v>219</v>
      </c>
      <c r="K52" s="10" t="s">
        <v>220</v>
      </c>
      <c r="L52" s="10" t="s">
        <v>221</v>
      </c>
      <c r="M52" s="267" t="s">
        <v>222</v>
      </c>
      <c r="N52" s="10" t="s">
        <v>223</v>
      </c>
      <c r="O52" s="10" t="s">
        <v>383</v>
      </c>
      <c r="P52" s="50" t="s">
        <v>46</v>
      </c>
      <c r="Q52" s="50" t="s">
        <v>47</v>
      </c>
      <c r="R52" s="268" t="s">
        <v>128</v>
      </c>
      <c r="S52" s="50" t="s">
        <v>135</v>
      </c>
      <c r="T52" s="50" t="s">
        <v>140</v>
      </c>
      <c r="U52" s="50" t="s">
        <v>141</v>
      </c>
      <c r="V52" s="50" t="s">
        <v>142</v>
      </c>
      <c r="W52" s="268" t="s">
        <v>143</v>
      </c>
      <c r="X52" s="50" t="s">
        <v>158</v>
      </c>
      <c r="Y52" s="50" t="s">
        <v>159</v>
      </c>
      <c r="Z52" s="50" t="s">
        <v>160</v>
      </c>
      <c r="AA52" s="50" t="s">
        <v>161</v>
      </c>
      <c r="AB52" s="268" t="s">
        <v>162</v>
      </c>
      <c r="AC52" s="50" t="s">
        <v>281</v>
      </c>
      <c r="AD52" s="50" t="s">
        <v>282</v>
      </c>
      <c r="AE52" s="50" t="s">
        <v>283</v>
      </c>
      <c r="AF52" s="50" t="s">
        <v>284</v>
      </c>
      <c r="AG52" s="268" t="s">
        <v>285</v>
      </c>
      <c r="AH52" s="50" t="s">
        <v>290</v>
      </c>
      <c r="AI52" s="50" t="s">
        <v>291</v>
      </c>
      <c r="AJ52" s="50" t="s">
        <v>292</v>
      </c>
      <c r="AK52" s="50" t="s">
        <v>293</v>
      </c>
      <c r="AL52" s="268" t="s">
        <v>294</v>
      </c>
    </row>
    <row r="53" spans="2:38" outlineLevel="1" x14ac:dyDescent="0.3">
      <c r="B53" s="370" t="s">
        <v>296</v>
      </c>
      <c r="C53" s="356"/>
      <c r="D53" s="119">
        <f>5533-D55</f>
        <v>5483.2030000000004</v>
      </c>
      <c r="E53" s="119">
        <f>3889-E55</f>
        <v>3838.4430000000002</v>
      </c>
      <c r="F53" s="119">
        <f>4969-F55</f>
        <v>4909.3720000000003</v>
      </c>
      <c r="G53" s="119">
        <f>4831-G55</f>
        <v>4768.1970000000001</v>
      </c>
      <c r="H53" s="262">
        <f>SUM(D53:G53)</f>
        <v>18999.215</v>
      </c>
      <c r="I53" s="104">
        <v>5755</v>
      </c>
      <c r="J53" s="104">
        <f>4113-J55</f>
        <v>4008</v>
      </c>
      <c r="K53" s="104">
        <f>4741-K55</f>
        <v>4634</v>
      </c>
      <c r="L53" s="104">
        <f>4089-L55</f>
        <v>3983</v>
      </c>
      <c r="M53" s="262">
        <f>SUM(I53:L53)</f>
        <v>18380</v>
      </c>
      <c r="N53" s="104">
        <v>6729</v>
      </c>
      <c r="O53" s="104">
        <v>4872</v>
      </c>
      <c r="P53" s="104">
        <f>K53*(1+P54)</f>
        <v>5055.7497681435261</v>
      </c>
      <c r="Q53" s="104">
        <f>L53*(1+Q54)</f>
        <v>4292.8288645104803</v>
      </c>
      <c r="R53" s="105">
        <f>SUM(N53:Q53)</f>
        <v>20949.578632654007</v>
      </c>
      <c r="S53" s="104">
        <f>N53*(1+S54)</f>
        <v>7660.3152113723527</v>
      </c>
      <c r="T53" s="104">
        <f>O53*(1+T54)</f>
        <v>5508.736202030158</v>
      </c>
      <c r="U53" s="104">
        <f>P53*(1+U54)</f>
        <v>5609.2229704440388</v>
      </c>
      <c r="V53" s="104">
        <f>Q53*(1+V54)</f>
        <v>4782.5955815451262</v>
      </c>
      <c r="W53" s="105">
        <f>SUM(S53:V53)</f>
        <v>23560.869965391677</v>
      </c>
      <c r="X53" s="104">
        <f>S53*(1+X54)</f>
        <v>7990.9721563007815</v>
      </c>
      <c r="Y53" s="104">
        <f>T53*(1+Y54)</f>
        <v>5615.3597496300763</v>
      </c>
      <c r="Z53" s="104">
        <f>U53*(1+Z54)</f>
        <v>5729.9387730938479</v>
      </c>
      <c r="AA53" s="104">
        <f>V53*(1+AA54)</f>
        <v>4923.8384652251225</v>
      </c>
      <c r="AB53" s="105">
        <f>SUM(X53:AA53)</f>
        <v>24260.109144249829</v>
      </c>
      <c r="AC53" s="104">
        <f>X53*(1+AC54)</f>
        <v>8217.863655198069</v>
      </c>
      <c r="AD53" s="104">
        <f>Y53*(1+AD54)</f>
        <v>5754.0625994186548</v>
      </c>
      <c r="AE53" s="104">
        <f>Z53*(1+AE54)</f>
        <v>5879.1288005294919</v>
      </c>
      <c r="AF53" s="104">
        <f>AA53*(1+AF54)</f>
        <v>5057.5991062947387</v>
      </c>
      <c r="AG53" s="105">
        <f>SUM(AC53:AF53)</f>
        <v>24908.654161440954</v>
      </c>
      <c r="AH53" s="104">
        <f>AC53*(1+AH54)</f>
        <v>8436.2471278478242</v>
      </c>
      <c r="AI53" s="104">
        <f>AD53*(1+AI54)</f>
        <v>5904.3554289951217</v>
      </c>
      <c r="AJ53" s="104">
        <f>AE53*(1+AJ54)</f>
        <v>6034.77363268713</v>
      </c>
      <c r="AK53" s="104">
        <f>AF53*(1+AK54)</f>
        <v>5192.0474482134041</v>
      </c>
      <c r="AL53" s="105">
        <f>SUM(AH53:AK53)</f>
        <v>25567.423637743483</v>
      </c>
    </row>
    <row r="54" spans="2:38" s="113" customFormat="1" outlineLevel="1" x14ac:dyDescent="0.3">
      <c r="B54" s="377" t="s">
        <v>301</v>
      </c>
      <c r="C54" s="378"/>
      <c r="D54" s="111"/>
      <c r="E54" s="111"/>
      <c r="F54" s="111"/>
      <c r="G54" s="111"/>
      <c r="H54" s="112"/>
      <c r="I54" s="111">
        <f>I53/D53-1</f>
        <v>4.9569020151178034E-2</v>
      </c>
      <c r="J54" s="111">
        <f>J53/E53-1</f>
        <v>4.4173379675040092E-2</v>
      </c>
      <c r="K54" s="111">
        <f>K53/F53-1</f>
        <v>-5.6091084562343241E-2</v>
      </c>
      <c r="L54" s="111">
        <f>L53/G53-1</f>
        <v>-0.1646737750139099</v>
      </c>
      <c r="M54" s="112"/>
      <c r="N54" s="111">
        <f>N53/I53-1</f>
        <v>0.16924413553431794</v>
      </c>
      <c r="O54" s="413">
        <f>O53/J53-1</f>
        <v>0.21556886227544902</v>
      </c>
      <c r="P54" s="114">
        <f>AVERAGE(O54,N54,L54,K54)+5%</f>
        <v>9.101203455837846E-2</v>
      </c>
      <c r="Q54" s="114">
        <f>AVERAGE(P54,O54,N54,L54)</f>
        <v>7.7787814338558886E-2</v>
      </c>
      <c r="R54" s="112"/>
      <c r="S54" s="114">
        <f>AVERAGE(Q54,P54,O54,N54)</f>
        <v>0.13840321167667607</v>
      </c>
      <c r="T54" s="114">
        <f>AVERAGE(S54,Q54,P54,O54)</f>
        <v>0.13069298071226559</v>
      </c>
      <c r="U54" s="114">
        <f>AVERAGE(T54,S54,Q54,P54)</f>
        <v>0.10947401032146975</v>
      </c>
      <c r="V54" s="114">
        <f>AVERAGE(U54,T54,S54,Q54)</f>
        <v>0.11408950426224257</v>
      </c>
      <c r="W54" s="112"/>
      <c r="X54" s="114">
        <f>AVERAGE(V54,U54,T54,S54)-8%</f>
        <v>4.3164926743163495E-2</v>
      </c>
      <c r="Y54" s="114">
        <f>AVERAGE(X54,V54,U54,T54)-8%</f>
        <v>1.9355355509785344E-2</v>
      </c>
      <c r="Z54" s="114">
        <f>AVERAGE(Y54,X54,V54,U54)-5%</f>
        <v>2.1520949209165294E-2</v>
      </c>
      <c r="AA54" s="114">
        <f>AVERAGE(Z54,Y54,X54,V54)-2%</f>
        <v>2.9532683931089172E-2</v>
      </c>
      <c r="AB54" s="112"/>
      <c r="AC54" s="114">
        <f>AVERAGE(AA54,Z54,Y54,X54)</f>
        <v>2.8393478848300825E-2</v>
      </c>
      <c r="AD54" s="114">
        <f>AVERAGE(AC54,AA54,Z54,Y54)</f>
        <v>2.4700616874585159E-2</v>
      </c>
      <c r="AE54" s="114">
        <f>AVERAGE(AD54,AC54,AA54,Z54)</f>
        <v>2.6036932215785111E-2</v>
      </c>
      <c r="AF54" s="114">
        <f>AVERAGE(AE54,AD54,AC54,AA54)</f>
        <v>2.7165927967440068E-2</v>
      </c>
      <c r="AG54" s="112"/>
      <c r="AH54" s="114">
        <f>AVERAGE(AF54,AE54,AD54,AC54)</f>
        <v>2.6574238976527789E-2</v>
      </c>
      <c r="AI54" s="114">
        <f>AVERAGE(AH54,AF54,AE54,AD54)</f>
        <v>2.6119429008584532E-2</v>
      </c>
      <c r="AJ54" s="114">
        <f>AVERAGE(AI54,AH54,AF54,AE54)</f>
        <v>2.6474132042084375E-2</v>
      </c>
      <c r="AK54" s="114">
        <f>AVERAGE(AJ54,AI54,AH54,AF54)</f>
        <v>2.6583431998659191E-2</v>
      </c>
      <c r="AL54" s="112"/>
    </row>
    <row r="55" spans="2:38" outlineLevel="1" x14ac:dyDescent="0.3">
      <c r="B55" s="261" t="s">
        <v>311</v>
      </c>
      <c r="C55" s="73"/>
      <c r="D55" s="119">
        <f>0.9%*5533</f>
        <v>49.797000000000004</v>
      </c>
      <c r="E55" s="119">
        <f>1.3%*3889</f>
        <v>50.557000000000002</v>
      </c>
      <c r="F55" s="119">
        <f>1.2%*4969</f>
        <v>59.628</v>
      </c>
      <c r="G55" s="119">
        <f>1.3%*4831</f>
        <v>62.803000000000004</v>
      </c>
      <c r="H55" s="262">
        <f>SUM(D55:G55)</f>
        <v>222.78500000000003</v>
      </c>
      <c r="I55" s="119">
        <f>5862-5755</f>
        <v>107</v>
      </c>
      <c r="J55" s="119">
        <f>4113-4008</f>
        <v>105</v>
      </c>
      <c r="K55" s="119">
        <f>4741-4634</f>
        <v>107</v>
      </c>
      <c r="L55" s="119">
        <f>4089-3983</f>
        <v>106</v>
      </c>
      <c r="M55" s="262">
        <f>SUM(I55:L55)</f>
        <v>425</v>
      </c>
      <c r="N55" s="104"/>
      <c r="O55" s="104"/>
      <c r="P55" s="104"/>
      <c r="Q55" s="104"/>
      <c r="R55" s="105"/>
      <c r="S55" s="104"/>
      <c r="T55" s="104"/>
      <c r="U55" s="104"/>
      <c r="V55" s="104"/>
      <c r="W55" s="105"/>
      <c r="X55" s="104"/>
      <c r="Y55" s="104"/>
      <c r="Z55" s="104"/>
      <c r="AA55" s="104"/>
      <c r="AB55" s="105"/>
      <c r="AC55" s="104"/>
      <c r="AD55" s="104"/>
      <c r="AE55" s="104"/>
      <c r="AF55" s="104"/>
      <c r="AG55" s="105"/>
      <c r="AH55" s="104"/>
      <c r="AI55" s="104"/>
      <c r="AJ55" s="104"/>
      <c r="AK55" s="104"/>
      <c r="AL55" s="105"/>
    </row>
    <row r="56" spans="2:38" ht="16.2" x14ac:dyDescent="0.45">
      <c r="B56" s="363" t="s">
        <v>213</v>
      </c>
      <c r="C56" s="364"/>
      <c r="D56" s="49" t="s">
        <v>163</v>
      </c>
      <c r="E56" s="49" t="s">
        <v>196</v>
      </c>
      <c r="F56" s="49" t="s">
        <v>214</v>
      </c>
      <c r="G56" s="10" t="s">
        <v>216</v>
      </c>
      <c r="H56" s="267" t="s">
        <v>217</v>
      </c>
      <c r="I56" s="10" t="s">
        <v>218</v>
      </c>
      <c r="J56" s="10" t="s">
        <v>219</v>
      </c>
      <c r="K56" s="10" t="s">
        <v>220</v>
      </c>
      <c r="L56" s="10" t="s">
        <v>221</v>
      </c>
      <c r="M56" s="267" t="s">
        <v>222</v>
      </c>
      <c r="N56" s="10" t="s">
        <v>223</v>
      </c>
      <c r="O56" s="10" t="s">
        <v>383</v>
      </c>
      <c r="P56" s="50" t="s">
        <v>46</v>
      </c>
      <c r="Q56" s="50" t="s">
        <v>47</v>
      </c>
      <c r="R56" s="268" t="s">
        <v>128</v>
      </c>
      <c r="S56" s="50" t="s">
        <v>135</v>
      </c>
      <c r="T56" s="50" t="s">
        <v>140</v>
      </c>
      <c r="U56" s="50" t="s">
        <v>141</v>
      </c>
      <c r="V56" s="50" t="s">
        <v>142</v>
      </c>
      <c r="W56" s="268" t="s">
        <v>143</v>
      </c>
      <c r="X56" s="50" t="s">
        <v>158</v>
      </c>
      <c r="Y56" s="50" t="s">
        <v>159</v>
      </c>
      <c r="Z56" s="50" t="s">
        <v>160</v>
      </c>
      <c r="AA56" s="50" t="s">
        <v>161</v>
      </c>
      <c r="AB56" s="268" t="s">
        <v>162</v>
      </c>
      <c r="AC56" s="50" t="s">
        <v>281</v>
      </c>
      <c r="AD56" s="50" t="s">
        <v>282</v>
      </c>
      <c r="AE56" s="50" t="s">
        <v>283</v>
      </c>
      <c r="AF56" s="50" t="s">
        <v>284</v>
      </c>
      <c r="AG56" s="268" t="s">
        <v>285</v>
      </c>
      <c r="AH56" s="50" t="s">
        <v>290</v>
      </c>
      <c r="AI56" s="50" t="s">
        <v>291</v>
      </c>
      <c r="AJ56" s="50" t="s">
        <v>292</v>
      </c>
      <c r="AK56" s="50" t="s">
        <v>293</v>
      </c>
      <c r="AL56" s="268" t="s">
        <v>294</v>
      </c>
    </row>
    <row r="57" spans="2:38" outlineLevel="1" x14ac:dyDescent="0.3">
      <c r="B57" s="370" t="s">
        <v>295</v>
      </c>
      <c r="C57" s="356"/>
      <c r="D57" s="119">
        <f>7244-D59</f>
        <v>7171.56</v>
      </c>
      <c r="E57" s="119">
        <f>5844-E59</f>
        <v>5773.8720000000003</v>
      </c>
      <c r="F57" s="119">
        <f>5592-F59</f>
        <v>5513.7120000000004</v>
      </c>
      <c r="G57" s="119">
        <f>7170-G59</f>
        <v>7098.3</v>
      </c>
      <c r="H57" s="262">
        <f>SUM(D57:G57)</f>
        <v>25557.444</v>
      </c>
      <c r="I57" s="104">
        <v>6824</v>
      </c>
      <c r="J57" s="104">
        <f>5848-J59</f>
        <v>5776</v>
      </c>
      <c r="K57" s="104">
        <f>5330-K59</f>
        <v>5258</v>
      </c>
      <c r="L57" s="104">
        <f>7411-L59</f>
        <v>7340</v>
      </c>
      <c r="M57" s="262">
        <f>SUM(I57:L57)</f>
        <v>25198</v>
      </c>
      <c r="N57" s="104">
        <v>7416</v>
      </c>
      <c r="O57" s="104">
        <v>5513</v>
      </c>
      <c r="P57" s="104">
        <f>K57*(1+P58)</f>
        <v>5295.9789750425771</v>
      </c>
      <c r="Q57" s="104">
        <f>L57*(1+Q58)</f>
        <v>7491.3744477689124</v>
      </c>
      <c r="R57" s="105">
        <f>SUM(N57:Q57)</f>
        <v>25716.353422811488</v>
      </c>
      <c r="S57" s="104">
        <f>N57*(1+S58)</f>
        <v>7544.0478122478653</v>
      </c>
      <c r="T57" s="104">
        <f>O57*(1+T58)</f>
        <v>5512.4204324366628</v>
      </c>
      <c r="U57" s="104">
        <f>P57*(1+U58)</f>
        <v>5355.5688059154418</v>
      </c>
      <c r="V57" s="104">
        <f>Q57*(1+V58)</f>
        <v>7583.2119953691845</v>
      </c>
      <c r="W57" s="105">
        <f>SUM(S57:V57)</f>
        <v>25995.249045969154</v>
      </c>
      <c r="X57" s="104">
        <f>S57*(1+X58)</f>
        <v>7620.7562643820411</v>
      </c>
      <c r="Y57" s="104">
        <f>T57*(1+Y58)</f>
        <v>5558.6888710719404</v>
      </c>
      <c r="Z57" s="104">
        <f>U57*(1+Z58)</f>
        <v>5411.8994430714647</v>
      </c>
      <c r="AA57" s="104">
        <f>V57*(1+AA58)</f>
        <v>7661.5822405474537</v>
      </c>
      <c r="AB57" s="105">
        <f>SUM(X57:AA57)</f>
        <v>26252.926819072898</v>
      </c>
      <c r="AC57" s="104">
        <f>X57*(1+AC58)</f>
        <v>7695.8481687247331</v>
      </c>
      <c r="AD57" s="104">
        <f>Y57*(1+AD58)</f>
        <v>5613.0249676698659</v>
      </c>
      <c r="AE57" s="104">
        <f>Z57*(1+AE58)</f>
        <v>5466.6698041595155</v>
      </c>
      <c r="AF57" s="104">
        <f>AA57*(1+AF58)</f>
        <v>7738.3582827798964</v>
      </c>
      <c r="AG57" s="105">
        <f>SUM(AC57:AF57)</f>
        <v>26513.901223334011</v>
      </c>
      <c r="AH57" s="104">
        <f>AC57*(1+AH58)</f>
        <v>7772.3638646839336</v>
      </c>
      <c r="AI57" s="104">
        <f>AD57*(1+AI58)</f>
        <v>5668.9569639086785</v>
      </c>
      <c r="AJ57" s="104">
        <f>AE57*(1+AJ58)</f>
        <v>5521.4026686248726</v>
      </c>
      <c r="AK57" s="104">
        <f>AF57*(1+AK58)</f>
        <v>7815.6260993851047</v>
      </c>
      <c r="AL57" s="105">
        <f>SUM(AH57:AK57)</f>
        <v>26778.349596602588</v>
      </c>
    </row>
    <row r="58" spans="2:38" s="113" customFormat="1" outlineLevel="1" x14ac:dyDescent="0.3">
      <c r="B58" s="377" t="s">
        <v>302</v>
      </c>
      <c r="C58" s="378"/>
      <c r="D58" s="111"/>
      <c r="E58" s="111"/>
      <c r="F58" s="111"/>
      <c r="G58" s="111"/>
      <c r="H58" s="112"/>
      <c r="I58" s="111">
        <f>I57/D57-1</f>
        <v>-4.8463653654156169E-2</v>
      </c>
      <c r="J58" s="111">
        <f>J57/E57-1</f>
        <v>3.6855683672931683E-4</v>
      </c>
      <c r="K58" s="111">
        <f>K57/F57-1</f>
        <v>-4.6377467666066097E-2</v>
      </c>
      <c r="L58" s="111">
        <f>L57/G57-1</f>
        <v>3.4050406435343739E-2</v>
      </c>
      <c r="M58" s="112"/>
      <c r="N58" s="111">
        <f>N57/I57-1</f>
        <v>8.6752637749120787E-2</v>
      </c>
      <c r="O58" s="413">
        <f>O57/J57-1</f>
        <v>-4.5533240997229885E-2</v>
      </c>
      <c r="P58" s="114">
        <f>AVERAGE(O58,N58,L58,K58)</f>
        <v>7.223083880292136E-3</v>
      </c>
      <c r="Q58" s="114">
        <f>AVERAGE(P58,O58,N58,L58)</f>
        <v>2.0623221766881694E-2</v>
      </c>
      <c r="R58" s="112"/>
      <c r="S58" s="114">
        <f>AVERAGE(Q58,P58,O58,N58)</f>
        <v>1.7266425599766183E-2</v>
      </c>
      <c r="T58" s="114">
        <f>AVERAGE(S58,Q58,P58,O58)</f>
        <v>-1.0512743757246784E-4</v>
      </c>
      <c r="U58" s="114">
        <f>AVERAGE(T58,S58,Q58,P58)</f>
        <v>1.1251900952341886E-2</v>
      </c>
      <c r="V58" s="114">
        <f>AVERAGE(U58,T58,S58,Q58)</f>
        <v>1.2259105220354324E-2</v>
      </c>
      <c r="W58" s="112"/>
      <c r="X58" s="114">
        <f>AVERAGE(V58,U58,T58,S58)</f>
        <v>1.0168076083722482E-2</v>
      </c>
      <c r="Y58" s="114">
        <f>AVERAGE(X58,V58,U58,T58)</f>
        <v>8.3934887047115558E-3</v>
      </c>
      <c r="Z58" s="114">
        <f>AVERAGE(Y58,X58,V58,U58)</f>
        <v>1.0518142740282562E-2</v>
      </c>
      <c r="AA58" s="114">
        <f>AVERAGE(Z58,Y58,X58,V58)</f>
        <v>1.033470318726773E-2</v>
      </c>
      <c r="AB58" s="112"/>
      <c r="AC58" s="114">
        <f>AVERAGE(AA58,Z58,Y58,X58)</f>
        <v>9.8536026789960811E-3</v>
      </c>
      <c r="AD58" s="114">
        <f>AVERAGE(AC58,AA58,Z58,Y58)</f>
        <v>9.7749843278144826E-3</v>
      </c>
      <c r="AE58" s="114">
        <f>AVERAGE(AD58,AC58,AA58,Z58)</f>
        <v>1.0120358233590213E-2</v>
      </c>
      <c r="AF58" s="114">
        <f>AVERAGE(AE58,AD58,AC58,AA58)</f>
        <v>1.0020912106917128E-2</v>
      </c>
      <c r="AG58" s="112"/>
      <c r="AH58" s="114">
        <f>AVERAGE(AF58,AE58,AD58,AC58)</f>
        <v>9.9424643368294756E-3</v>
      </c>
      <c r="AI58" s="114">
        <f>AVERAGE(AH58,AF58,AE58,AD58)</f>
        <v>9.9646797512878242E-3</v>
      </c>
      <c r="AJ58" s="114">
        <f>AVERAGE(AI58,AH58,AF58,AE58)</f>
        <v>1.001210360715616E-2</v>
      </c>
      <c r="AK58" s="114">
        <f>AVERAGE(AJ58,AI58,AH58,AF58)</f>
        <v>9.9850399505476469E-3</v>
      </c>
      <c r="AL58" s="112"/>
    </row>
    <row r="59" spans="2:38" outlineLevel="1" x14ac:dyDescent="0.3">
      <c r="B59" s="261" t="s">
        <v>313</v>
      </c>
      <c r="C59" s="73"/>
      <c r="D59" s="119">
        <f>1%*7244</f>
        <v>72.44</v>
      </c>
      <c r="E59" s="119">
        <f>1.2%*5844</f>
        <v>70.128</v>
      </c>
      <c r="F59" s="119">
        <f>1.4%*5592</f>
        <v>78.287999999999997</v>
      </c>
      <c r="G59" s="119">
        <f>1%*7170</f>
        <v>71.7</v>
      </c>
      <c r="H59" s="262">
        <f>SUM(D59:G59)</f>
        <v>292.55599999999998</v>
      </c>
      <c r="I59" s="119">
        <f>6895-6824</f>
        <v>71</v>
      </c>
      <c r="J59" s="119">
        <f>5848-5776</f>
        <v>72</v>
      </c>
      <c r="K59" s="119">
        <f>5330-5258</f>
        <v>72</v>
      </c>
      <c r="L59" s="119">
        <f>7411-7340</f>
        <v>71</v>
      </c>
      <c r="M59" s="262">
        <f>SUM(I59:L59)</f>
        <v>286</v>
      </c>
      <c r="N59" s="104"/>
      <c r="O59" s="104"/>
      <c r="P59" s="104"/>
      <c r="Q59" s="104"/>
      <c r="R59" s="105"/>
      <c r="S59" s="104"/>
      <c r="T59" s="104"/>
      <c r="U59" s="104"/>
      <c r="V59" s="104"/>
      <c r="W59" s="105"/>
      <c r="X59" s="104"/>
      <c r="Y59" s="104"/>
      <c r="Z59" s="104"/>
      <c r="AA59" s="104"/>
      <c r="AB59" s="105"/>
      <c r="AC59" s="104"/>
      <c r="AD59" s="104"/>
      <c r="AE59" s="104"/>
      <c r="AF59" s="104"/>
      <c r="AG59" s="105"/>
      <c r="AH59" s="104"/>
      <c r="AI59" s="104"/>
      <c r="AJ59" s="104"/>
      <c r="AK59" s="104"/>
      <c r="AL59" s="105"/>
    </row>
    <row r="60" spans="2:38" ht="16.2" x14ac:dyDescent="0.45">
      <c r="B60" s="363" t="s">
        <v>297</v>
      </c>
      <c r="C60" s="364"/>
      <c r="D60" s="49" t="s">
        <v>163</v>
      </c>
      <c r="E60" s="49" t="s">
        <v>196</v>
      </c>
      <c r="F60" s="49" t="s">
        <v>214</v>
      </c>
      <c r="G60" s="10" t="s">
        <v>216</v>
      </c>
      <c r="H60" s="267" t="s">
        <v>217</v>
      </c>
      <c r="I60" s="10" t="s">
        <v>218</v>
      </c>
      <c r="J60" s="10" t="s">
        <v>219</v>
      </c>
      <c r="K60" s="10" t="s">
        <v>220</v>
      </c>
      <c r="L60" s="10" t="s">
        <v>221</v>
      </c>
      <c r="M60" s="267" t="s">
        <v>222</v>
      </c>
      <c r="N60" s="10" t="s">
        <v>223</v>
      </c>
      <c r="O60" s="10" t="s">
        <v>383</v>
      </c>
      <c r="P60" s="50" t="s">
        <v>46</v>
      </c>
      <c r="Q60" s="50" t="s">
        <v>47</v>
      </c>
      <c r="R60" s="268" t="s">
        <v>128</v>
      </c>
      <c r="S60" s="50" t="s">
        <v>135</v>
      </c>
      <c r="T60" s="50" t="s">
        <v>140</v>
      </c>
      <c r="U60" s="50" t="s">
        <v>141</v>
      </c>
      <c r="V60" s="50" t="s">
        <v>142</v>
      </c>
      <c r="W60" s="268" t="s">
        <v>143</v>
      </c>
      <c r="X60" s="50" t="s">
        <v>158</v>
      </c>
      <c r="Y60" s="50" t="s">
        <v>159</v>
      </c>
      <c r="Z60" s="50" t="s">
        <v>160</v>
      </c>
      <c r="AA60" s="50" t="s">
        <v>161</v>
      </c>
      <c r="AB60" s="268" t="s">
        <v>162</v>
      </c>
      <c r="AC60" s="50" t="s">
        <v>281</v>
      </c>
      <c r="AD60" s="50" t="s">
        <v>282</v>
      </c>
      <c r="AE60" s="50" t="s">
        <v>283</v>
      </c>
      <c r="AF60" s="50" t="s">
        <v>284</v>
      </c>
      <c r="AG60" s="268" t="s">
        <v>285</v>
      </c>
      <c r="AH60" s="50" t="s">
        <v>290</v>
      </c>
      <c r="AI60" s="50" t="s">
        <v>291</v>
      </c>
      <c r="AJ60" s="50" t="s">
        <v>292</v>
      </c>
      <c r="AK60" s="50" t="s">
        <v>293</v>
      </c>
      <c r="AL60" s="268" t="s">
        <v>294</v>
      </c>
    </row>
    <row r="61" spans="2:38" outlineLevel="1" x14ac:dyDescent="0.3">
      <c r="B61" s="370" t="s">
        <v>298</v>
      </c>
      <c r="C61" s="356"/>
      <c r="D61" s="119">
        <f>4024-D63</f>
        <v>4019.9760000000001</v>
      </c>
      <c r="E61" s="119">
        <f>2873-E63</f>
        <v>2864.3809999999999</v>
      </c>
      <c r="F61" s="119">
        <f>2735-F63</f>
        <v>2729.53</v>
      </c>
      <c r="G61" s="119">
        <f>3231-G63</f>
        <v>3221.3069999999998</v>
      </c>
      <c r="H61" s="262">
        <f>SUM(D61:G61)</f>
        <v>12835.194</v>
      </c>
      <c r="I61" s="104">
        <v>5481</v>
      </c>
      <c r="J61" s="104">
        <f>3954-J63</f>
        <v>3944</v>
      </c>
      <c r="K61" s="104">
        <f>3740-K63</f>
        <v>3733</v>
      </c>
      <c r="L61" s="104">
        <f>4234-L63</f>
        <v>4223</v>
      </c>
      <c r="M61" s="262">
        <f>SUM(I61:L61)</f>
        <v>17381</v>
      </c>
      <c r="N61" s="104">
        <v>7308</v>
      </c>
      <c r="O61" s="104">
        <v>5129</v>
      </c>
      <c r="P61" s="104">
        <f>K61*(1+P62)</f>
        <v>4771.1314423241438</v>
      </c>
      <c r="Q61" s="104">
        <f>L61*(1+Q62)</f>
        <v>5302.8675943314784</v>
      </c>
      <c r="R61" s="105">
        <f>SUM(N61:Q61)</f>
        <v>22510.999036655619</v>
      </c>
      <c r="S61" s="104">
        <f>N61*(1+S62)</f>
        <v>9075.7987773676123</v>
      </c>
      <c r="T61" s="104">
        <f>O61*(1+T62)</f>
        <v>6252.4590738092638</v>
      </c>
      <c r="U61" s="104">
        <f>P61*(1+U62)</f>
        <v>5719.0913876697368</v>
      </c>
      <c r="V61" s="104">
        <f>Q61*(1+V62)</f>
        <v>6251.2023567852411</v>
      </c>
      <c r="W61" s="105">
        <f>SUM(S61:V61)</f>
        <v>27298.551595631856</v>
      </c>
      <c r="X61" s="104">
        <f>S61*(1+X62)</f>
        <v>10524.433828600195</v>
      </c>
      <c r="Y61" s="104">
        <f>T61*(1+Y62)</f>
        <v>7121.8270348012138</v>
      </c>
      <c r="Z61" s="104">
        <f>U61*(1+Z62)</f>
        <v>6399.9210005103178</v>
      </c>
      <c r="AA61" s="104">
        <f>V61*(1+AA62)</f>
        <v>6870.9132992660916</v>
      </c>
      <c r="AB61" s="105">
        <f>SUM(X61:AA61)</f>
        <v>30917.095163177819</v>
      </c>
      <c r="AC61" s="104">
        <f>X61*(1+AC62)</f>
        <v>11358.071784781283</v>
      </c>
      <c r="AD61" s="104">
        <f>Y61*(1+AD62)</f>
        <v>7542.7869779705561</v>
      </c>
      <c r="AE61" s="104">
        <f>Z61*(1+AE62)</f>
        <v>6650.3146027516714</v>
      </c>
      <c r="AF61" s="104">
        <f>AA61*(1+AF62)</f>
        <v>7002.4523828318588</v>
      </c>
      <c r="AG61" s="105">
        <f>SUM(AC61:AF61)</f>
        <v>32553.625748335369</v>
      </c>
      <c r="AH61" s="104">
        <f>AC61*(1+AH62)</f>
        <v>11802.703404870112</v>
      </c>
      <c r="AI61" s="104">
        <f>AD61*(1+AI62)</f>
        <v>7762.5158919714568</v>
      </c>
      <c r="AJ61" s="104">
        <f>AE61*(1+AJ62)</f>
        <v>6794.2050842083163</v>
      </c>
      <c r="AK61" s="104">
        <f>AF61*(1+AK62)</f>
        <v>7123.3475010401498</v>
      </c>
      <c r="AL61" s="105">
        <f>SUM(AH61:AK61)</f>
        <v>33482.771882090034</v>
      </c>
    </row>
    <row r="62" spans="2:38" s="85" customFormat="1" outlineLevel="1" x14ac:dyDescent="0.3">
      <c r="B62" s="377" t="s">
        <v>303</v>
      </c>
      <c r="C62" s="378"/>
      <c r="D62" s="111"/>
      <c r="E62" s="111"/>
      <c r="F62" s="111"/>
      <c r="G62" s="111"/>
      <c r="H62" s="112"/>
      <c r="I62" s="111">
        <f>I61/D61-1</f>
        <v>0.36344097576701939</v>
      </c>
      <c r="J62" s="111">
        <f>J61/E61-1</f>
        <v>0.3769118004902281</v>
      </c>
      <c r="K62" s="111">
        <f>K61/F61-1</f>
        <v>0.36763472099592232</v>
      </c>
      <c r="L62" s="111">
        <f>L61/G61-1</f>
        <v>0.31095856433429048</v>
      </c>
      <c r="M62" s="112"/>
      <c r="N62" s="111">
        <f>N61/I61-1</f>
        <v>0.33333333333333326</v>
      </c>
      <c r="O62" s="413">
        <f>O61/J61-1</f>
        <v>0.30045638945233266</v>
      </c>
      <c r="P62" s="114">
        <f>AVERAGE(O62,N62,L62,K62)-5%</f>
        <v>0.27809575202896969</v>
      </c>
      <c r="Q62" s="114">
        <f>AVERAGE(P62,O62,N62,L62)-5%</f>
        <v>0.25571100978723155</v>
      </c>
      <c r="R62" s="112"/>
      <c r="S62" s="114">
        <f>AVERAGE(Q62,P62,O62,N62)-5%</f>
        <v>0.2418991211504668</v>
      </c>
      <c r="T62" s="114">
        <f>AVERAGE(S62,Q62,P62,O62)-5%</f>
        <v>0.2190405681047502</v>
      </c>
      <c r="U62" s="114">
        <f>AVERAGE(T62,S62,Q62,P62)-5%</f>
        <v>0.1986866127678546</v>
      </c>
      <c r="V62" s="114">
        <f>AVERAGE(U62,T62,S62,Q62)-5%</f>
        <v>0.17883432795257581</v>
      </c>
      <c r="W62" s="112"/>
      <c r="X62" s="114">
        <f>AVERAGE(V62,U62,T62,S62)-5%</f>
        <v>0.15961515749391186</v>
      </c>
      <c r="Y62" s="114">
        <f>AVERAGE(X62,V62,U62,T62)-5%</f>
        <v>0.13904416657977314</v>
      </c>
      <c r="Z62" s="114">
        <f>AVERAGE(Y62,X62,V62,U62)-5%</f>
        <v>0.11904506619852885</v>
      </c>
      <c r="AA62" s="114">
        <f>AVERAGE(Z62,Y62,X62,V62)-5%</f>
        <v>9.9134679556197411E-2</v>
      </c>
      <c r="AB62" s="112"/>
      <c r="AC62" s="114">
        <f>AVERAGE(AA62,Z62,Y62,X62)-5%</f>
        <v>7.9209767457102828E-2</v>
      </c>
      <c r="AD62" s="114">
        <f>AVERAGE(AC62,AA62,Z62,Y62)-5%</f>
        <v>5.9108419947900559E-2</v>
      </c>
      <c r="AE62" s="114">
        <f>AVERAGE(AD62,AC62,AA62,Z62)-5%</f>
        <v>3.9124483289932413E-2</v>
      </c>
      <c r="AF62" s="114">
        <f>AVERAGE(AE62,AD62,AC62,AA62)-5%</f>
        <v>1.9144337562783303E-2</v>
      </c>
      <c r="AG62" s="112"/>
      <c r="AH62" s="114">
        <f>AVERAGE(AF62,AE62,AD62,AC62)-1%</f>
        <v>3.9146752064429774E-2</v>
      </c>
      <c r="AI62" s="114">
        <f>AVERAGE(AH62,AF62,AE62,AD62)-1%</f>
        <v>2.9130998216261507E-2</v>
      </c>
      <c r="AJ62" s="114">
        <f>AVERAGE(AI62,AH62,AF62,AE62)-1%</f>
        <v>2.1636642783351749E-2</v>
      </c>
      <c r="AK62" s="114">
        <f>AVERAGE(AJ62,AI62,AH62,AF62)-1%</f>
        <v>1.7264682656706581E-2</v>
      </c>
      <c r="AL62" s="112"/>
    </row>
    <row r="63" spans="2:38" outlineLevel="1" x14ac:dyDescent="0.3">
      <c r="B63" s="261" t="s">
        <v>314</v>
      </c>
      <c r="C63" s="73"/>
      <c r="D63" s="119">
        <f>0.1%*4024</f>
        <v>4.024</v>
      </c>
      <c r="E63" s="119">
        <f>0.3%*2873</f>
        <v>8.6189999999999998</v>
      </c>
      <c r="F63" s="119">
        <f>0.2%*2735</f>
        <v>5.47</v>
      </c>
      <c r="G63" s="119">
        <f>0.3%*3231</f>
        <v>9.6929999999999996</v>
      </c>
      <c r="H63" s="262">
        <f>SUM(D63:G63)</f>
        <v>27.805999999999997</v>
      </c>
      <c r="I63" s="119">
        <f>5489-I61</f>
        <v>8</v>
      </c>
      <c r="J63" s="119">
        <f>3954-3944</f>
        <v>10</v>
      </c>
      <c r="K63" s="119">
        <f>3740-3733</f>
        <v>7</v>
      </c>
      <c r="L63" s="119">
        <f>4234-4223</f>
        <v>11</v>
      </c>
      <c r="M63" s="262">
        <f>SUM(I63:L63)</f>
        <v>36</v>
      </c>
      <c r="N63" s="104"/>
      <c r="O63" s="104"/>
      <c r="P63" s="104"/>
      <c r="Q63" s="104"/>
      <c r="R63" s="105"/>
      <c r="S63" s="104"/>
      <c r="T63" s="104"/>
      <c r="U63" s="104"/>
      <c r="V63" s="104"/>
      <c r="W63" s="105"/>
      <c r="X63" s="104"/>
      <c r="Y63" s="104"/>
      <c r="Z63" s="104"/>
      <c r="AA63" s="104"/>
      <c r="AB63" s="105"/>
      <c r="AC63" s="104"/>
      <c r="AD63" s="104"/>
      <c r="AE63" s="104"/>
      <c r="AF63" s="104"/>
      <c r="AG63" s="105"/>
      <c r="AH63" s="104"/>
      <c r="AI63" s="104"/>
      <c r="AJ63" s="104"/>
      <c r="AK63" s="104"/>
      <c r="AL63" s="105"/>
    </row>
    <row r="64" spans="2:38" ht="16.2" x14ac:dyDescent="0.45">
      <c r="B64" s="363" t="s">
        <v>198</v>
      </c>
      <c r="C64" s="364"/>
      <c r="D64" s="49" t="s">
        <v>163</v>
      </c>
      <c r="E64" s="49" t="s">
        <v>196</v>
      </c>
      <c r="F64" s="49" t="s">
        <v>214</v>
      </c>
      <c r="G64" s="10" t="s">
        <v>216</v>
      </c>
      <c r="H64" s="267" t="s">
        <v>217</v>
      </c>
      <c r="I64" s="10" t="s">
        <v>218</v>
      </c>
      <c r="J64" s="10" t="s">
        <v>219</v>
      </c>
      <c r="K64" s="10" t="s">
        <v>220</v>
      </c>
      <c r="L64" s="10" t="s">
        <v>221</v>
      </c>
      <c r="M64" s="267" t="s">
        <v>222</v>
      </c>
      <c r="N64" s="10" t="s">
        <v>223</v>
      </c>
      <c r="O64" s="10" t="s">
        <v>383</v>
      </c>
      <c r="P64" s="50" t="s">
        <v>46</v>
      </c>
      <c r="Q64" s="50" t="s">
        <v>47</v>
      </c>
      <c r="R64" s="268" t="s">
        <v>128</v>
      </c>
      <c r="S64" s="50" t="s">
        <v>135</v>
      </c>
      <c r="T64" s="50" t="s">
        <v>140</v>
      </c>
      <c r="U64" s="50" t="s">
        <v>141</v>
      </c>
      <c r="V64" s="50" t="s">
        <v>142</v>
      </c>
      <c r="W64" s="268" t="s">
        <v>143</v>
      </c>
      <c r="X64" s="50" t="s">
        <v>158</v>
      </c>
      <c r="Y64" s="50" t="s">
        <v>159</v>
      </c>
      <c r="Z64" s="50" t="s">
        <v>160</v>
      </c>
      <c r="AA64" s="50" t="s">
        <v>161</v>
      </c>
      <c r="AB64" s="268" t="s">
        <v>162</v>
      </c>
      <c r="AC64" s="50" t="s">
        <v>281</v>
      </c>
      <c r="AD64" s="50" t="s">
        <v>282</v>
      </c>
      <c r="AE64" s="50" t="s">
        <v>283</v>
      </c>
      <c r="AF64" s="50" t="s">
        <v>284</v>
      </c>
      <c r="AG64" s="268" t="s">
        <v>285</v>
      </c>
      <c r="AH64" s="50" t="s">
        <v>290</v>
      </c>
      <c r="AI64" s="50" t="s">
        <v>291</v>
      </c>
      <c r="AJ64" s="50" t="s">
        <v>292</v>
      </c>
      <c r="AK64" s="50" t="s">
        <v>293</v>
      </c>
      <c r="AL64" s="268" t="s">
        <v>294</v>
      </c>
    </row>
    <row r="65" spans="2:41" outlineLevel="1" x14ac:dyDescent="0.3">
      <c r="B65" s="355" t="s">
        <v>151</v>
      </c>
      <c r="C65" s="356"/>
      <c r="D65" s="119">
        <v>7172</v>
      </c>
      <c r="E65" s="119">
        <v>7041</v>
      </c>
      <c r="F65" s="119">
        <v>7266</v>
      </c>
      <c r="G65" s="119">
        <v>8500.9999999999982</v>
      </c>
      <c r="H65" s="262">
        <f>SUM(D65:G65)</f>
        <v>29980</v>
      </c>
      <c r="I65" s="119">
        <f>9129-I59-I55-I51-I63</f>
        <v>8471</v>
      </c>
      <c r="J65" s="119">
        <v>9190</v>
      </c>
      <c r="K65" s="119">
        <v>9548</v>
      </c>
      <c r="L65" s="119">
        <v>9981</v>
      </c>
      <c r="M65" s="262">
        <f>SUM(I65:L65)</f>
        <v>37190</v>
      </c>
      <c r="N65" s="104">
        <v>10875</v>
      </c>
      <c r="O65" s="104">
        <v>11450</v>
      </c>
      <c r="P65" s="104">
        <f>K65*(1+P66)</f>
        <v>11691.225031411419</v>
      </c>
      <c r="Q65" s="104">
        <f>L65*(1+Q66)</f>
        <v>11898.042887860414</v>
      </c>
      <c r="R65" s="105">
        <f>SUM(N65:Q65)</f>
        <v>45914.267919271835</v>
      </c>
      <c r="S65" s="104">
        <f>N65*(1+S66)</f>
        <v>12903.864296065043</v>
      </c>
      <c r="T65" s="104">
        <f>O65*(1+T66)</f>
        <v>13193.318062504281</v>
      </c>
      <c r="U65" s="104">
        <f>P65*(1+U66)</f>
        <v>13080.594972905616</v>
      </c>
      <c r="V65" s="104">
        <f>Q65*(1+V66)</f>
        <v>12878.813445768623</v>
      </c>
      <c r="W65" s="440">
        <f>SUM(S65:V65)</f>
        <v>52056.59077724356</v>
      </c>
      <c r="X65" s="104">
        <f>S65*(1+X66)</f>
        <v>14646.166744582033</v>
      </c>
      <c r="Y65" s="104">
        <f>T65*(1+Y66)</f>
        <v>14804.705595529544</v>
      </c>
      <c r="Z65" s="104">
        <f>U65*(1+Z66)</f>
        <v>14579.723850032369</v>
      </c>
      <c r="AA65" s="104">
        <f>V65*(1+AA66)</f>
        <v>14341.192200940191</v>
      </c>
      <c r="AB65" s="105">
        <f>SUM(X65:AA65)</f>
        <v>58371.788391084134</v>
      </c>
      <c r="AC65" s="104">
        <f>X65*(1+AC66)</f>
        <v>14958.549958585379</v>
      </c>
      <c r="AD65" s="104">
        <f>Y65*(1+AD66)</f>
        <v>14995.766157058286</v>
      </c>
      <c r="AE65" s="104">
        <f>Z65*(1+AE66)</f>
        <v>14515.537823554521</v>
      </c>
      <c r="AF65" s="104">
        <f>AA65*(1+AF66)</f>
        <v>14281.607515540287</v>
      </c>
      <c r="AG65" s="105">
        <f>SUM(AC65:AF65)</f>
        <v>58751.461454738477</v>
      </c>
      <c r="AH65" s="104">
        <f>AC65*(1+AH66)</f>
        <v>15054.572073359272</v>
      </c>
      <c r="AI65" s="104">
        <f>AD65*(1+AI66)</f>
        <v>15036.132498027891</v>
      </c>
      <c r="AJ65" s="104">
        <f>AE65*(1+AJ66)</f>
        <v>14517.547687592554</v>
      </c>
      <c r="AK65" s="104">
        <f>AF65*(1+AK66)</f>
        <v>14299.797755742906</v>
      </c>
      <c r="AL65" s="105">
        <f>SUM(AH65:AK65)</f>
        <v>58908.050014722619</v>
      </c>
    </row>
    <row r="66" spans="2:41" outlineLevel="1" x14ac:dyDescent="0.3">
      <c r="B66" s="72" t="s">
        <v>197</v>
      </c>
      <c r="C66" s="73"/>
      <c r="D66" s="111"/>
      <c r="E66" s="111"/>
      <c r="F66" s="111"/>
      <c r="G66" s="111"/>
      <c r="H66" s="112"/>
      <c r="I66" s="111">
        <f>I65/D65-1</f>
        <v>0.18112102621305071</v>
      </c>
      <c r="J66" s="111">
        <f>J65/E65-1</f>
        <v>0.30521232779434748</v>
      </c>
      <c r="K66" s="111">
        <f>K65/F65-1</f>
        <v>0.31406551059730248</v>
      </c>
      <c r="L66" s="111">
        <f>L65/G65-1</f>
        <v>0.17409716503940742</v>
      </c>
      <c r="M66" s="112"/>
      <c r="N66" s="111">
        <f>N65/I65-1</f>
        <v>0.28379176012277174</v>
      </c>
      <c r="O66" s="413">
        <f>O65/J65-1</f>
        <v>0.24591947769314482</v>
      </c>
      <c r="P66" s="114">
        <f>AVERAGE(O66,N66,L66,K66)-3%</f>
        <v>0.22446847836315661</v>
      </c>
      <c r="Q66" s="114">
        <f>AVERAGE(P66,O66,N66,L66)-4%</f>
        <v>0.19206922030462015</v>
      </c>
      <c r="R66" s="112"/>
      <c r="S66" s="114">
        <f>AVERAGE(Q66,P66,O66,N66)-5%</f>
        <v>0.18656223412092332</v>
      </c>
      <c r="T66" s="114">
        <f>AVERAGE(S66,Q66,P66,O66)-6%</f>
        <v>0.15225485262046123</v>
      </c>
      <c r="U66" s="114">
        <f>AVERAGE(T66,S66,Q66,P66)-7%</f>
        <v>0.11883869635229033</v>
      </c>
      <c r="V66" s="114">
        <f>AVERAGE(U66,T66,S66,Q66)-8%</f>
        <v>8.243125084957377E-2</v>
      </c>
      <c r="W66" s="112"/>
      <c r="X66" s="114">
        <f>AVERAGE(V66,U66,T66,S66)</f>
        <v>0.13502175848581216</v>
      </c>
      <c r="Y66" s="114">
        <f>AVERAGE(X66,V66,U66,T66)</f>
        <v>0.12213663957703437</v>
      </c>
      <c r="Z66" s="114">
        <f>AVERAGE(Y66,X66,V66,U66)</f>
        <v>0.11460708631617765</v>
      </c>
      <c r="AA66" s="114">
        <f>AVERAGE(Z66,Y66,X66,V66)</f>
        <v>0.11354918380714948</v>
      </c>
      <c r="AB66" s="112"/>
      <c r="AC66" s="114">
        <f>AVERAGE(AA66,Z66,Y66,X66)-10%</f>
        <v>2.1328667046543404E-2</v>
      </c>
      <c r="AD66" s="114">
        <f>AVERAGE(AC66,AA66,Z66,Y66)-8%</f>
        <v>1.2905394186726218E-2</v>
      </c>
      <c r="AE66" s="114">
        <f>AVERAGE(AD66,AC66,AA66,Z66)-7%</f>
        <v>-4.4024171608508106E-3</v>
      </c>
      <c r="AF66" s="114">
        <f>AVERAGE(AE66,AD66,AC66,AA66)-4%</f>
        <v>-4.1547930301079269E-3</v>
      </c>
      <c r="AG66" s="112"/>
      <c r="AH66" s="114">
        <f>AVERAGE(AF66,AE66,AD66,AC66)</f>
        <v>6.4192127605777211E-3</v>
      </c>
      <c r="AI66" s="114">
        <f>AVERAGE(AH66,AF66,AE66,AD66)</f>
        <v>2.6918491890863005E-3</v>
      </c>
      <c r="AJ66" s="114">
        <f>AVERAGE(AI66,AH66,AF66,AE66)</f>
        <v>1.3846293967632092E-4</v>
      </c>
      <c r="AK66" s="114">
        <f>AVERAGE(AJ66,AI66,AH66,AF66)</f>
        <v>1.273682964808104E-3</v>
      </c>
      <c r="AL66" s="112"/>
    </row>
    <row r="67" spans="2:41" outlineLevel="1" x14ac:dyDescent="0.3">
      <c r="B67" s="261" t="s">
        <v>342</v>
      </c>
      <c r="C67" s="73"/>
      <c r="D67" s="111"/>
      <c r="E67" s="111"/>
      <c r="F67" s="111"/>
      <c r="G67" s="111"/>
      <c r="H67" s="112"/>
      <c r="I67" s="111"/>
      <c r="J67" s="111"/>
      <c r="K67" s="111"/>
      <c r="L67" s="111"/>
      <c r="M67" s="112"/>
      <c r="N67" s="111"/>
      <c r="O67" s="111"/>
      <c r="P67" s="111"/>
      <c r="Q67" s="111"/>
      <c r="R67" s="112"/>
      <c r="S67" s="111"/>
      <c r="T67" s="111"/>
      <c r="U67" s="111"/>
      <c r="V67" s="111"/>
      <c r="W67" s="105">
        <v>24348</v>
      </c>
      <c r="X67" s="111"/>
      <c r="Y67" s="111"/>
      <c r="Z67" s="111"/>
      <c r="AA67" s="111"/>
      <c r="AB67" s="112"/>
      <c r="AC67" s="111"/>
      <c r="AD67" s="111"/>
      <c r="AE67" s="111"/>
      <c r="AF67" s="111"/>
      <c r="AG67" s="112"/>
      <c r="AH67" s="111"/>
      <c r="AI67" s="111"/>
      <c r="AJ67" s="111"/>
      <c r="AK67" s="111"/>
      <c r="AL67" s="112"/>
    </row>
    <row r="68" spans="2:41" outlineLevel="1" x14ac:dyDescent="0.3">
      <c r="B68" s="261" t="s">
        <v>380</v>
      </c>
      <c r="C68" s="73"/>
      <c r="D68" s="111"/>
      <c r="E68" s="111"/>
      <c r="F68" s="111"/>
      <c r="G68" s="111"/>
      <c r="H68" s="112"/>
      <c r="I68" s="111"/>
      <c r="J68" s="111"/>
      <c r="K68" s="111"/>
      <c r="L68" s="111"/>
      <c r="M68" s="112"/>
      <c r="N68" s="111"/>
      <c r="O68" s="111"/>
      <c r="P68" s="111"/>
      <c r="Q68" s="111"/>
      <c r="R68" s="112"/>
      <c r="S68" s="111"/>
      <c r="T68" s="111"/>
      <c r="U68" s="111"/>
      <c r="V68" s="111"/>
      <c r="W68" s="295">
        <f>+W65/W67</f>
        <v>2.1380232781848019</v>
      </c>
      <c r="X68" s="111"/>
      <c r="Y68" s="111"/>
      <c r="Z68" s="111"/>
      <c r="AA68" s="111"/>
      <c r="AB68" s="112"/>
      <c r="AC68" s="111"/>
      <c r="AD68" s="111"/>
      <c r="AE68" s="111"/>
      <c r="AF68" s="111"/>
      <c r="AG68" s="112"/>
      <c r="AH68" s="111"/>
      <c r="AI68" s="111"/>
      <c r="AJ68" s="111"/>
      <c r="AK68" s="111"/>
      <c r="AL68" s="112"/>
    </row>
    <row r="69" spans="2:41" ht="16.2" x14ac:dyDescent="0.45">
      <c r="B69" s="363" t="s">
        <v>308</v>
      </c>
      <c r="C69" s="364"/>
      <c r="D69" s="49" t="s">
        <v>163</v>
      </c>
      <c r="E69" s="49" t="s">
        <v>196</v>
      </c>
      <c r="F69" s="49" t="s">
        <v>214</v>
      </c>
      <c r="G69" s="10" t="s">
        <v>216</v>
      </c>
      <c r="H69" s="267" t="s">
        <v>217</v>
      </c>
      <c r="I69" s="10" t="s">
        <v>218</v>
      </c>
      <c r="J69" s="10" t="s">
        <v>219</v>
      </c>
      <c r="K69" s="10" t="s">
        <v>220</v>
      </c>
      <c r="L69" s="10" t="s">
        <v>221</v>
      </c>
      <c r="M69" s="267" t="s">
        <v>222</v>
      </c>
      <c r="N69" s="10" t="s">
        <v>223</v>
      </c>
      <c r="O69" s="10" t="s">
        <v>383</v>
      </c>
      <c r="P69" s="50" t="s">
        <v>46</v>
      </c>
      <c r="Q69" s="50" t="s">
        <v>47</v>
      </c>
      <c r="R69" s="268" t="s">
        <v>128</v>
      </c>
      <c r="S69" s="50" t="s">
        <v>135</v>
      </c>
      <c r="T69" s="50" t="s">
        <v>140</v>
      </c>
      <c r="U69" s="50" t="s">
        <v>141</v>
      </c>
      <c r="V69" s="50" t="s">
        <v>142</v>
      </c>
      <c r="W69" s="268" t="s">
        <v>143</v>
      </c>
      <c r="X69" s="50" t="s">
        <v>158</v>
      </c>
      <c r="Y69" s="50" t="s">
        <v>159</v>
      </c>
      <c r="Z69" s="50" t="s">
        <v>160</v>
      </c>
      <c r="AA69" s="50" t="s">
        <v>161</v>
      </c>
      <c r="AB69" s="268" t="s">
        <v>162</v>
      </c>
      <c r="AC69" s="50" t="s">
        <v>281</v>
      </c>
      <c r="AD69" s="50" t="s">
        <v>282</v>
      </c>
      <c r="AE69" s="50" t="s">
        <v>283</v>
      </c>
      <c r="AF69" s="50" t="s">
        <v>284</v>
      </c>
      <c r="AG69" s="268" t="s">
        <v>285</v>
      </c>
      <c r="AH69" s="50" t="s">
        <v>290</v>
      </c>
      <c r="AI69" s="50" t="s">
        <v>291</v>
      </c>
      <c r="AJ69" s="50" t="s">
        <v>292</v>
      </c>
      <c r="AK69" s="50" t="s">
        <v>293</v>
      </c>
      <c r="AL69" s="268" t="s">
        <v>294</v>
      </c>
    </row>
    <row r="70" spans="2:41" outlineLevel="1" x14ac:dyDescent="0.3">
      <c r="B70" s="397" t="s">
        <v>309</v>
      </c>
      <c r="C70" s="398"/>
      <c r="D70" s="265">
        <f t="shared" ref="D70:AL70" si="81">+D13-D49-D53-D57-D61</f>
        <v>-7.73070496506989E-12</v>
      </c>
      <c r="E70" s="265">
        <f t="shared" si="81"/>
        <v>4.0927261579781771E-12</v>
      </c>
      <c r="F70" s="265">
        <f t="shared" si="81"/>
        <v>0</v>
      </c>
      <c r="G70" s="265">
        <f t="shared" si="81"/>
        <v>0</v>
      </c>
      <c r="H70" s="266">
        <f t="shared" si="81"/>
        <v>0</v>
      </c>
      <c r="I70" s="265">
        <f t="shared" si="81"/>
        <v>0</v>
      </c>
      <c r="J70" s="265">
        <f t="shared" si="81"/>
        <v>0</v>
      </c>
      <c r="K70" s="265">
        <f t="shared" si="81"/>
        <v>0</v>
      </c>
      <c r="L70" s="265">
        <f t="shared" si="81"/>
        <v>0</v>
      </c>
      <c r="M70" s="266">
        <f t="shared" si="81"/>
        <v>0</v>
      </c>
      <c r="N70" s="265">
        <f t="shared" si="81"/>
        <v>0</v>
      </c>
      <c r="O70" s="265">
        <f t="shared" si="81"/>
        <v>0</v>
      </c>
      <c r="P70" s="265">
        <f t="shared" si="81"/>
        <v>0</v>
      </c>
      <c r="Q70" s="265">
        <f t="shared" si="81"/>
        <v>0</v>
      </c>
      <c r="R70" s="266">
        <f t="shared" si="81"/>
        <v>0</v>
      </c>
      <c r="S70" s="265">
        <f t="shared" si="81"/>
        <v>0</v>
      </c>
      <c r="T70" s="265">
        <f t="shared" si="81"/>
        <v>0</v>
      </c>
      <c r="U70" s="265">
        <f t="shared" si="81"/>
        <v>0</v>
      </c>
      <c r="V70" s="265">
        <f t="shared" si="81"/>
        <v>0</v>
      </c>
      <c r="W70" s="266">
        <f t="shared" si="81"/>
        <v>0</v>
      </c>
      <c r="X70" s="265">
        <f t="shared" si="81"/>
        <v>0</v>
      </c>
      <c r="Y70" s="265">
        <f t="shared" si="81"/>
        <v>0</v>
      </c>
      <c r="Z70" s="265">
        <f t="shared" si="81"/>
        <v>0</v>
      </c>
      <c r="AA70" s="265">
        <f t="shared" si="81"/>
        <v>0</v>
      </c>
      <c r="AB70" s="266">
        <f t="shared" si="81"/>
        <v>0</v>
      </c>
      <c r="AC70" s="265">
        <f t="shared" si="81"/>
        <v>0</v>
      </c>
      <c r="AD70" s="265">
        <f t="shared" si="81"/>
        <v>0</v>
      </c>
      <c r="AE70" s="265">
        <f t="shared" si="81"/>
        <v>0</v>
      </c>
      <c r="AF70" s="265">
        <f t="shared" si="81"/>
        <v>0</v>
      </c>
      <c r="AG70" s="266">
        <f t="shared" si="81"/>
        <v>0</v>
      </c>
      <c r="AH70" s="265">
        <f t="shared" si="81"/>
        <v>0</v>
      </c>
      <c r="AI70" s="265">
        <f t="shared" si="81"/>
        <v>0</v>
      </c>
      <c r="AJ70" s="265">
        <f t="shared" si="81"/>
        <v>0</v>
      </c>
      <c r="AK70" s="265">
        <f t="shared" si="81"/>
        <v>0</v>
      </c>
      <c r="AL70" s="266">
        <f t="shared" si="81"/>
        <v>0</v>
      </c>
    </row>
    <row r="71" spans="2:41" outlineLevel="1" x14ac:dyDescent="0.3">
      <c r="B71" s="263" t="s">
        <v>312</v>
      </c>
      <c r="C71" s="264"/>
      <c r="D71" s="265">
        <f t="shared" ref="D71:AL71" si="82">D14-D51-D55-D59-D63-D65</f>
        <v>0</v>
      </c>
      <c r="E71" s="265">
        <f t="shared" si="82"/>
        <v>0</v>
      </c>
      <c r="F71" s="265">
        <f t="shared" si="82"/>
        <v>0</v>
      </c>
      <c r="G71" s="265">
        <f t="shared" si="82"/>
        <v>0</v>
      </c>
      <c r="H71" s="266">
        <f t="shared" si="82"/>
        <v>0</v>
      </c>
      <c r="I71" s="265">
        <f t="shared" si="82"/>
        <v>0</v>
      </c>
      <c r="J71" s="265">
        <f t="shared" si="82"/>
        <v>0</v>
      </c>
      <c r="K71" s="265">
        <f t="shared" si="82"/>
        <v>0</v>
      </c>
      <c r="L71" s="265">
        <f t="shared" si="82"/>
        <v>0</v>
      </c>
      <c r="M71" s="266">
        <f t="shared" si="82"/>
        <v>0</v>
      </c>
      <c r="N71" s="265">
        <f t="shared" si="82"/>
        <v>0</v>
      </c>
      <c r="O71" s="265">
        <f t="shared" si="82"/>
        <v>0</v>
      </c>
      <c r="P71" s="265">
        <f t="shared" si="82"/>
        <v>0</v>
      </c>
      <c r="Q71" s="265">
        <f t="shared" si="82"/>
        <v>0</v>
      </c>
      <c r="R71" s="266">
        <f t="shared" si="82"/>
        <v>0</v>
      </c>
      <c r="S71" s="265">
        <f t="shared" si="82"/>
        <v>0</v>
      </c>
      <c r="T71" s="265">
        <f t="shared" si="82"/>
        <v>0</v>
      </c>
      <c r="U71" s="265">
        <f t="shared" si="82"/>
        <v>0</v>
      </c>
      <c r="V71" s="265">
        <f t="shared" si="82"/>
        <v>0</v>
      </c>
      <c r="W71" s="266">
        <f t="shared" si="82"/>
        <v>0</v>
      </c>
      <c r="X71" s="265">
        <f t="shared" si="82"/>
        <v>0</v>
      </c>
      <c r="Y71" s="265">
        <f t="shared" si="82"/>
        <v>0</v>
      </c>
      <c r="Z71" s="265">
        <f t="shared" si="82"/>
        <v>0</v>
      </c>
      <c r="AA71" s="265">
        <f t="shared" si="82"/>
        <v>0</v>
      </c>
      <c r="AB71" s="266">
        <f t="shared" si="82"/>
        <v>0</v>
      </c>
      <c r="AC71" s="265">
        <f t="shared" si="82"/>
        <v>0</v>
      </c>
      <c r="AD71" s="265">
        <f t="shared" si="82"/>
        <v>0</v>
      </c>
      <c r="AE71" s="265">
        <f t="shared" si="82"/>
        <v>0</v>
      </c>
      <c r="AF71" s="265">
        <f t="shared" si="82"/>
        <v>0</v>
      </c>
      <c r="AG71" s="266">
        <f t="shared" si="82"/>
        <v>0</v>
      </c>
      <c r="AH71" s="265">
        <f t="shared" si="82"/>
        <v>0</v>
      </c>
      <c r="AI71" s="265">
        <f t="shared" si="82"/>
        <v>0</v>
      </c>
      <c r="AJ71" s="265">
        <f t="shared" si="82"/>
        <v>0</v>
      </c>
      <c r="AK71" s="265">
        <f t="shared" si="82"/>
        <v>0</v>
      </c>
      <c r="AL71" s="266">
        <f t="shared" si="82"/>
        <v>0</v>
      </c>
    </row>
    <row r="72" spans="2:41" outlineLevel="1" x14ac:dyDescent="0.3">
      <c r="B72" s="263" t="s">
        <v>315</v>
      </c>
      <c r="C72" s="264"/>
      <c r="D72" s="265">
        <f t="shared" ref="D72:AL72" si="83">D15-D42-D43-D44-D45-D46</f>
        <v>0</v>
      </c>
      <c r="E72" s="265">
        <f t="shared" si="83"/>
        <v>0</v>
      </c>
      <c r="F72" s="265">
        <f t="shared" si="83"/>
        <v>0</v>
      </c>
      <c r="G72" s="265">
        <f t="shared" si="83"/>
        <v>0</v>
      </c>
      <c r="H72" s="266">
        <f t="shared" si="83"/>
        <v>0</v>
      </c>
      <c r="I72" s="265">
        <f t="shared" si="83"/>
        <v>0</v>
      </c>
      <c r="J72" s="265">
        <f t="shared" si="83"/>
        <v>0</v>
      </c>
      <c r="K72" s="265">
        <f t="shared" si="83"/>
        <v>0</v>
      </c>
      <c r="L72" s="265">
        <f t="shared" si="83"/>
        <v>0</v>
      </c>
      <c r="M72" s="266">
        <f t="shared" si="83"/>
        <v>0</v>
      </c>
      <c r="N72" s="265">
        <f t="shared" si="83"/>
        <v>0</v>
      </c>
      <c r="O72" s="265">
        <f t="shared" si="83"/>
        <v>0</v>
      </c>
      <c r="P72" s="265">
        <f t="shared" si="83"/>
        <v>0</v>
      </c>
      <c r="Q72" s="265">
        <f t="shared" si="83"/>
        <v>-1.1823431123048067E-11</v>
      </c>
      <c r="R72" s="266">
        <f t="shared" si="83"/>
        <v>0</v>
      </c>
      <c r="S72" s="265">
        <f t="shared" si="83"/>
        <v>0</v>
      </c>
      <c r="T72" s="265">
        <f t="shared" si="83"/>
        <v>-6.3664629124104977E-12</v>
      </c>
      <c r="U72" s="265">
        <f t="shared" si="83"/>
        <v>0</v>
      </c>
      <c r="V72" s="265">
        <f t="shared" si="83"/>
        <v>0</v>
      </c>
      <c r="W72" s="266">
        <f t="shared" si="83"/>
        <v>0</v>
      </c>
      <c r="X72" s="265">
        <f t="shared" si="83"/>
        <v>0</v>
      </c>
      <c r="Y72" s="265">
        <f t="shared" si="83"/>
        <v>1.0913936421275139E-11</v>
      </c>
      <c r="Z72" s="265">
        <f t="shared" si="83"/>
        <v>5.9117155615240335E-12</v>
      </c>
      <c r="AA72" s="265">
        <f t="shared" si="83"/>
        <v>0</v>
      </c>
      <c r="AB72" s="266">
        <f t="shared" si="83"/>
        <v>-6.184563972055912E-11</v>
      </c>
      <c r="AC72" s="265">
        <f t="shared" si="83"/>
        <v>7.2759576141834259E-12</v>
      </c>
      <c r="AD72" s="265">
        <f t="shared" si="83"/>
        <v>0</v>
      </c>
      <c r="AE72" s="265">
        <f t="shared" si="83"/>
        <v>-1.0004441719502211E-11</v>
      </c>
      <c r="AF72" s="265">
        <f t="shared" si="83"/>
        <v>0</v>
      </c>
      <c r="AG72" s="266">
        <f t="shared" si="83"/>
        <v>0</v>
      </c>
      <c r="AH72" s="265">
        <f t="shared" si="83"/>
        <v>-8.1854523159563541E-12</v>
      </c>
      <c r="AI72" s="265">
        <f t="shared" si="83"/>
        <v>0</v>
      </c>
      <c r="AJ72" s="265">
        <f t="shared" si="83"/>
        <v>1.0004441719502211E-11</v>
      </c>
      <c r="AK72" s="265">
        <f t="shared" si="83"/>
        <v>0</v>
      </c>
      <c r="AL72" s="266">
        <f t="shared" si="83"/>
        <v>0</v>
      </c>
    </row>
    <row r="73" spans="2:41" s="85" customFormat="1" ht="16.2" x14ac:dyDescent="0.45">
      <c r="B73" s="363" t="s">
        <v>164</v>
      </c>
      <c r="C73" s="364"/>
      <c r="D73" s="49" t="s">
        <v>163</v>
      </c>
      <c r="E73" s="49" t="s">
        <v>196</v>
      </c>
      <c r="F73" s="49" t="s">
        <v>214</v>
      </c>
      <c r="G73" s="10" t="s">
        <v>216</v>
      </c>
      <c r="H73" s="267" t="s">
        <v>217</v>
      </c>
      <c r="I73" s="10" t="s">
        <v>218</v>
      </c>
      <c r="J73" s="10" t="s">
        <v>219</v>
      </c>
      <c r="K73" s="10" t="s">
        <v>220</v>
      </c>
      <c r="L73" s="10" t="s">
        <v>221</v>
      </c>
      <c r="M73" s="267" t="s">
        <v>222</v>
      </c>
      <c r="N73" s="10" t="s">
        <v>223</v>
      </c>
      <c r="O73" s="10" t="s">
        <v>383</v>
      </c>
      <c r="P73" s="50" t="s">
        <v>46</v>
      </c>
      <c r="Q73" s="50" t="s">
        <v>47</v>
      </c>
      <c r="R73" s="268" t="s">
        <v>128</v>
      </c>
      <c r="S73" s="50" t="s">
        <v>135</v>
      </c>
      <c r="T73" s="50" t="s">
        <v>140</v>
      </c>
      <c r="U73" s="50" t="s">
        <v>141</v>
      </c>
      <c r="V73" s="50" t="s">
        <v>142</v>
      </c>
      <c r="W73" s="268" t="s">
        <v>143</v>
      </c>
      <c r="X73" s="50" t="s">
        <v>158</v>
      </c>
      <c r="Y73" s="50" t="s">
        <v>159</v>
      </c>
      <c r="Z73" s="50" t="s">
        <v>160</v>
      </c>
      <c r="AA73" s="50" t="s">
        <v>161</v>
      </c>
      <c r="AB73" s="268" t="s">
        <v>162</v>
      </c>
      <c r="AC73" s="50" t="s">
        <v>281</v>
      </c>
      <c r="AD73" s="50" t="s">
        <v>282</v>
      </c>
      <c r="AE73" s="50" t="s">
        <v>283</v>
      </c>
      <c r="AF73" s="50" t="s">
        <v>284</v>
      </c>
      <c r="AG73" s="268" t="s">
        <v>285</v>
      </c>
      <c r="AH73" s="50" t="s">
        <v>290</v>
      </c>
      <c r="AI73" s="50" t="s">
        <v>291</v>
      </c>
      <c r="AJ73" s="50" t="s">
        <v>292</v>
      </c>
      <c r="AK73" s="50" t="s">
        <v>293</v>
      </c>
      <c r="AL73" s="268" t="s">
        <v>294</v>
      </c>
    </row>
    <row r="74" spans="2:41" x14ac:dyDescent="0.3">
      <c r="B74" s="355" t="s">
        <v>165</v>
      </c>
      <c r="C74" s="356"/>
      <c r="D74" s="104">
        <f>'Dollar Index'!C717</f>
        <v>125.28013606557379</v>
      </c>
      <c r="E74" s="104">
        <f>'Dollar Index'!C778</f>
        <v>125.92615901639346</v>
      </c>
      <c r="F74" s="104">
        <f>'Dollar Index'!C842</f>
        <v>123.23011718750004</v>
      </c>
      <c r="G74" s="104">
        <f>'Dollar Index'!C905</f>
        <v>119.09219206349205</v>
      </c>
      <c r="H74" s="105"/>
      <c r="I74" s="104">
        <f>'Dollar Index'!C966</f>
        <v>120.06746721311475</v>
      </c>
      <c r="J74" s="104">
        <f>'Dollar Index'!C1026</f>
        <v>117.59679666666666</v>
      </c>
      <c r="K74" s="104">
        <f>'Dollar Index'!C1090</f>
        <v>121.007346875</v>
      </c>
      <c r="L74" s="104">
        <f>'Dollar Index'!C1153</f>
        <v>125.12184761904763</v>
      </c>
      <c r="M74" s="105"/>
      <c r="N74" s="104">
        <f>'Dollar Index'!C1214</f>
        <v>127.85439836065578</v>
      </c>
      <c r="O74" s="104">
        <f>'Dollar Index'!C1273</f>
        <v>126.92519661016954</v>
      </c>
      <c r="P74" s="119">
        <f>'Dollar Index'!B1313</f>
        <v>128.934</v>
      </c>
      <c r="Q74" s="104"/>
      <c r="R74" s="105"/>
      <c r="S74" s="104"/>
      <c r="T74" s="104"/>
      <c r="U74" s="104"/>
      <c r="V74" s="104"/>
      <c r="W74" s="105"/>
      <c r="X74" s="104"/>
      <c r="Y74" s="104"/>
      <c r="Z74" s="104"/>
      <c r="AA74" s="104"/>
      <c r="AB74" s="105"/>
      <c r="AC74" s="104"/>
      <c r="AD74" s="104"/>
      <c r="AE74" s="104"/>
      <c r="AF74" s="104"/>
      <c r="AG74" s="105"/>
      <c r="AH74" s="104"/>
      <c r="AI74" s="104"/>
      <c r="AJ74" s="104"/>
      <c r="AK74" s="104"/>
      <c r="AL74" s="105"/>
    </row>
    <row r="75" spans="2:41" x14ac:dyDescent="0.3">
      <c r="B75" s="355" t="s">
        <v>182</v>
      </c>
      <c r="C75" s="356"/>
      <c r="D75" s="111"/>
      <c r="E75" s="111"/>
      <c r="F75" s="111"/>
      <c r="G75" s="111"/>
      <c r="H75" s="112"/>
      <c r="I75" s="111">
        <f>I74/D74-1</f>
        <v>-4.1608103376664873E-2</v>
      </c>
      <c r="J75" s="111">
        <f t="shared" ref="J75:K75" si="84">J74/E74-1</f>
        <v>-6.6144813871774288E-2</v>
      </c>
      <c r="K75" s="111">
        <f t="shared" si="84"/>
        <v>-1.803755740261126E-2</v>
      </c>
      <c r="L75" s="111">
        <f>L74/G74-1</f>
        <v>5.0630150063414536E-2</v>
      </c>
      <c r="M75" s="112"/>
      <c r="N75" s="111">
        <f>N74/I74-1</f>
        <v>6.4854629886708093E-2</v>
      </c>
      <c r="O75" s="111">
        <f t="shared" ref="O75:P75" si="85">O74/J74-1</f>
        <v>7.9325289531011922E-2</v>
      </c>
      <c r="P75" s="111">
        <f>P74/K74-1</f>
        <v>6.5505552594159466E-2</v>
      </c>
      <c r="Q75" s="111"/>
      <c r="R75" s="112"/>
      <c r="S75" s="111"/>
      <c r="T75" s="111"/>
      <c r="U75" s="111"/>
      <c r="V75" s="111"/>
      <c r="W75" s="112"/>
      <c r="X75" s="111"/>
      <c r="Y75" s="111"/>
      <c r="Z75" s="111"/>
      <c r="AA75" s="111"/>
      <c r="AB75" s="112"/>
      <c r="AC75" s="111"/>
      <c r="AD75" s="111"/>
      <c r="AE75" s="111"/>
      <c r="AF75" s="111"/>
      <c r="AG75" s="112"/>
      <c r="AH75" s="111"/>
      <c r="AI75" s="111"/>
      <c r="AJ75" s="111"/>
      <c r="AK75" s="111"/>
      <c r="AL75" s="112"/>
      <c r="AM75" s="121"/>
      <c r="AN75" s="121"/>
      <c r="AO75" s="121"/>
    </row>
    <row r="76" spans="2:41" x14ac:dyDescent="0.3">
      <c r="B76" s="434" t="s">
        <v>394</v>
      </c>
      <c r="C76" s="418"/>
      <c r="D76" s="435"/>
      <c r="E76" s="435"/>
      <c r="F76" s="435"/>
      <c r="G76" s="435"/>
      <c r="H76" s="436"/>
      <c r="I76" s="435"/>
      <c r="J76" s="435"/>
      <c r="K76" s="435"/>
      <c r="L76" s="435"/>
      <c r="M76" s="436"/>
      <c r="N76" s="435">
        <v>1.4</v>
      </c>
      <c r="O76" s="435">
        <v>1.4</v>
      </c>
      <c r="P76" s="111"/>
      <c r="Q76" s="111"/>
      <c r="R76" s="112"/>
      <c r="S76" s="437"/>
      <c r="T76" s="111"/>
      <c r="U76" s="111"/>
      <c r="V76" s="111"/>
      <c r="W76" s="112"/>
      <c r="X76" s="111"/>
      <c r="Y76" s="111"/>
      <c r="Z76" s="111"/>
      <c r="AA76" s="111"/>
      <c r="AB76" s="112"/>
      <c r="AC76" s="111"/>
      <c r="AD76" s="111"/>
      <c r="AE76" s="111"/>
      <c r="AF76" s="111"/>
      <c r="AG76" s="112"/>
      <c r="AH76" s="111"/>
      <c r="AI76" s="111"/>
      <c r="AJ76" s="111"/>
      <c r="AK76" s="111"/>
      <c r="AL76" s="112"/>
      <c r="AM76" s="121"/>
      <c r="AN76" s="121"/>
      <c r="AO76" s="121"/>
    </row>
    <row r="77" spans="2:41" ht="15" customHeight="1" x14ac:dyDescent="0.45">
      <c r="B77" s="363" t="s">
        <v>150</v>
      </c>
      <c r="C77" s="364"/>
      <c r="D77" s="49" t="s">
        <v>163</v>
      </c>
      <c r="E77" s="49" t="s">
        <v>196</v>
      </c>
      <c r="F77" s="49" t="s">
        <v>214</v>
      </c>
      <c r="G77" s="10" t="s">
        <v>216</v>
      </c>
      <c r="H77" s="257" t="s">
        <v>217</v>
      </c>
      <c r="I77" s="10" t="s">
        <v>218</v>
      </c>
      <c r="J77" s="10" t="s">
        <v>219</v>
      </c>
      <c r="K77" s="10" t="s">
        <v>220</v>
      </c>
      <c r="L77" s="10" t="s">
        <v>221</v>
      </c>
      <c r="M77" s="257" t="s">
        <v>222</v>
      </c>
      <c r="N77" s="10" t="s">
        <v>223</v>
      </c>
      <c r="O77" s="10" t="s">
        <v>383</v>
      </c>
      <c r="P77" s="50" t="s">
        <v>46</v>
      </c>
      <c r="Q77" s="50" t="s">
        <v>47</v>
      </c>
      <c r="R77" s="255" t="s">
        <v>128</v>
      </c>
      <c r="S77" s="50" t="s">
        <v>135</v>
      </c>
      <c r="T77" s="50" t="s">
        <v>140</v>
      </c>
      <c r="U77" s="50" t="s">
        <v>141</v>
      </c>
      <c r="V77" s="50" t="s">
        <v>142</v>
      </c>
      <c r="W77" s="255" t="s">
        <v>143</v>
      </c>
      <c r="X77" s="50" t="s">
        <v>158</v>
      </c>
      <c r="Y77" s="50" t="s">
        <v>159</v>
      </c>
      <c r="Z77" s="50" t="s">
        <v>160</v>
      </c>
      <c r="AA77" s="50" t="s">
        <v>161</v>
      </c>
      <c r="AB77" s="255" t="s">
        <v>162</v>
      </c>
      <c r="AC77" s="50" t="s">
        <v>281</v>
      </c>
      <c r="AD77" s="50" t="s">
        <v>282</v>
      </c>
      <c r="AE77" s="50" t="s">
        <v>283</v>
      </c>
      <c r="AF77" s="50" t="s">
        <v>284</v>
      </c>
      <c r="AG77" s="255" t="s">
        <v>285</v>
      </c>
      <c r="AH77" s="50" t="s">
        <v>290</v>
      </c>
      <c r="AI77" s="50" t="s">
        <v>291</v>
      </c>
      <c r="AJ77" s="50" t="s">
        <v>292</v>
      </c>
      <c r="AK77" s="50" t="s">
        <v>293</v>
      </c>
      <c r="AL77" s="255" t="s">
        <v>294</v>
      </c>
    </row>
    <row r="78" spans="2:41" outlineLevel="1" x14ac:dyDescent="0.3">
      <c r="B78" s="370" t="s">
        <v>304</v>
      </c>
      <c r="C78" s="356"/>
      <c r="D78" s="40"/>
      <c r="E78" s="40"/>
      <c r="F78" s="40"/>
      <c r="G78" s="40"/>
      <c r="H78" s="124"/>
      <c r="I78" s="39">
        <f>(I13-I16)/I13</f>
        <v>0.36113637512000402</v>
      </c>
      <c r="J78" s="40"/>
      <c r="K78" s="40"/>
      <c r="L78" s="126">
        <f>N78-0.6%</f>
        <v>0.33711976577926056</v>
      </c>
      <c r="M78" s="124"/>
      <c r="N78" s="39">
        <f>(N13-N16)/N13</f>
        <v>0.34311976577926057</v>
      </c>
      <c r="O78" s="414">
        <f>(O13-O16)/O13</f>
        <v>0.3117792333297541</v>
      </c>
      <c r="P78" s="126">
        <f>O78-0.5%</f>
        <v>0.3067792333297541</v>
      </c>
      <c r="Q78" s="126">
        <f>L78-0.85%</f>
        <v>0.32861976577926055</v>
      </c>
      <c r="R78" s="124"/>
      <c r="S78" s="126">
        <f>N78-0.25%</f>
        <v>0.34061976577926056</v>
      </c>
      <c r="T78" s="126">
        <f>O78-0.2%</f>
        <v>0.3097792333297541</v>
      </c>
      <c r="U78" s="126">
        <f t="shared" ref="U78:V79" si="86">P78-0.2%</f>
        <v>0.3047792333297541</v>
      </c>
      <c r="V78" s="126">
        <f t="shared" si="86"/>
        <v>0.32661976577926055</v>
      </c>
      <c r="W78" s="124"/>
      <c r="X78" s="126">
        <f>S78-0.25%</f>
        <v>0.33811976577926056</v>
      </c>
      <c r="Y78" s="126">
        <f>V78-0.25%</f>
        <v>0.32411976577926055</v>
      </c>
      <c r="Z78" s="126">
        <f>Y78-0.25%</f>
        <v>0.32161976577926055</v>
      </c>
      <c r="AA78" s="126">
        <f>Z78-0.25%</f>
        <v>0.31911976577926054</v>
      </c>
      <c r="AB78" s="124"/>
      <c r="AC78" s="126">
        <f>X78</f>
        <v>0.33811976577926056</v>
      </c>
      <c r="AD78" s="126">
        <f>AA78</f>
        <v>0.31911976577926054</v>
      </c>
      <c r="AE78" s="126">
        <f>AD78</f>
        <v>0.31911976577926054</v>
      </c>
      <c r="AF78" s="126">
        <f>AE78</f>
        <v>0.31911976577926054</v>
      </c>
      <c r="AG78" s="124"/>
      <c r="AH78" s="126">
        <f>AC78-0.25%</f>
        <v>0.33561976577926056</v>
      </c>
      <c r="AI78" s="126">
        <f>AF78-0.25%</f>
        <v>0.31661976577926054</v>
      </c>
      <c r="AJ78" s="126">
        <f>AI78-0.25%</f>
        <v>0.31411976577926054</v>
      </c>
      <c r="AK78" s="126">
        <f>AJ78-0.25%</f>
        <v>0.31161976577926054</v>
      </c>
      <c r="AL78" s="124"/>
    </row>
    <row r="79" spans="2:41" outlineLevel="1" x14ac:dyDescent="0.3">
      <c r="B79" s="370" t="s">
        <v>305</v>
      </c>
      <c r="C79" s="356"/>
      <c r="D79" s="40"/>
      <c r="E79" s="40"/>
      <c r="F79" s="40"/>
      <c r="G79" s="40"/>
      <c r="H79" s="124"/>
      <c r="I79" s="39">
        <f>(I14-I17)/I14</f>
        <v>0.58308686603132875</v>
      </c>
      <c r="J79" s="40"/>
      <c r="K79" s="40"/>
      <c r="L79" s="126">
        <f>N79-1.7%</f>
        <v>0.61141379310344823</v>
      </c>
      <c r="M79" s="124"/>
      <c r="N79" s="39">
        <f>(N14-N17)/N14</f>
        <v>0.62841379310344825</v>
      </c>
      <c r="O79" s="414">
        <f>(O14-O17)/O14</f>
        <v>0.63781659388646283</v>
      </c>
      <c r="P79" s="126">
        <f>O79-1.6%</f>
        <v>0.62181659388646282</v>
      </c>
      <c r="Q79" s="126">
        <f>P79-0.2%</f>
        <v>0.61981659388646282</v>
      </c>
      <c r="R79" s="124"/>
      <c r="S79" s="126">
        <f>N79-1%</f>
        <v>0.61841379310344824</v>
      </c>
      <c r="T79" s="126">
        <f>O79-0.2%</f>
        <v>0.63581659388646283</v>
      </c>
      <c r="U79" s="126">
        <f t="shared" si="86"/>
        <v>0.61981659388646282</v>
      </c>
      <c r="V79" s="126">
        <f t="shared" si="86"/>
        <v>0.61781659388646282</v>
      </c>
      <c r="W79" s="124"/>
      <c r="X79" s="126">
        <f>S79-0.25%</f>
        <v>0.61591379310344829</v>
      </c>
      <c r="Y79" s="126">
        <f>V79-0.25%</f>
        <v>0.61531659388646287</v>
      </c>
      <c r="Z79" s="126">
        <f>Y79</f>
        <v>0.61531659388646287</v>
      </c>
      <c r="AA79" s="126">
        <f>Z79</f>
        <v>0.61531659388646287</v>
      </c>
      <c r="AB79" s="124"/>
      <c r="AC79" s="126">
        <f>X79</f>
        <v>0.61591379310344829</v>
      </c>
      <c r="AD79" s="126">
        <f>AA79</f>
        <v>0.61531659388646287</v>
      </c>
      <c r="AE79" s="126">
        <f>AD79</f>
        <v>0.61531659388646287</v>
      </c>
      <c r="AF79" s="126">
        <f>AE79</f>
        <v>0.61531659388646287</v>
      </c>
      <c r="AG79" s="124"/>
      <c r="AH79" s="126">
        <f>AC79-0.25%</f>
        <v>0.61341379310344835</v>
      </c>
      <c r="AI79" s="126">
        <f>AF79-0.25%</f>
        <v>0.61281659388646292</v>
      </c>
      <c r="AJ79" s="126">
        <f>AI79-0.25%</f>
        <v>0.61031659388646298</v>
      </c>
      <c r="AK79" s="126">
        <f>AJ79-0.25%</f>
        <v>0.60781659388646303</v>
      </c>
      <c r="AL79" s="124"/>
    </row>
    <row r="80" spans="2:41" outlineLevel="1" x14ac:dyDescent="0.3">
      <c r="B80" s="367" t="s">
        <v>306</v>
      </c>
      <c r="C80" s="368"/>
      <c r="D80" s="39">
        <f t="shared" ref="D80:AL80" si="87">D19/D15</f>
        <v>0.38513867085295656</v>
      </c>
      <c r="E80" s="39">
        <f t="shared" si="87"/>
        <v>0.38927329098608593</v>
      </c>
      <c r="F80" s="39">
        <f t="shared" si="87"/>
        <v>0.38513037350246654</v>
      </c>
      <c r="G80" s="39">
        <f t="shared" si="87"/>
        <v>0.37906768862093232</v>
      </c>
      <c r="H80" s="125">
        <f t="shared" si="87"/>
        <v>0.38469860491899105</v>
      </c>
      <c r="I80" s="39">
        <f t="shared" si="87"/>
        <v>0.38408480853521798</v>
      </c>
      <c r="J80" s="39">
        <f t="shared" si="87"/>
        <v>0.38310679294044525</v>
      </c>
      <c r="K80" s="39">
        <f t="shared" si="87"/>
        <v>0.38338496198254013</v>
      </c>
      <c r="L80" s="39">
        <f t="shared" si="87"/>
        <v>0.38289348171701115</v>
      </c>
      <c r="M80" s="125">
        <f t="shared" si="87"/>
        <v>0.38343718820007905</v>
      </c>
      <c r="N80" s="39">
        <f t="shared" si="87"/>
        <v>0.37991934527339583</v>
      </c>
      <c r="O80" s="414">
        <f t="shared" si="87"/>
        <v>0.37612686374213566</v>
      </c>
      <c r="P80" s="433">
        <f t="shared" si="87"/>
        <v>0.37562375907583112</v>
      </c>
      <c r="Q80" s="414">
        <f t="shared" si="87"/>
        <v>0.38504773346558557</v>
      </c>
      <c r="R80" s="432">
        <f t="shared" si="87"/>
        <v>0.3793947010420935</v>
      </c>
      <c r="S80" s="414">
        <f t="shared" si="87"/>
        <v>0.38191714810299615</v>
      </c>
      <c r="T80" s="39">
        <f t="shared" si="87"/>
        <v>0.37995064480209895</v>
      </c>
      <c r="U80" s="39">
        <f t="shared" si="87"/>
        <v>0.37779303290021138</v>
      </c>
      <c r="V80" s="39">
        <f t="shared" si="87"/>
        <v>0.38461943656638653</v>
      </c>
      <c r="W80" s="432">
        <f t="shared" si="87"/>
        <v>0.38125377475807692</v>
      </c>
      <c r="X80" s="39">
        <f t="shared" si="87"/>
        <v>0.38274877482217662</v>
      </c>
      <c r="Y80" s="39">
        <f t="shared" si="87"/>
        <v>0.39056645865425904</v>
      </c>
      <c r="Z80" s="39">
        <f t="shared" si="87"/>
        <v>0.3931451224081427</v>
      </c>
      <c r="AA80" s="39">
        <f t="shared" si="87"/>
        <v>0.38101534753892258</v>
      </c>
      <c r="AB80" s="125">
        <f t="shared" si="87"/>
        <v>0.38630063107442814</v>
      </c>
      <c r="AC80" s="39">
        <f t="shared" si="87"/>
        <v>0.38256533860082892</v>
      </c>
      <c r="AD80" s="39">
        <f t="shared" si="87"/>
        <v>0.38615720146437149</v>
      </c>
      <c r="AE80" s="39">
        <f t="shared" si="87"/>
        <v>0.38998818061519586</v>
      </c>
      <c r="AF80" s="39">
        <f t="shared" si="87"/>
        <v>0.3802435971891418</v>
      </c>
      <c r="AG80" s="125">
        <f t="shared" si="87"/>
        <v>0.38438712645155287</v>
      </c>
      <c r="AH80" s="39">
        <f t="shared" si="87"/>
        <v>0.37960334153671887</v>
      </c>
      <c r="AI80" s="39">
        <f t="shared" si="87"/>
        <v>0.38291817276579365</v>
      </c>
      <c r="AJ80" s="39">
        <f t="shared" si="87"/>
        <v>0.38416434751853318</v>
      </c>
      <c r="AK80" s="39">
        <f t="shared" si="87"/>
        <v>0.37212970490969388</v>
      </c>
      <c r="AL80" s="125">
        <f t="shared" si="87"/>
        <v>0.37953366832107266</v>
      </c>
    </row>
    <row r="81" spans="2:38" outlineLevel="1" x14ac:dyDescent="0.3">
      <c r="B81" s="370" t="s">
        <v>307</v>
      </c>
      <c r="C81" s="356"/>
      <c r="D81" s="39">
        <f t="shared" ref="D81:AL81" si="88">D23/D15</f>
        <v>0.29813276154739571</v>
      </c>
      <c r="E81" s="39">
        <f t="shared" si="88"/>
        <v>0.2665040834845735</v>
      </c>
      <c r="F81" s="39">
        <f t="shared" si="88"/>
        <v>0.23713883016208598</v>
      </c>
      <c r="G81" s="39">
        <f t="shared" si="88"/>
        <v>0.24952927975047073</v>
      </c>
      <c r="H81" s="125">
        <f t="shared" si="88"/>
        <v>0.26760428208729942</v>
      </c>
      <c r="I81" s="39">
        <f t="shared" si="88"/>
        <v>0.29757738439060855</v>
      </c>
      <c r="J81" s="39">
        <f t="shared" si="88"/>
        <v>0.25997350213455028</v>
      </c>
      <c r="K81" s="39">
        <f t="shared" si="88"/>
        <v>0.23677837228949591</v>
      </c>
      <c r="L81" s="39">
        <f t="shared" si="88"/>
        <v>0.25624801271860098</v>
      </c>
      <c r="M81" s="125">
        <f t="shared" si="88"/>
        <v>0.26694026619477024</v>
      </c>
      <c r="N81" s="39">
        <f t="shared" si="88"/>
        <v>0.27690665401494485</v>
      </c>
      <c r="O81" s="39">
        <f t="shared" si="88"/>
        <v>0.2312333017323106</v>
      </c>
      <c r="P81" s="39">
        <f t="shared" si="88"/>
        <v>0.21207196228861608</v>
      </c>
      <c r="Q81" s="39">
        <f t="shared" si="88"/>
        <v>0.23495579453114968</v>
      </c>
      <c r="R81" s="125">
        <f t="shared" si="88"/>
        <v>0.24310677706459277</v>
      </c>
      <c r="S81" s="39">
        <f t="shared" si="88"/>
        <v>0.27455258218997253</v>
      </c>
      <c r="T81" s="39">
        <f t="shared" si="88"/>
        <v>0.2391383707269093</v>
      </c>
      <c r="U81" s="39">
        <f t="shared" si="88"/>
        <v>0.22003358265549564</v>
      </c>
      <c r="V81" s="39">
        <f t="shared" si="88"/>
        <v>0.24357047559537742</v>
      </c>
      <c r="W81" s="125">
        <f t="shared" si="88"/>
        <v>0.24761633717034495</v>
      </c>
      <c r="X81" s="39">
        <f t="shared" si="88"/>
        <v>0.29087137265139973</v>
      </c>
      <c r="Y81" s="39">
        <f t="shared" si="88"/>
        <v>0.26102476702671218</v>
      </c>
      <c r="Z81" s="39">
        <f t="shared" si="88"/>
        <v>0.24580072530713776</v>
      </c>
      <c r="AA81" s="39">
        <f t="shared" si="88"/>
        <v>0.24875612400116051</v>
      </c>
      <c r="AB81" s="125">
        <f t="shared" si="88"/>
        <v>0.26442523327344308</v>
      </c>
      <c r="AC81" s="39">
        <f t="shared" si="88"/>
        <v>0.29704624465644719</v>
      </c>
      <c r="AD81" s="39">
        <f t="shared" si="88"/>
        <v>0.26508210871052179</v>
      </c>
      <c r="AE81" s="39">
        <f t="shared" si="88"/>
        <v>0.25153814703985405</v>
      </c>
      <c r="AF81" s="39">
        <f t="shared" si="88"/>
        <v>0.25769139503227473</v>
      </c>
      <c r="AG81" s="125">
        <f t="shared" si="88"/>
        <v>0.27079735900932189</v>
      </c>
      <c r="AH81" s="39">
        <f t="shared" si="88"/>
        <v>0.29090509347913956</v>
      </c>
      <c r="AI81" s="39">
        <f t="shared" si="88"/>
        <v>0.25760978057509537</v>
      </c>
      <c r="AJ81" s="39">
        <f t="shared" si="88"/>
        <v>0.24126713218035986</v>
      </c>
      <c r="AK81" s="39">
        <f t="shared" si="88"/>
        <v>0.24472399206237935</v>
      </c>
      <c r="AL81" s="125">
        <f t="shared" si="88"/>
        <v>0.26190252714385592</v>
      </c>
    </row>
    <row r="82" spans="2:38" outlineLevel="1" x14ac:dyDescent="0.3">
      <c r="B82" s="355" t="s">
        <v>7</v>
      </c>
      <c r="C82" s="356"/>
      <c r="D82" s="39">
        <f t="shared" ref="D82:N82" si="89">D30/D29</f>
        <v>0.26009098428453264</v>
      </c>
      <c r="E82" s="39">
        <f t="shared" si="89"/>
        <v>0.24891037864342141</v>
      </c>
      <c r="F82" s="39">
        <f t="shared" si="89"/>
        <v>0.22912981959674567</v>
      </c>
      <c r="G82" s="39">
        <f t="shared" si="89"/>
        <v>0.23015017604368757</v>
      </c>
      <c r="H82" s="125">
        <f t="shared" si="89"/>
        <v>0.24556476150353415</v>
      </c>
      <c r="I82" s="40">
        <f t="shared" si="89"/>
        <v>0.25767665556788755</v>
      </c>
      <c r="J82" s="40">
        <f t="shared" si="89"/>
        <v>0.14510143493320138</v>
      </c>
      <c r="K82" s="39">
        <f t="shared" si="89"/>
        <v>0.13286660644384221</v>
      </c>
      <c r="L82" s="39">
        <f t="shared" si="89"/>
        <v>0.13982096096461846</v>
      </c>
      <c r="M82" s="123">
        <f t="shared" si="89"/>
        <v>0.18342180705869443</v>
      </c>
      <c r="N82" s="40">
        <f t="shared" si="89"/>
        <v>0.16485401154521878</v>
      </c>
      <c r="O82" s="415">
        <f t="shared" ref="O82" si="90">O30/O29</f>
        <v>0.16182121365910243</v>
      </c>
      <c r="P82" s="433">
        <v>0.16250000000000001</v>
      </c>
      <c r="Q82" s="127">
        <f>P82</f>
        <v>0.16250000000000001</v>
      </c>
      <c r="R82" s="123">
        <f>R30/R29</f>
        <v>0.16323259694097661</v>
      </c>
      <c r="S82" s="127">
        <f>Q82</f>
        <v>0.16250000000000001</v>
      </c>
      <c r="T82" s="127">
        <f>S82</f>
        <v>0.16250000000000001</v>
      </c>
      <c r="U82" s="127">
        <f>T82</f>
        <v>0.16250000000000001</v>
      </c>
      <c r="V82" s="127">
        <f>U82</f>
        <v>0.16250000000000001</v>
      </c>
      <c r="W82" s="123">
        <f>W30/W29</f>
        <v>0.16250000000000012</v>
      </c>
      <c r="X82" s="127">
        <f>V82</f>
        <v>0.16250000000000001</v>
      </c>
      <c r="Y82" s="127">
        <f>X82</f>
        <v>0.16250000000000001</v>
      </c>
      <c r="Z82" s="127">
        <f>Y82</f>
        <v>0.16250000000000001</v>
      </c>
      <c r="AA82" s="127">
        <f>Z82</f>
        <v>0.16250000000000001</v>
      </c>
      <c r="AB82" s="123">
        <f>AB30/AB29</f>
        <v>0.16250000000000012</v>
      </c>
      <c r="AC82" s="127">
        <f>AA82</f>
        <v>0.16250000000000001</v>
      </c>
      <c r="AD82" s="127">
        <f>AC82</f>
        <v>0.16250000000000001</v>
      </c>
      <c r="AE82" s="127">
        <f>AD82</f>
        <v>0.16250000000000001</v>
      </c>
      <c r="AF82" s="127">
        <f>AE82</f>
        <v>0.16250000000000001</v>
      </c>
      <c r="AG82" s="123">
        <f>AG30/AG29</f>
        <v>0.16250000000000001</v>
      </c>
      <c r="AH82" s="127">
        <f>AF82</f>
        <v>0.16250000000000001</v>
      </c>
      <c r="AI82" s="127">
        <f>AH82</f>
        <v>0.16250000000000001</v>
      </c>
      <c r="AJ82" s="127">
        <f>AI82</f>
        <v>0.16250000000000001</v>
      </c>
      <c r="AK82" s="127">
        <f>AJ82</f>
        <v>0.16250000000000001</v>
      </c>
      <c r="AL82" s="123">
        <f>AL30/AL29</f>
        <v>0.16250000000000003</v>
      </c>
    </row>
    <row r="83" spans="2:38" outlineLevel="1" x14ac:dyDescent="0.3">
      <c r="B83" s="355" t="s">
        <v>39</v>
      </c>
      <c r="C83" s="356"/>
      <c r="D83" s="39">
        <f t="shared" ref="D83:N83" si="91">D21/D15</f>
        <v>5.0363109596559076E-2</v>
      </c>
      <c r="E83" s="39">
        <f t="shared" si="91"/>
        <v>7.0288868723532974E-2</v>
      </c>
      <c r="F83" s="39">
        <f t="shared" si="91"/>
        <v>8.3311310782241021E-2</v>
      </c>
      <c r="G83" s="39">
        <f t="shared" si="91"/>
        <v>7.2538465927461535E-2</v>
      </c>
      <c r="H83" s="123">
        <f t="shared" si="91"/>
        <v>6.6573893924984945E-2</v>
      </c>
      <c r="I83" s="39">
        <f t="shared" si="91"/>
        <v>4.7919993657481341E-2</v>
      </c>
      <c r="J83" s="39">
        <f t="shared" si="91"/>
        <v>6.788033433109246E-2</v>
      </c>
      <c r="K83" s="39">
        <f t="shared" si="91"/>
        <v>7.7123814887825021E-2</v>
      </c>
      <c r="L83" s="39">
        <f t="shared" si="91"/>
        <v>6.7027027027027022E-2</v>
      </c>
      <c r="M83" s="123">
        <f t="shared" si="91"/>
        <v>6.2896515371147807E-2</v>
      </c>
      <c r="N83" s="39">
        <f t="shared" si="91"/>
        <v>5.6731111374688649E-2</v>
      </c>
      <c r="O83" s="414">
        <f t="shared" ref="O83" si="92">O21/O15</f>
        <v>7.6842195983797296E-2</v>
      </c>
      <c r="P83" s="126">
        <f>AVERAGE(F83,K83)+0.812636513525132%</f>
        <v>8.8343927970284342E-2</v>
      </c>
      <c r="Q83" s="126">
        <f>AVERAGE(G83,L83)+1.1%</f>
        <v>8.0782746477244274E-2</v>
      </c>
      <c r="R83" s="123"/>
      <c r="S83" s="126">
        <f>AVERAGE(I83,N83)+0.630225410574672%</f>
        <v>5.8627806621831709E-2</v>
      </c>
      <c r="T83" s="126">
        <f>AVERAGE(J83,O83)+0.339942383366482%</f>
        <v>7.5760688991109687E-2</v>
      </c>
      <c r="U83" s="126">
        <f>AVERAGE(K83,P83)+0.134012850229306%</f>
        <v>8.4073999931347745E-2</v>
      </c>
      <c r="V83" s="126">
        <f>AVERAGE(L83,Q83)+0.134012850229306%</f>
        <v>7.5245015254428713E-2</v>
      </c>
      <c r="W83" s="123"/>
      <c r="X83" s="126">
        <f>AVERAGE(N83,S83)-0.665561320748022%</f>
        <v>5.1023845790779961E-2</v>
      </c>
      <c r="Y83" s="126">
        <f>AVERAGE(O83,T83)-0.665561320748022%</f>
        <v>6.9645829279973273E-2</v>
      </c>
      <c r="Z83" s="126">
        <f>AVERAGE(P83,U83)-0.665561320748022%</f>
        <v>7.9553350743335818E-2</v>
      </c>
      <c r="AA83" s="126">
        <f>AVERAGE(Q83,V83)-0.665561320748022%</f>
        <v>7.1358267658356275E-2</v>
      </c>
      <c r="AB83" s="123"/>
      <c r="AC83" s="126">
        <f>AVERAGE(S83,X83)-0.705094504875928%</f>
        <v>4.7774881157546557E-2</v>
      </c>
      <c r="AD83" s="126">
        <f>AVERAGE(T83,Y83)-0.705094504875928%</f>
        <v>6.565231408678221E-2</v>
      </c>
      <c r="AE83" s="126">
        <f>AVERAGE(U83,Z83)-0.705094504875928%</f>
        <v>7.4762730288582505E-2</v>
      </c>
      <c r="AF83" s="126">
        <f>AVERAGE(V83,AA83)-0.705094504875928%</f>
        <v>6.6250696407633217E-2</v>
      </c>
      <c r="AG83" s="123"/>
      <c r="AH83" s="126">
        <f>AVERAGE(X83,AC83)</f>
        <v>4.9399363474163259E-2</v>
      </c>
      <c r="AI83" s="126">
        <f>AVERAGE(Y83,AD83)</f>
        <v>6.7649071683377748E-2</v>
      </c>
      <c r="AJ83" s="126">
        <f t="shared" ref="AJ83" si="93">AVERAGE(Z83,AE83)</f>
        <v>7.7158040515959161E-2</v>
      </c>
      <c r="AK83" s="126">
        <f>AVERAGE(AA83,AF83)</f>
        <v>6.8804482032994746E-2</v>
      </c>
      <c r="AL83" s="123">
        <f>AL21/AL15</f>
        <v>6.4003205990386391E-2</v>
      </c>
    </row>
    <row r="84" spans="2:38" outlineLevel="1" x14ac:dyDescent="0.3">
      <c r="B84" s="355" t="s">
        <v>40</v>
      </c>
      <c r="C84" s="356"/>
      <c r="D84" s="39">
        <f t="shared" ref="D84:N84" si="94">D20/D15</f>
        <v>3.6642799709001798E-2</v>
      </c>
      <c r="E84" s="39">
        <f t="shared" si="94"/>
        <v>5.2480338777979432E-2</v>
      </c>
      <c r="F84" s="39">
        <f t="shared" si="94"/>
        <v>6.4680232558139539E-2</v>
      </c>
      <c r="G84" s="39">
        <f t="shared" si="94"/>
        <v>5.6999942943000058E-2</v>
      </c>
      <c r="H84" s="123">
        <f t="shared" si="94"/>
        <v>5.0520428906706681E-2</v>
      </c>
      <c r="I84" s="39">
        <f t="shared" si="94"/>
        <v>3.8587430487128087E-2</v>
      </c>
      <c r="J84" s="39">
        <f t="shared" si="94"/>
        <v>5.5252956474802495E-2</v>
      </c>
      <c r="K84" s="39">
        <f t="shared" si="94"/>
        <v>6.948277480521918E-2</v>
      </c>
      <c r="L84" s="39">
        <f t="shared" si="94"/>
        <v>5.9618441971383149E-2</v>
      </c>
      <c r="M84" s="123">
        <f t="shared" si="94"/>
        <v>5.3600406634161032E-2</v>
      </c>
      <c r="N84" s="39">
        <f t="shared" si="94"/>
        <v>4.6281579883762303E-2</v>
      </c>
      <c r="O84" s="414">
        <f t="shared" ref="O84" si="95">O20/O15</f>
        <v>6.8051366026027751E-2</v>
      </c>
      <c r="P84" s="126">
        <f>AVERAGE(F84,K84)+0.812636513525132%</f>
        <v>7.5207868816930687E-2</v>
      </c>
      <c r="Q84" s="126">
        <f>AVERAGE(G84,L84)+1.1%</f>
        <v>6.9309192457191596E-2</v>
      </c>
      <c r="R84" s="123"/>
      <c r="S84" s="126">
        <f>AVERAGE(I84,N84)+0.630225410574672%</f>
        <v>4.8736759291191915E-2</v>
      </c>
      <c r="T84" s="126">
        <f>AVERAGE(J84,O84)+0.339942383366482%</f>
        <v>6.5051585084079946E-2</v>
      </c>
      <c r="U84" s="126">
        <f>AVERAGE(K84,P84)+0.134012850229306%</f>
        <v>7.3685450313367998E-2</v>
      </c>
      <c r="V84" s="126">
        <f>AVERAGE(L84,Q84)+0.134012850229306%</f>
        <v>6.5803945716580436E-2</v>
      </c>
      <c r="W84" s="123"/>
      <c r="X84" s="126">
        <f>AVERAGE(N84,S84)-0.665561320748022%</f>
        <v>4.0853556379996894E-2</v>
      </c>
      <c r="Y84" s="126">
        <f>AVERAGE(O84,T84)-0.665561320748022%</f>
        <v>5.9895862347573631E-2</v>
      </c>
      <c r="Z84" s="126">
        <f>AVERAGE(P84,U84)-0.665561320748022%</f>
        <v>6.7791046357669124E-2</v>
      </c>
      <c r="AA84" s="126">
        <f>AVERAGE(Q84,V84)-0.665561320748022%</f>
        <v>6.0900955879405791E-2</v>
      </c>
      <c r="AB84" s="123"/>
      <c r="AC84" s="126">
        <f>AVERAGE(S84,X84)-0.705094504875928%</f>
        <v>3.7744212786835124E-2</v>
      </c>
      <c r="AD84" s="126">
        <f>AVERAGE(T84,Y84)-0.705094504875928%</f>
        <v>5.5422778667067511E-2</v>
      </c>
      <c r="AE84" s="126">
        <f>AVERAGE(U84,Z84)-0.705094504875928%</f>
        <v>6.3687303286759284E-2</v>
      </c>
      <c r="AF84" s="126">
        <f>AVERAGE(V84,AA84)-0.705094504875928%</f>
        <v>5.6301505749233843E-2</v>
      </c>
      <c r="AG84" s="123"/>
      <c r="AH84" s="126">
        <f>AVERAGE(X84,AC84)</f>
        <v>3.9298884583416009E-2</v>
      </c>
      <c r="AI84" s="126">
        <f>AVERAGE(Y84,AD84)</f>
        <v>5.7659320507320574E-2</v>
      </c>
      <c r="AJ84" s="126">
        <f t="shared" ref="AJ84" si="96">AVERAGE(Z84,AE84)</f>
        <v>6.5739174822214197E-2</v>
      </c>
      <c r="AK84" s="126">
        <f>AVERAGE(AA84,AF84)</f>
        <v>5.8601230814319817E-2</v>
      </c>
      <c r="AL84" s="123">
        <f>AL20/AL15</f>
        <v>5.362793518683031E-2</v>
      </c>
    </row>
    <row r="85" spans="2:38" outlineLevel="1" x14ac:dyDescent="0.3">
      <c r="B85" s="365" t="s">
        <v>343</v>
      </c>
      <c r="C85" s="366"/>
      <c r="D85" s="128">
        <f t="shared" ref="D85" si="97">D25/(D118+D119+D126)</f>
        <v>4.9737900768011701E-3</v>
      </c>
      <c r="E85" s="128">
        <f t="shared" ref="E85" si="98">E25/(E118+E119+E126)</f>
        <v>4.9914149220724102E-3</v>
      </c>
      <c r="F85" s="128">
        <f t="shared" ref="F85:N85" si="99">F25/(F118+F119+F126)</f>
        <v>5.0742593187414918E-3</v>
      </c>
      <c r="G85" s="128">
        <f t="shared" si="99"/>
        <v>5.0874876810651001E-3</v>
      </c>
      <c r="H85" s="129"/>
      <c r="I85" s="128">
        <f t="shared" si="99"/>
        <v>5.0930034339189819E-3</v>
      </c>
      <c r="J85" s="128">
        <f t="shared" si="99"/>
        <v>5.6319370121170843E-3</v>
      </c>
      <c r="K85" s="128">
        <f t="shared" si="99"/>
        <v>5.8176029670595668E-3</v>
      </c>
      <c r="L85" s="128">
        <f t="shared" si="99"/>
        <v>5.5293125263601852E-3</v>
      </c>
      <c r="M85" s="129"/>
      <c r="N85" s="128">
        <f t="shared" si="99"/>
        <v>5.333931887281409E-3</v>
      </c>
      <c r="O85" s="416">
        <f t="shared" ref="O85" si="100">O25/(O118+O119+O126)</f>
        <v>6.0245507095926997E-3</v>
      </c>
      <c r="P85" s="130">
        <f t="shared" ref="P85:Q86" si="101">O85</f>
        <v>6.0245507095926997E-3</v>
      </c>
      <c r="Q85" s="130">
        <f t="shared" si="101"/>
        <v>6.0245507095926997E-3</v>
      </c>
      <c r="R85" s="129"/>
      <c r="S85" s="130">
        <f>Q85</f>
        <v>6.0245507095926997E-3</v>
      </c>
      <c r="T85" s="130">
        <f t="shared" ref="T85:V86" si="102">S85</f>
        <v>6.0245507095926997E-3</v>
      </c>
      <c r="U85" s="130">
        <f t="shared" si="102"/>
        <v>6.0245507095926997E-3</v>
      </c>
      <c r="V85" s="130">
        <f t="shared" si="102"/>
        <v>6.0245507095926997E-3</v>
      </c>
      <c r="W85" s="129"/>
      <c r="X85" s="130">
        <f>V85</f>
        <v>6.0245507095926997E-3</v>
      </c>
      <c r="Y85" s="130">
        <f t="shared" ref="Y85:AA86" si="103">X85</f>
        <v>6.0245507095926997E-3</v>
      </c>
      <c r="Z85" s="130">
        <f t="shared" si="103"/>
        <v>6.0245507095926997E-3</v>
      </c>
      <c r="AA85" s="130">
        <f t="shared" si="103"/>
        <v>6.0245507095926997E-3</v>
      </c>
      <c r="AB85" s="129"/>
      <c r="AC85" s="130">
        <f>AA85</f>
        <v>6.0245507095926997E-3</v>
      </c>
      <c r="AD85" s="130">
        <f t="shared" ref="AD85:AD86" si="104">AC85</f>
        <v>6.0245507095926997E-3</v>
      </c>
      <c r="AE85" s="130">
        <f t="shared" ref="AE85:AE86" si="105">AD85</f>
        <v>6.0245507095926997E-3</v>
      </c>
      <c r="AF85" s="130">
        <f t="shared" ref="AF85:AF86" si="106">AE85</f>
        <v>6.0245507095926997E-3</v>
      </c>
      <c r="AG85" s="129"/>
      <c r="AH85" s="130">
        <f>AF85</f>
        <v>6.0245507095926997E-3</v>
      </c>
      <c r="AI85" s="130">
        <f t="shared" ref="AI85:AI86" si="107">AH85</f>
        <v>6.0245507095926997E-3</v>
      </c>
      <c r="AJ85" s="130">
        <f t="shared" ref="AJ85:AJ86" si="108">AI85</f>
        <v>6.0245507095926997E-3</v>
      </c>
      <c r="AK85" s="130">
        <f t="shared" ref="AK85:AK86" si="109">AJ85</f>
        <v>6.0245507095926997E-3</v>
      </c>
      <c r="AL85" s="129"/>
    </row>
    <row r="86" spans="2:38" outlineLevel="1" x14ac:dyDescent="0.3">
      <c r="B86" s="25" t="s">
        <v>344</v>
      </c>
      <c r="C86" s="73"/>
      <c r="D86" s="39">
        <f>D26/(D136+D139)</f>
        <v>-5.9966418805468937E-3</v>
      </c>
      <c r="E86" s="39">
        <f>E26/(E136+E139)</f>
        <v>-5.3795091451655465E-3</v>
      </c>
      <c r="F86" s="39">
        <f t="shared" ref="F86:N86" si="110">F26/(F136+F139)</f>
        <v>-5.5566324223040638E-3</v>
      </c>
      <c r="G86" s="39">
        <f t="shared" si="110"/>
        <v>-5.7572614107883821E-3</v>
      </c>
      <c r="H86" s="123"/>
      <c r="I86" s="39">
        <f t="shared" si="110"/>
        <v>-5.9967320261437905E-3</v>
      </c>
      <c r="J86" s="39">
        <f t="shared" si="110"/>
        <v>-6.5003282994090614E-3</v>
      </c>
      <c r="K86" s="39">
        <f t="shared" si="110"/>
        <v>-7.3821989528795812E-3</v>
      </c>
      <c r="L86" s="39">
        <f t="shared" si="110"/>
        <v>-7.5819117248849171E-3</v>
      </c>
      <c r="M86" s="123"/>
      <c r="N86" s="39">
        <f t="shared" si="110"/>
        <v>-7.7573433278131263E-3</v>
      </c>
      <c r="O86" s="414">
        <f t="shared" ref="O86" si="111">O26/(O136+O139)</f>
        <v>-8.9674154310574444E-3</v>
      </c>
      <c r="P86" s="126">
        <f t="shared" si="101"/>
        <v>-8.9674154310574444E-3</v>
      </c>
      <c r="Q86" s="126">
        <f t="shared" si="101"/>
        <v>-8.9674154310574444E-3</v>
      </c>
      <c r="R86" s="123"/>
      <c r="S86" s="126">
        <f>Q86</f>
        <v>-8.9674154310574444E-3</v>
      </c>
      <c r="T86" s="126">
        <f t="shared" si="102"/>
        <v>-8.9674154310574444E-3</v>
      </c>
      <c r="U86" s="126">
        <f t="shared" si="102"/>
        <v>-8.9674154310574444E-3</v>
      </c>
      <c r="V86" s="126">
        <f t="shared" si="102"/>
        <v>-8.9674154310574444E-3</v>
      </c>
      <c r="W86" s="123"/>
      <c r="X86" s="126">
        <f>V86</f>
        <v>-8.9674154310574444E-3</v>
      </c>
      <c r="Y86" s="126">
        <f t="shared" si="103"/>
        <v>-8.9674154310574444E-3</v>
      </c>
      <c r="Z86" s="126">
        <f t="shared" si="103"/>
        <v>-8.9674154310574444E-3</v>
      </c>
      <c r="AA86" s="126">
        <f t="shared" si="103"/>
        <v>-8.9674154310574444E-3</v>
      </c>
      <c r="AB86" s="123"/>
      <c r="AC86" s="126">
        <f>AA86</f>
        <v>-8.9674154310574444E-3</v>
      </c>
      <c r="AD86" s="126">
        <f t="shared" si="104"/>
        <v>-8.9674154310574444E-3</v>
      </c>
      <c r="AE86" s="126">
        <f t="shared" si="105"/>
        <v>-8.9674154310574444E-3</v>
      </c>
      <c r="AF86" s="126">
        <f t="shared" si="106"/>
        <v>-8.9674154310574444E-3</v>
      </c>
      <c r="AG86" s="123"/>
      <c r="AH86" s="126">
        <f>AF86</f>
        <v>-8.9674154310574444E-3</v>
      </c>
      <c r="AI86" s="126">
        <f t="shared" si="107"/>
        <v>-8.9674154310574444E-3</v>
      </c>
      <c r="AJ86" s="126">
        <f t="shared" si="108"/>
        <v>-8.9674154310574444E-3</v>
      </c>
      <c r="AK86" s="126">
        <f t="shared" si="109"/>
        <v>-8.9674154310574444E-3</v>
      </c>
      <c r="AL86" s="123"/>
    </row>
    <row r="87" spans="2:38" ht="16.2" x14ac:dyDescent="0.45">
      <c r="B87" s="363" t="s">
        <v>192</v>
      </c>
      <c r="C87" s="364"/>
      <c r="D87" s="49" t="s">
        <v>163</v>
      </c>
      <c r="E87" s="49" t="s">
        <v>196</v>
      </c>
      <c r="F87" s="49" t="s">
        <v>214</v>
      </c>
      <c r="G87" s="10" t="s">
        <v>216</v>
      </c>
      <c r="H87" s="267" t="s">
        <v>217</v>
      </c>
      <c r="I87" s="10" t="s">
        <v>218</v>
      </c>
      <c r="J87" s="10" t="s">
        <v>219</v>
      </c>
      <c r="K87" s="10" t="s">
        <v>220</v>
      </c>
      <c r="L87" s="10" t="s">
        <v>221</v>
      </c>
      <c r="M87" s="267" t="s">
        <v>222</v>
      </c>
      <c r="N87" s="10" t="s">
        <v>223</v>
      </c>
      <c r="O87" s="10" t="s">
        <v>383</v>
      </c>
      <c r="P87" s="50" t="s">
        <v>46</v>
      </c>
      <c r="Q87" s="50" t="s">
        <v>47</v>
      </c>
      <c r="R87" s="268" t="s">
        <v>128</v>
      </c>
      <c r="S87" s="50" t="s">
        <v>135</v>
      </c>
      <c r="T87" s="50" t="s">
        <v>140</v>
      </c>
      <c r="U87" s="50" t="s">
        <v>141</v>
      </c>
      <c r="V87" s="50" t="s">
        <v>142</v>
      </c>
      <c r="W87" s="268" t="s">
        <v>143</v>
      </c>
      <c r="X87" s="50" t="s">
        <v>158</v>
      </c>
      <c r="Y87" s="50" t="s">
        <v>159</v>
      </c>
      <c r="Z87" s="50" t="s">
        <v>160</v>
      </c>
      <c r="AA87" s="50" t="s">
        <v>161</v>
      </c>
      <c r="AB87" s="268" t="s">
        <v>162</v>
      </c>
      <c r="AC87" s="50" t="s">
        <v>281</v>
      </c>
      <c r="AD87" s="50" t="s">
        <v>282</v>
      </c>
      <c r="AE87" s="50" t="s">
        <v>283</v>
      </c>
      <c r="AF87" s="50" t="s">
        <v>284</v>
      </c>
      <c r="AG87" s="268" t="s">
        <v>285</v>
      </c>
      <c r="AH87" s="50" t="s">
        <v>290</v>
      </c>
      <c r="AI87" s="50" t="s">
        <v>291</v>
      </c>
      <c r="AJ87" s="50" t="s">
        <v>292</v>
      </c>
      <c r="AK87" s="50" t="s">
        <v>293</v>
      </c>
      <c r="AL87" s="268" t="s">
        <v>294</v>
      </c>
    </row>
    <row r="88" spans="2:38" hidden="1" outlineLevel="1" x14ac:dyDescent="0.3">
      <c r="B88" s="355" t="s">
        <v>133</v>
      </c>
      <c r="C88" s="356"/>
      <c r="D88" s="39">
        <f>(D32+D92+D95+D98)/5366.912-1</f>
        <v>4.7101763157468834E-3</v>
      </c>
      <c r="E88" s="39">
        <f>(E32+E92+E98+E101)/D32-1</f>
        <v>-3.3823371618582065E-3</v>
      </c>
      <c r="F88" s="39">
        <f>(F32+F92+F101+F104)/E32-1</f>
        <v>3.5732732458904071E-3</v>
      </c>
      <c r="G88" s="39">
        <f>(G32+G92+G104+G107)/F32-1</f>
        <v>-1.0767553287491349E-2</v>
      </c>
      <c r="H88" s="123"/>
      <c r="I88" s="39">
        <f>(I32+I92+I95+I98+I101+I104+I107+I110)/G32-1</f>
        <v>1.5710466752477448E-2</v>
      </c>
      <c r="J88" s="39">
        <f>(J32+J92+J98+J101+J95+J104+J107+J110)/I32-1</f>
        <v>1.0699846681232472E-2</v>
      </c>
      <c r="K88" s="39">
        <f>(K32+K92+K101+K104)/J32-1</f>
        <v>-5.9567627227491426E-3</v>
      </c>
      <c r="L88" s="39">
        <f>(L32+L92+L104+L107)/K32-1</f>
        <v>2.434369819795057E-3</v>
      </c>
      <c r="M88" s="123"/>
      <c r="N88" s="39">
        <f>(N32+N92)/L32-1</f>
        <v>-5.7782954767682249E-3</v>
      </c>
      <c r="O88" s="39">
        <f>(O32+O92+O98+O101+O95+O104+O107+O110+O113)/N32-1</f>
        <v>1.3831906776776259E-2</v>
      </c>
      <c r="P88" s="126">
        <v>-5.0000000000000001E-3</v>
      </c>
      <c r="Q88" s="126">
        <f>AVERAGE(P88,O88,N88,L88)</f>
        <v>1.3719952799507726E-3</v>
      </c>
      <c r="R88" s="123"/>
      <c r="S88" s="126">
        <f>AVERAGE(Q88,P88,O88,N88)</f>
        <v>1.1064016449897018E-3</v>
      </c>
      <c r="T88" s="126">
        <f>AVERAGE(S88,Q88,P88,O88)</f>
        <v>2.8275759254291835E-3</v>
      </c>
      <c r="U88" s="126">
        <f>AVERAGE(T88,S88,Q88,P88)</f>
        <v>7.6493212592414553E-5</v>
      </c>
      <c r="V88" s="126">
        <f>AVERAGE(U88,T88,S88,Q88)</f>
        <v>1.3456165157405182E-3</v>
      </c>
      <c r="W88" s="123"/>
      <c r="X88" s="126">
        <f>AVERAGE(V88,U88,T88,S88)</f>
        <v>1.3390218246879543E-3</v>
      </c>
      <c r="Y88" s="126">
        <f>AVERAGE(X88,V88,U88,T88)</f>
        <v>1.3971768696125176E-3</v>
      </c>
      <c r="Z88" s="126">
        <f>AVERAGE(Y88,X88,V88,U88)</f>
        <v>1.0395771056583511E-3</v>
      </c>
      <c r="AA88" s="126">
        <f>AVERAGE(Z88,Y88,X88,V88)</f>
        <v>1.2803480789248354E-3</v>
      </c>
      <c r="AB88" s="123"/>
      <c r="AC88" s="126">
        <f>AVERAGE(AA88,Z88,Y88,X88)</f>
        <v>1.2640309697209146E-3</v>
      </c>
      <c r="AD88" s="126">
        <f>AVERAGE(AC88,AA88,Z88,Y88)</f>
        <v>1.2452832559791546E-3</v>
      </c>
      <c r="AE88" s="126">
        <f>AVERAGE(AD88,AC88,AA88,Z88)</f>
        <v>1.2073098525708138E-3</v>
      </c>
      <c r="AF88" s="126">
        <f>AVERAGE(AE88,AD88,AC88,AA88)</f>
        <v>1.2492430392989295E-3</v>
      </c>
      <c r="AG88" s="123"/>
      <c r="AH88" s="126">
        <f>AVERAGE(AF88,AE88,AD88,AC88)</f>
        <v>1.2414667793924532E-3</v>
      </c>
      <c r="AI88" s="126">
        <f>AVERAGE(AH88,AF88,AE88,AD88)</f>
        <v>1.2358257318103377E-3</v>
      </c>
      <c r="AJ88" s="126">
        <f>AVERAGE(AI88,AH88,AF88,AE88)</f>
        <v>1.2334613507681334E-3</v>
      </c>
      <c r="AK88" s="126">
        <f>AVERAGE(AJ88,AI88,AH88,AF88)</f>
        <v>1.2399992253174633E-3</v>
      </c>
      <c r="AL88" s="123"/>
    </row>
    <row r="89" spans="2:38" hidden="1" outlineLevel="1" x14ac:dyDescent="0.3">
      <c r="B89" s="355" t="s">
        <v>134</v>
      </c>
      <c r="C89" s="356"/>
      <c r="D89" s="39">
        <f>(D33+D92+D95+D98)/5393.333-1</f>
        <v>5.2272132633193191E-3</v>
      </c>
      <c r="E89" s="39">
        <f>(E33+E92+E98+E101)/D33-1</f>
        <v>-2.1319197950427915E-3</v>
      </c>
      <c r="F89" s="39">
        <f>(F33+F92+F101+F104)/E33-1</f>
        <v>4.0266886156903325E-3</v>
      </c>
      <c r="G89" s="39">
        <f>(G33+G92+G104+G107)/F33-1</f>
        <v>-1.0713400631482628E-2</v>
      </c>
      <c r="H89" s="123"/>
      <c r="I89" s="39">
        <f>(I33+I92+I95+I98+I101+I104+I107+I110)/G33-1</f>
        <v>1.6885749344160761E-2</v>
      </c>
      <c r="J89" s="39">
        <f>(J33+J92+J98+J101+J95+J104+J107+J110)/I33-1</f>
        <v>1.0355797942024347E-2</v>
      </c>
      <c r="K89" s="39">
        <f>(K33+K92+K101+K104)/J33-1</f>
        <v>-5.7425353058591089E-3</v>
      </c>
      <c r="L89" s="39">
        <f>(L33+L92+L104+L107)/K33-1</f>
        <v>2.7201265616976222E-3</v>
      </c>
      <c r="M89" s="123"/>
      <c r="N89" s="39">
        <f>(N33+N92)/L33-1</f>
        <v>-7.4823410685855851E-3</v>
      </c>
      <c r="O89" s="39">
        <f>(O33+O92+O98+O101+O95+O104+O107+O110+O113)/N33-1</f>
        <v>1.1448886577032136E-2</v>
      </c>
      <c r="P89" s="126">
        <v>-6.0000000000000001E-3</v>
      </c>
      <c r="Q89" s="126">
        <f>AVERAGE(P89,O89,N89,L89)</f>
        <v>1.7166801753604318E-4</v>
      </c>
      <c r="R89" s="123"/>
      <c r="S89" s="126">
        <f>AVERAGE(Q89,P89,O89,N89)</f>
        <v>-4.6544661850435147E-4</v>
      </c>
      <c r="T89" s="126">
        <f>AVERAGE(S89,Q89,P89,O89)</f>
        <v>1.2887769940159569E-3</v>
      </c>
      <c r="U89" s="126">
        <f>AVERAGE(T89,S89,Q89,P89)</f>
        <v>-1.2512504017380879E-3</v>
      </c>
      <c r="V89" s="126">
        <f>AVERAGE(U89,T89,S89,Q89)</f>
        <v>-6.4063002172609802E-5</v>
      </c>
      <c r="W89" s="123"/>
      <c r="X89" s="126">
        <f>AVERAGE(V89,U89,T89,S89)</f>
        <v>-1.2299575709977305E-4</v>
      </c>
      <c r="Y89" s="126">
        <f>AVERAGE(X89,V89,U89,T89)</f>
        <v>-3.7383041748628417E-5</v>
      </c>
      <c r="Z89" s="126">
        <f>AVERAGE(Y89,X89,V89,U89)</f>
        <v>-3.6892305068977481E-4</v>
      </c>
      <c r="AA89" s="126">
        <f>AVERAGE(Z89,Y89,X89,V89)</f>
        <v>-1.4834121292769652E-4</v>
      </c>
      <c r="AB89" s="123"/>
      <c r="AC89" s="126">
        <f>AVERAGE(AA89,Z89,Y89,X89)</f>
        <v>-1.6941076561646819E-4</v>
      </c>
      <c r="AD89" s="126">
        <f>AVERAGE(AC89,AA89,Z89,Y89)</f>
        <v>-1.81014517745642E-4</v>
      </c>
      <c r="AE89" s="126">
        <f>AVERAGE(AD89,AC89,AA89,Z89)</f>
        <v>-2.1692238674489537E-4</v>
      </c>
      <c r="AF89" s="126">
        <f>AVERAGE(AE89,AD89,AC89,AA89)</f>
        <v>-1.7892222075867551E-4</v>
      </c>
      <c r="AG89" s="123"/>
      <c r="AH89" s="126">
        <f>AVERAGE(AF89,AE89,AD89,AC89)</f>
        <v>-1.8656747271642027E-4</v>
      </c>
      <c r="AI89" s="126">
        <f>AVERAGE(AH89,AF89,AE89,AD89)</f>
        <v>-1.9085664949140829E-4</v>
      </c>
      <c r="AJ89" s="126">
        <f>AVERAGE(AI89,AH89,AF89,AE89)</f>
        <v>-1.9331718242784985E-4</v>
      </c>
      <c r="AK89" s="126">
        <f>AVERAGE(AJ89,AI89,AH89,AF89)</f>
        <v>-1.8741588134858848E-4</v>
      </c>
      <c r="AL89" s="123"/>
    </row>
    <row r="90" spans="2:38" hidden="1" outlineLevel="1" x14ac:dyDescent="0.3">
      <c r="B90" s="369" t="s">
        <v>48</v>
      </c>
      <c r="C90" s="366"/>
      <c r="D90" s="258">
        <v>112.78</v>
      </c>
      <c r="E90" s="258">
        <v>128.74</v>
      </c>
      <c r="F90" s="258">
        <v>148.24</v>
      </c>
      <c r="G90" s="258">
        <v>154.78</v>
      </c>
      <c r="H90" s="79"/>
      <c r="I90" s="258">
        <v>169.26</v>
      </c>
      <c r="J90" s="258">
        <f>((20.323*172.22)+(62.421*168.21)+(54.296*174.97))/(20.323+62.421+54.296)</f>
        <v>171.48303115878576</v>
      </c>
      <c r="K90" s="258">
        <f>((67.707*170.46)+(22.026*187.56)+(23.045*187.78))/(67.707+22.026+23.045)</f>
        <v>177.33885935200129</v>
      </c>
      <c r="L90" s="258">
        <f>((26.859*192.5)+(36.575*214.07)+(29.029*222.07))/(26.859+36.575+29.029)</f>
        <v>210.31588613823905</v>
      </c>
      <c r="M90" s="79"/>
      <c r="N90" s="258">
        <f>((31.343*219.71)+(6.681*202.07))/(31.343+6.681)</f>
        <v>216.61056701030927</v>
      </c>
      <c r="O90" s="417">
        <f>((28.04*153.57)+(28.04*153.57)+(18.058*182.7))/(28.04+25.556+18.058)</f>
        <v>166.23499316158203</v>
      </c>
      <c r="P90" s="284">
        <v>180</v>
      </c>
      <c r="Q90" s="284">
        <f>P90</f>
        <v>180</v>
      </c>
      <c r="R90" s="79"/>
      <c r="S90" s="284">
        <f>Q90</f>
        <v>180</v>
      </c>
      <c r="T90" s="284">
        <f>S90</f>
        <v>180</v>
      </c>
      <c r="U90" s="284">
        <f>T90</f>
        <v>180</v>
      </c>
      <c r="V90" s="284">
        <f>U90</f>
        <v>180</v>
      </c>
      <c r="W90" s="79"/>
      <c r="X90" s="284">
        <f>V90</f>
        <v>180</v>
      </c>
      <c r="Y90" s="284">
        <f>X90</f>
        <v>180</v>
      </c>
      <c r="Z90" s="284">
        <f>Y90</f>
        <v>180</v>
      </c>
      <c r="AA90" s="284">
        <f>Z90</f>
        <v>180</v>
      </c>
      <c r="AB90" s="79"/>
      <c r="AC90" s="284">
        <f>AA90</f>
        <v>180</v>
      </c>
      <c r="AD90" s="284">
        <f>AC90</f>
        <v>180</v>
      </c>
      <c r="AE90" s="284">
        <f>AD90</f>
        <v>180</v>
      </c>
      <c r="AF90" s="284">
        <f>AE90</f>
        <v>180</v>
      </c>
      <c r="AG90" s="79"/>
      <c r="AH90" s="284">
        <f>AF90</f>
        <v>180</v>
      </c>
      <c r="AI90" s="284">
        <f>AH90</f>
        <v>180</v>
      </c>
      <c r="AJ90" s="284">
        <f>AI90</f>
        <v>180</v>
      </c>
      <c r="AK90" s="284">
        <f>AJ90</f>
        <v>180</v>
      </c>
      <c r="AL90" s="79"/>
    </row>
    <row r="91" spans="2:38" hidden="1" outlineLevel="1" x14ac:dyDescent="0.3">
      <c r="B91" s="355" t="s">
        <v>49</v>
      </c>
      <c r="C91" s="356"/>
      <c r="D91" s="32">
        <v>5000</v>
      </c>
      <c r="E91" s="32">
        <v>4001</v>
      </c>
      <c r="F91" s="32">
        <v>4500</v>
      </c>
      <c r="G91" s="32">
        <v>4500</v>
      </c>
      <c r="H91" s="53"/>
      <c r="I91" s="32">
        <v>5109</v>
      </c>
      <c r="J91" s="32">
        <f>((20.323*172.22)+(62.421*168.21)+(54.296*174.97))</f>
        <v>23500.034589999999</v>
      </c>
      <c r="K91" s="32">
        <f>((67.707*170.46)+(22.026*187.56)+(23.045*187.78))</f>
        <v>19999.921880000002</v>
      </c>
      <c r="L91" s="32">
        <f>((26.859*192.5)+(36.575*214.07)+(29.029*222.07))</f>
        <v>19446.43778</v>
      </c>
      <c r="M91" s="53"/>
      <c r="N91" s="32">
        <f>((31.343*219.71)+(6.681*202.07))</f>
        <v>8236.4002</v>
      </c>
      <c r="O91" s="32">
        <f>((28.04*153.57)+(25.556*171.96)+(18.058*182.7))</f>
        <v>11999.909159999999</v>
      </c>
      <c r="P91" s="131">
        <v>8000</v>
      </c>
      <c r="Q91" s="131">
        <v>8000</v>
      </c>
      <c r="R91" s="53"/>
      <c r="S91" s="131">
        <v>4000</v>
      </c>
      <c r="T91" s="131">
        <v>4000</v>
      </c>
      <c r="U91" s="131">
        <v>4000</v>
      </c>
      <c r="V91" s="131">
        <v>4000</v>
      </c>
      <c r="W91" s="53"/>
      <c r="X91" s="131">
        <v>4000</v>
      </c>
      <c r="Y91" s="131">
        <v>4000</v>
      </c>
      <c r="Z91" s="131">
        <v>4000</v>
      </c>
      <c r="AA91" s="131">
        <v>4000</v>
      </c>
      <c r="AB91" s="53"/>
      <c r="AC91" s="131">
        <v>4000</v>
      </c>
      <c r="AD91" s="131">
        <v>4000</v>
      </c>
      <c r="AE91" s="131">
        <v>4000</v>
      </c>
      <c r="AF91" s="131">
        <v>4000</v>
      </c>
      <c r="AG91" s="53"/>
      <c r="AH91" s="131">
        <v>4000</v>
      </c>
      <c r="AI91" s="131">
        <v>4000</v>
      </c>
      <c r="AJ91" s="131">
        <v>4000</v>
      </c>
      <c r="AK91" s="131">
        <v>4000</v>
      </c>
      <c r="AL91" s="53"/>
    </row>
    <row r="92" spans="2:38" hidden="1" outlineLevel="1" x14ac:dyDescent="0.3">
      <c r="B92" s="379" t="s">
        <v>152</v>
      </c>
      <c r="C92" s="374"/>
      <c r="D92" s="204">
        <f>IF((D91)&gt;0,(D91/D90),0)</f>
        <v>44.334101791097709</v>
      </c>
      <c r="E92" s="204">
        <f>IF((E91)&gt;0,(E91/E90),0)</f>
        <v>31.078141991610998</v>
      </c>
      <c r="F92" s="204">
        <f>IF((F91)&gt;0,(F91/F90),0)</f>
        <v>30.356179168915272</v>
      </c>
      <c r="G92" s="204">
        <f>IF((G91)&gt;0,(G91/G90),0)</f>
        <v>29.073523711073783</v>
      </c>
      <c r="H92" s="205"/>
      <c r="I92" s="204">
        <f>IF((I91)&gt;0,(I91/I90),0)</f>
        <v>30.184331797235025</v>
      </c>
      <c r="J92" s="204">
        <f>IF((J91)&gt;0,(J91/J90),0)</f>
        <v>137.04</v>
      </c>
      <c r="K92" s="204">
        <f>IF((K91)&gt;0,(K91/K90),0)</f>
        <v>112.77800000000001</v>
      </c>
      <c r="L92" s="204">
        <f>IF((L91)&gt;0,(L91/L90),0)</f>
        <v>92.463000000000008</v>
      </c>
      <c r="M92" s="205"/>
      <c r="N92" s="204">
        <f>IF((N91)&gt;0,(N91/N90),0)</f>
        <v>38.024000000000001</v>
      </c>
      <c r="O92" s="162">
        <f>IF((O91)&gt;0,(O91/O90),0)</f>
        <v>72.186420751592124</v>
      </c>
      <c r="P92" s="162">
        <f>IF((P91)&gt;0,(P91/P90),0)</f>
        <v>44.444444444444443</v>
      </c>
      <c r="Q92" s="162">
        <f>IF((Q91)&gt;0,(Q91/Q90),0)</f>
        <v>44.444444444444443</v>
      </c>
      <c r="R92" s="205"/>
      <c r="S92" s="162">
        <f>IF((S91)&gt;0,(S91/S90),0)</f>
        <v>22.222222222222221</v>
      </c>
      <c r="T92" s="162">
        <f>IF((T91)&gt;0,(T91/T90),0)</f>
        <v>22.222222222222221</v>
      </c>
      <c r="U92" s="162">
        <f>IF((U91)&gt;0,(U91/U90),0)</f>
        <v>22.222222222222221</v>
      </c>
      <c r="V92" s="162">
        <f>IF((V91)&gt;0,(V91/V90),0)</f>
        <v>22.222222222222221</v>
      </c>
      <c r="W92" s="205"/>
      <c r="X92" s="162">
        <f>IF((X91)&gt;0,(X91/X90),0)</f>
        <v>22.222222222222221</v>
      </c>
      <c r="Y92" s="162">
        <f>IF((Y91)&gt;0,(Y91/Y90),0)</f>
        <v>22.222222222222221</v>
      </c>
      <c r="Z92" s="162">
        <f>IF((Z91)&gt;0,(Z91/Z90),0)</f>
        <v>22.222222222222221</v>
      </c>
      <c r="AA92" s="162">
        <f>IF((AA91)&gt;0,(AA91/AA90),0)</f>
        <v>22.222222222222221</v>
      </c>
      <c r="AB92" s="205"/>
      <c r="AC92" s="162">
        <f>IF((AC91)&gt;0,(AC91/AC90),0)</f>
        <v>22.222222222222221</v>
      </c>
      <c r="AD92" s="162">
        <f>IF((AD91)&gt;0,(AD91/AD90),0)</f>
        <v>22.222222222222221</v>
      </c>
      <c r="AE92" s="162">
        <f>IF((AE91)&gt;0,(AE91/AE90),0)</f>
        <v>22.222222222222221</v>
      </c>
      <c r="AF92" s="162">
        <f>IF((AF91)&gt;0,(AF91/AF90),0)</f>
        <v>22.222222222222221</v>
      </c>
      <c r="AG92" s="205"/>
      <c r="AH92" s="162">
        <f>IF((AH91)&gt;0,(AH91/AH90),0)</f>
        <v>22.222222222222221</v>
      </c>
      <c r="AI92" s="162">
        <f>IF((AI91)&gt;0,(AI91/AI90),0)</f>
        <v>22.222222222222221</v>
      </c>
      <c r="AJ92" s="162">
        <f>IF((AJ91)&gt;0,(AJ91/AJ90),0)</f>
        <v>22.222222222222221</v>
      </c>
      <c r="AK92" s="162">
        <f>IF((AK91)&gt;0,(AK91/AK90),0)</f>
        <v>22.222222222222221</v>
      </c>
      <c r="AL92" s="205"/>
    </row>
    <row r="93" spans="2:38" hidden="1" outlineLevel="1" x14ac:dyDescent="0.3">
      <c r="B93" s="365" t="s">
        <v>240</v>
      </c>
      <c r="C93" s="366"/>
      <c r="D93" s="259">
        <v>111.73</v>
      </c>
      <c r="E93" s="78"/>
      <c r="F93" s="78"/>
      <c r="G93" s="78"/>
      <c r="H93" s="79"/>
      <c r="I93" s="78"/>
      <c r="J93" s="260"/>
      <c r="K93" s="78"/>
      <c r="L93" s="78"/>
      <c r="M93" s="79"/>
      <c r="N93" s="78"/>
      <c r="O93" s="78"/>
      <c r="P93" s="78"/>
      <c r="Q93" s="78"/>
      <c r="R93" s="79"/>
      <c r="S93" s="78"/>
      <c r="T93" s="78"/>
      <c r="U93" s="78"/>
      <c r="V93" s="78"/>
      <c r="W93" s="79"/>
      <c r="X93" s="78"/>
      <c r="Y93" s="78"/>
      <c r="Z93" s="78"/>
      <c r="AA93" s="78"/>
      <c r="AB93" s="79"/>
      <c r="AC93" s="78"/>
      <c r="AD93" s="78"/>
      <c r="AE93" s="78"/>
      <c r="AF93" s="78"/>
      <c r="AG93" s="79"/>
      <c r="AH93" s="78"/>
      <c r="AI93" s="78"/>
      <c r="AJ93" s="78"/>
      <c r="AK93" s="78"/>
      <c r="AL93" s="79"/>
    </row>
    <row r="94" spans="2:38" hidden="1" outlineLevel="1" x14ac:dyDescent="0.3">
      <c r="B94" s="370" t="s">
        <v>241</v>
      </c>
      <c r="C94" s="356"/>
      <c r="D94" s="32">
        <f>D95*D93</f>
        <v>489.60085999999995</v>
      </c>
      <c r="E94" s="32"/>
      <c r="F94" s="32"/>
      <c r="G94" s="32"/>
      <c r="H94" s="53"/>
      <c r="I94" s="32"/>
      <c r="J94" s="32"/>
      <c r="K94" s="32"/>
      <c r="L94" s="32"/>
      <c r="M94" s="53"/>
      <c r="N94" s="32"/>
      <c r="O94" s="32"/>
      <c r="P94" s="32"/>
      <c r="Q94" s="32"/>
      <c r="R94" s="53"/>
      <c r="S94" s="32"/>
      <c r="T94" s="32"/>
      <c r="U94" s="32"/>
      <c r="V94" s="32"/>
      <c r="W94" s="53"/>
      <c r="X94" s="32"/>
      <c r="Y94" s="32"/>
      <c r="Z94" s="32"/>
      <c r="AA94" s="32"/>
      <c r="AB94" s="53"/>
      <c r="AC94" s="32"/>
      <c r="AD94" s="32"/>
      <c r="AE94" s="32"/>
      <c r="AF94" s="32"/>
      <c r="AG94" s="53"/>
      <c r="AH94" s="32"/>
      <c r="AI94" s="32"/>
      <c r="AJ94" s="32"/>
      <c r="AK94" s="32"/>
      <c r="AL94" s="53"/>
    </row>
    <row r="95" spans="2:38" hidden="1" outlineLevel="1" x14ac:dyDescent="0.3">
      <c r="B95" s="373" t="s">
        <v>242</v>
      </c>
      <c r="C95" s="374"/>
      <c r="D95" s="204">
        <v>4.3819999999999997</v>
      </c>
      <c r="E95" s="162"/>
      <c r="F95" s="204"/>
      <c r="G95" s="204"/>
      <c r="H95" s="205"/>
      <c r="I95" s="162"/>
      <c r="J95" s="162"/>
      <c r="K95" s="162"/>
      <c r="L95" s="162"/>
      <c r="M95" s="205"/>
      <c r="N95" s="162"/>
      <c r="O95" s="162"/>
      <c r="P95" s="162"/>
      <c r="Q95" s="162"/>
      <c r="R95" s="205"/>
      <c r="S95" s="162"/>
      <c r="T95" s="162"/>
      <c r="U95" s="162"/>
      <c r="V95" s="162"/>
      <c r="W95" s="205"/>
      <c r="X95" s="162"/>
      <c r="Y95" s="162"/>
      <c r="Z95" s="162"/>
      <c r="AA95" s="162"/>
      <c r="AB95" s="205"/>
      <c r="AC95" s="162"/>
      <c r="AD95" s="162"/>
      <c r="AE95" s="162"/>
      <c r="AF95" s="162"/>
      <c r="AG95" s="205"/>
      <c r="AH95" s="162"/>
      <c r="AI95" s="162"/>
      <c r="AJ95" s="162"/>
      <c r="AK95" s="162"/>
      <c r="AL95" s="205"/>
    </row>
    <row r="96" spans="2:38" hidden="1" outlineLevel="1" x14ac:dyDescent="0.3">
      <c r="B96" s="365" t="s">
        <v>237</v>
      </c>
      <c r="C96" s="366"/>
      <c r="D96" s="258">
        <v>117.29</v>
      </c>
      <c r="E96" s="258">
        <v>117.29</v>
      </c>
      <c r="F96" s="78"/>
      <c r="G96" s="78"/>
      <c r="H96" s="79"/>
      <c r="I96" s="78"/>
      <c r="J96" s="78"/>
      <c r="K96" s="78"/>
      <c r="L96" s="78"/>
      <c r="M96" s="79"/>
      <c r="N96" s="78"/>
      <c r="O96" s="78"/>
      <c r="P96" s="78"/>
      <c r="Q96" s="78"/>
      <c r="R96" s="79"/>
      <c r="S96" s="78"/>
      <c r="T96" s="78"/>
      <c r="U96" s="78"/>
      <c r="V96" s="78"/>
      <c r="W96" s="79"/>
      <c r="X96" s="78"/>
      <c r="Y96" s="78"/>
      <c r="Z96" s="78"/>
      <c r="AA96" s="78"/>
      <c r="AB96" s="79"/>
      <c r="AC96" s="78"/>
      <c r="AD96" s="78"/>
      <c r="AE96" s="78"/>
      <c r="AF96" s="78"/>
      <c r="AG96" s="79"/>
      <c r="AH96" s="78"/>
      <c r="AI96" s="78"/>
      <c r="AJ96" s="78"/>
      <c r="AK96" s="78"/>
      <c r="AL96" s="79"/>
    </row>
    <row r="97" spans="2:38" hidden="1" outlineLevel="1" x14ac:dyDescent="0.3">
      <c r="B97" s="370" t="s">
        <v>238</v>
      </c>
      <c r="C97" s="356"/>
      <c r="D97" s="32">
        <f>D96*D98</f>
        <v>5256.2340600000007</v>
      </c>
      <c r="E97" s="32">
        <f>E96*E98</f>
        <v>743.97047000000009</v>
      </c>
      <c r="F97" s="32"/>
      <c r="G97" s="32"/>
      <c r="H97" s="53"/>
      <c r="I97" s="32"/>
      <c r="J97" s="32"/>
      <c r="K97" s="32"/>
      <c r="L97" s="32"/>
      <c r="M97" s="53"/>
      <c r="N97" s="32"/>
      <c r="O97" s="32"/>
      <c r="P97" s="32"/>
      <c r="Q97" s="32"/>
      <c r="R97" s="53"/>
      <c r="S97" s="32"/>
      <c r="T97" s="32"/>
      <c r="U97" s="32"/>
      <c r="V97" s="32"/>
      <c r="W97" s="53"/>
      <c r="X97" s="32"/>
      <c r="Y97" s="32"/>
      <c r="Z97" s="32"/>
      <c r="AA97" s="32"/>
      <c r="AB97" s="53"/>
      <c r="AC97" s="32"/>
      <c r="AD97" s="32"/>
      <c r="AE97" s="32"/>
      <c r="AF97" s="32"/>
      <c r="AG97" s="53"/>
      <c r="AH97" s="32"/>
      <c r="AI97" s="32"/>
      <c r="AJ97" s="32"/>
      <c r="AK97" s="32"/>
      <c r="AL97" s="53"/>
    </row>
    <row r="98" spans="2:38" hidden="1" outlineLevel="1" x14ac:dyDescent="0.3">
      <c r="B98" s="373" t="s">
        <v>239</v>
      </c>
      <c r="C98" s="374"/>
      <c r="D98" s="204">
        <v>44.814</v>
      </c>
      <c r="E98" s="204">
        <v>6.343</v>
      </c>
      <c r="F98" s="162"/>
      <c r="G98" s="204"/>
      <c r="H98" s="205"/>
      <c r="I98" s="162"/>
      <c r="J98" s="162"/>
      <c r="K98" s="162"/>
      <c r="L98" s="162"/>
      <c r="M98" s="205"/>
      <c r="N98" s="162"/>
      <c r="O98" s="162"/>
      <c r="P98" s="162"/>
      <c r="Q98" s="162"/>
      <c r="R98" s="205"/>
      <c r="S98" s="162"/>
      <c r="T98" s="162"/>
      <c r="U98" s="162"/>
      <c r="V98" s="162"/>
      <c r="W98" s="205"/>
      <c r="X98" s="162"/>
      <c r="Y98" s="162"/>
      <c r="Z98" s="162"/>
      <c r="AA98" s="162"/>
      <c r="AB98" s="205"/>
      <c r="AC98" s="162"/>
      <c r="AD98" s="162"/>
      <c r="AE98" s="162"/>
      <c r="AF98" s="162"/>
      <c r="AG98" s="205"/>
      <c r="AH98" s="162"/>
      <c r="AI98" s="162"/>
      <c r="AJ98" s="162"/>
      <c r="AK98" s="162"/>
      <c r="AL98" s="205"/>
    </row>
    <row r="99" spans="2:38" hidden="1" outlineLevel="1" x14ac:dyDescent="0.3">
      <c r="B99" s="365" t="s">
        <v>243</v>
      </c>
      <c r="C99" s="366"/>
      <c r="D99" s="206"/>
      <c r="E99" s="258">
        <v>143.19999999999999</v>
      </c>
      <c r="F99" s="78">
        <v>143.19999999999999</v>
      </c>
      <c r="G99" s="78"/>
      <c r="H99" s="79"/>
      <c r="I99" s="78"/>
      <c r="J99" s="78"/>
      <c r="K99" s="78"/>
      <c r="L99" s="78"/>
      <c r="M99" s="79"/>
      <c r="N99" s="78"/>
      <c r="O99" s="78"/>
      <c r="P99" s="78"/>
      <c r="Q99" s="78"/>
      <c r="R99" s="79"/>
      <c r="S99" s="78"/>
      <c r="T99" s="78"/>
      <c r="U99" s="78"/>
      <c r="V99" s="78"/>
      <c r="W99" s="79"/>
      <c r="X99" s="78"/>
      <c r="Y99" s="78"/>
      <c r="Z99" s="78"/>
      <c r="AA99" s="78"/>
      <c r="AB99" s="79"/>
      <c r="AC99" s="78"/>
      <c r="AD99" s="78"/>
      <c r="AE99" s="78"/>
      <c r="AF99" s="78"/>
      <c r="AG99" s="79"/>
      <c r="AH99" s="78"/>
      <c r="AI99" s="78"/>
      <c r="AJ99" s="78"/>
      <c r="AK99" s="78"/>
      <c r="AL99" s="79"/>
    </row>
    <row r="100" spans="2:38" hidden="1" outlineLevel="1" x14ac:dyDescent="0.3">
      <c r="B100" s="370" t="s">
        <v>244</v>
      </c>
      <c r="C100" s="356"/>
      <c r="D100" s="32"/>
      <c r="E100" s="32">
        <f>E99*E101</f>
        <v>2509.8663999999999</v>
      </c>
      <c r="F100" s="32">
        <f>F99*F101</f>
        <v>490.03039999999999</v>
      </c>
      <c r="G100" s="32"/>
      <c r="H100" s="53"/>
      <c r="I100" s="32"/>
      <c r="J100" s="32"/>
      <c r="K100" s="32"/>
      <c r="L100" s="32"/>
      <c r="M100" s="53"/>
      <c r="N100" s="32"/>
      <c r="O100" s="32"/>
      <c r="P100" s="32"/>
      <c r="Q100" s="32"/>
      <c r="R100" s="53"/>
      <c r="S100" s="32"/>
      <c r="T100" s="32"/>
      <c r="U100" s="32"/>
      <c r="V100" s="32"/>
      <c r="W100" s="53"/>
      <c r="X100" s="32"/>
      <c r="Y100" s="32"/>
      <c r="Z100" s="32"/>
      <c r="AA100" s="32"/>
      <c r="AB100" s="53"/>
      <c r="AC100" s="32"/>
      <c r="AD100" s="32"/>
      <c r="AE100" s="32"/>
      <c r="AF100" s="32"/>
      <c r="AG100" s="53"/>
      <c r="AH100" s="32"/>
      <c r="AI100" s="32"/>
      <c r="AJ100" s="32"/>
      <c r="AK100" s="32"/>
      <c r="AL100" s="53"/>
    </row>
    <row r="101" spans="2:38" hidden="1" outlineLevel="1" x14ac:dyDescent="0.3">
      <c r="B101" s="373" t="s">
        <v>245</v>
      </c>
      <c r="C101" s="374"/>
      <c r="D101" s="204"/>
      <c r="E101" s="204">
        <v>17.527000000000001</v>
      </c>
      <c r="F101" s="204">
        <v>3.4220000000000002</v>
      </c>
      <c r="G101" s="204"/>
      <c r="H101" s="205"/>
      <c r="I101" s="162"/>
      <c r="J101" s="162"/>
      <c r="K101" s="162"/>
      <c r="L101" s="162"/>
      <c r="M101" s="205"/>
      <c r="N101" s="162"/>
      <c r="O101" s="162"/>
      <c r="P101" s="162"/>
      <c r="Q101" s="162"/>
      <c r="R101" s="205"/>
      <c r="S101" s="162"/>
      <c r="T101" s="162"/>
      <c r="U101" s="162"/>
      <c r="V101" s="162"/>
      <c r="W101" s="205"/>
      <c r="X101" s="162"/>
      <c r="Y101" s="162"/>
      <c r="Z101" s="162"/>
      <c r="AA101" s="162"/>
      <c r="AB101" s="205"/>
      <c r="AC101" s="162"/>
      <c r="AD101" s="162"/>
      <c r="AE101" s="162"/>
      <c r="AF101" s="162"/>
      <c r="AG101" s="205"/>
      <c r="AH101" s="162"/>
      <c r="AI101" s="162"/>
      <c r="AJ101" s="162"/>
      <c r="AK101" s="162"/>
      <c r="AL101" s="205"/>
    </row>
    <row r="102" spans="2:38" hidden="1" outlineLevel="1" x14ac:dyDescent="0.3">
      <c r="B102" s="365" t="s">
        <v>231</v>
      </c>
      <c r="C102" s="366"/>
      <c r="D102" s="206"/>
      <c r="E102" s="78"/>
      <c r="F102" s="258">
        <v>149.19999999999999</v>
      </c>
      <c r="G102" s="258">
        <v>149.19999999999999</v>
      </c>
      <c r="H102" s="79"/>
      <c r="I102" s="78"/>
      <c r="J102" s="78"/>
      <c r="K102" s="78"/>
      <c r="L102" s="78"/>
      <c r="M102" s="79"/>
      <c r="N102" s="78"/>
      <c r="O102" s="78"/>
      <c r="P102" s="78"/>
      <c r="Q102" s="78"/>
      <c r="R102" s="79"/>
      <c r="S102" s="78"/>
      <c r="T102" s="78"/>
      <c r="U102" s="78"/>
      <c r="V102" s="78"/>
      <c r="W102" s="79"/>
      <c r="X102" s="78"/>
      <c r="Y102" s="78"/>
      <c r="Z102" s="78"/>
      <c r="AA102" s="78"/>
      <c r="AB102" s="79"/>
      <c r="AC102" s="78"/>
      <c r="AD102" s="78"/>
      <c r="AE102" s="78"/>
      <c r="AF102" s="78"/>
      <c r="AG102" s="79"/>
      <c r="AH102" s="78"/>
      <c r="AI102" s="78"/>
      <c r="AJ102" s="78"/>
      <c r="AK102" s="78"/>
      <c r="AL102" s="79"/>
    </row>
    <row r="103" spans="2:38" hidden="1" outlineLevel="1" x14ac:dyDescent="0.3">
      <c r="B103" s="370" t="s">
        <v>232</v>
      </c>
      <c r="C103" s="356"/>
      <c r="D103" s="32"/>
      <c r="E103" s="32"/>
      <c r="F103" s="32">
        <f>F104*F102</f>
        <v>2327.2215999999999</v>
      </c>
      <c r="G103" s="32">
        <v>671.4</v>
      </c>
      <c r="H103" s="53"/>
      <c r="I103" s="32"/>
      <c r="J103" s="32"/>
      <c r="K103" s="32"/>
      <c r="L103" s="32"/>
      <c r="M103" s="53"/>
      <c r="N103" s="32"/>
      <c r="O103" s="32"/>
      <c r="P103" s="32"/>
      <c r="Q103" s="32"/>
      <c r="R103" s="53"/>
      <c r="S103" s="32"/>
      <c r="T103" s="32"/>
      <c r="U103" s="32"/>
      <c r="V103" s="32"/>
      <c r="W103" s="53"/>
      <c r="X103" s="32"/>
      <c r="Y103" s="32"/>
      <c r="Z103" s="32"/>
      <c r="AA103" s="32"/>
      <c r="AB103" s="53"/>
      <c r="AC103" s="32"/>
      <c r="AD103" s="32"/>
      <c r="AE103" s="32"/>
      <c r="AF103" s="32"/>
      <c r="AG103" s="53"/>
      <c r="AH103" s="32"/>
      <c r="AI103" s="32"/>
      <c r="AJ103" s="32"/>
      <c r="AK103" s="32"/>
      <c r="AL103" s="53"/>
    </row>
    <row r="104" spans="2:38" hidden="1" outlineLevel="1" x14ac:dyDescent="0.3">
      <c r="B104" s="373" t="s">
        <v>233</v>
      </c>
      <c r="C104" s="374"/>
      <c r="D104" s="162"/>
      <c r="E104" s="162"/>
      <c r="F104" s="204">
        <v>15.598000000000001</v>
      </c>
      <c r="G104" s="204">
        <f>IF((G103)&gt;0,(G103/G102),0)</f>
        <v>4.5</v>
      </c>
      <c r="H104" s="205"/>
      <c r="I104" s="162"/>
      <c r="J104" s="162"/>
      <c r="K104" s="162"/>
      <c r="L104" s="162"/>
      <c r="M104" s="205"/>
      <c r="N104" s="162"/>
      <c r="O104" s="162"/>
      <c r="P104" s="162"/>
      <c r="Q104" s="162"/>
      <c r="R104" s="205"/>
      <c r="S104" s="162"/>
      <c r="T104" s="162"/>
      <c r="U104" s="162"/>
      <c r="V104" s="162"/>
      <c r="W104" s="205"/>
      <c r="X104" s="162"/>
      <c r="Y104" s="162"/>
      <c r="Z104" s="162"/>
      <c r="AA104" s="162"/>
      <c r="AB104" s="205"/>
      <c r="AC104" s="162"/>
      <c r="AD104" s="162"/>
      <c r="AE104" s="162"/>
      <c r="AF104" s="162"/>
      <c r="AG104" s="205"/>
      <c r="AH104" s="162"/>
      <c r="AI104" s="162"/>
      <c r="AJ104" s="162"/>
      <c r="AK104" s="162"/>
      <c r="AL104" s="205"/>
    </row>
    <row r="105" spans="2:38" hidden="1" outlineLevel="1" x14ac:dyDescent="0.3">
      <c r="B105" s="365" t="s">
        <v>234</v>
      </c>
      <c r="C105" s="366"/>
      <c r="D105" s="206"/>
      <c r="E105" s="78"/>
      <c r="F105" s="258"/>
      <c r="G105" s="258">
        <v>158.84</v>
      </c>
      <c r="H105" s="79"/>
      <c r="I105" s="258">
        <v>158.84</v>
      </c>
      <c r="J105" s="78"/>
      <c r="K105" s="78"/>
      <c r="L105" s="78"/>
      <c r="M105" s="79"/>
      <c r="N105" s="78"/>
      <c r="O105" s="78"/>
      <c r="P105" s="78"/>
      <c r="Q105" s="78"/>
      <c r="R105" s="79"/>
      <c r="S105" s="78"/>
      <c r="T105" s="78"/>
      <c r="U105" s="78"/>
      <c r="V105" s="78"/>
      <c r="W105" s="79"/>
      <c r="X105" s="78"/>
      <c r="Y105" s="78"/>
      <c r="Z105" s="78"/>
      <c r="AA105" s="78"/>
      <c r="AB105" s="79"/>
      <c r="AC105" s="78"/>
      <c r="AD105" s="78"/>
      <c r="AE105" s="78"/>
      <c r="AF105" s="78"/>
      <c r="AG105" s="79"/>
      <c r="AH105" s="78"/>
      <c r="AI105" s="78"/>
      <c r="AJ105" s="78"/>
      <c r="AK105" s="78"/>
      <c r="AL105" s="79"/>
    </row>
    <row r="106" spans="2:38" hidden="1" outlineLevel="1" x14ac:dyDescent="0.3">
      <c r="B106" s="370" t="s">
        <v>235</v>
      </c>
      <c r="C106" s="356"/>
      <c r="D106" s="32"/>
      <c r="E106" s="32"/>
      <c r="F106" s="32"/>
      <c r="G106" s="32">
        <f>G105*G107</f>
        <v>2393.55996</v>
      </c>
      <c r="H106" s="53"/>
      <c r="I106" s="32">
        <f>I105*I107</f>
        <v>606.45112000000006</v>
      </c>
      <c r="J106" s="32"/>
      <c r="K106" s="32"/>
      <c r="L106" s="32"/>
      <c r="M106" s="53"/>
      <c r="N106" s="32"/>
      <c r="O106" s="32"/>
      <c r="P106" s="32"/>
      <c r="Q106" s="32"/>
      <c r="R106" s="53"/>
      <c r="S106" s="32"/>
      <c r="T106" s="32"/>
      <c r="U106" s="32"/>
      <c r="V106" s="32"/>
      <c r="W106" s="53"/>
      <c r="X106" s="32"/>
      <c r="Y106" s="32"/>
      <c r="Z106" s="32"/>
      <c r="AA106" s="32"/>
      <c r="AB106" s="53"/>
      <c r="AC106" s="32"/>
      <c r="AD106" s="32"/>
      <c r="AE106" s="32"/>
      <c r="AF106" s="32"/>
      <c r="AG106" s="53"/>
      <c r="AH106" s="32"/>
      <c r="AI106" s="32"/>
      <c r="AJ106" s="32"/>
      <c r="AK106" s="32"/>
      <c r="AL106" s="53"/>
    </row>
    <row r="107" spans="2:38" hidden="1" outlineLevel="1" x14ac:dyDescent="0.3">
      <c r="B107" s="373" t="s">
        <v>236</v>
      </c>
      <c r="C107" s="374"/>
      <c r="D107" s="162"/>
      <c r="E107" s="162"/>
      <c r="F107" s="162"/>
      <c r="G107" s="204">
        <v>15.069000000000001</v>
      </c>
      <c r="H107" s="205"/>
      <c r="I107" s="204">
        <v>3.8180000000000001</v>
      </c>
      <c r="J107" s="204"/>
      <c r="K107" s="204"/>
      <c r="L107" s="204"/>
      <c r="M107" s="205"/>
      <c r="N107" s="162"/>
      <c r="O107" s="162"/>
      <c r="P107" s="162"/>
      <c r="Q107" s="162"/>
      <c r="R107" s="205"/>
      <c r="S107" s="162"/>
      <c r="T107" s="162"/>
      <c r="U107" s="162"/>
      <c r="V107" s="162"/>
      <c r="W107" s="205"/>
      <c r="X107" s="162"/>
      <c r="Y107" s="162"/>
      <c r="Z107" s="162"/>
      <c r="AA107" s="162"/>
      <c r="AB107" s="205"/>
      <c r="AC107" s="162"/>
      <c r="AD107" s="162"/>
      <c r="AE107" s="162"/>
      <c r="AF107" s="162"/>
      <c r="AG107" s="205"/>
      <c r="AH107" s="162"/>
      <c r="AI107" s="162"/>
      <c r="AJ107" s="162"/>
      <c r="AK107" s="162"/>
      <c r="AL107" s="205"/>
    </row>
    <row r="108" spans="2:38" hidden="1" outlineLevel="1" x14ac:dyDescent="0.3">
      <c r="B108" s="365" t="s">
        <v>246</v>
      </c>
      <c r="C108" s="366"/>
      <c r="D108" s="206"/>
      <c r="E108" s="78"/>
      <c r="F108" s="258"/>
      <c r="G108" s="258"/>
      <c r="H108" s="79"/>
      <c r="I108" s="258">
        <v>170.84</v>
      </c>
      <c r="J108" s="258">
        <v>170.84</v>
      </c>
      <c r="K108" s="78"/>
      <c r="L108" s="78"/>
      <c r="M108" s="79"/>
      <c r="N108" s="78"/>
      <c r="O108" s="78"/>
      <c r="P108" s="78"/>
      <c r="Q108" s="78"/>
      <c r="R108" s="79"/>
      <c r="S108" s="78"/>
      <c r="T108" s="78"/>
      <c r="U108" s="78"/>
      <c r="V108" s="78"/>
      <c r="W108" s="79"/>
      <c r="X108" s="78"/>
      <c r="Y108" s="78"/>
      <c r="Z108" s="78"/>
      <c r="AA108" s="78"/>
      <c r="AB108" s="79"/>
      <c r="AC108" s="78"/>
      <c r="AD108" s="78"/>
      <c r="AE108" s="78"/>
      <c r="AF108" s="78"/>
      <c r="AG108" s="79"/>
      <c r="AH108" s="78"/>
      <c r="AI108" s="78"/>
      <c r="AJ108" s="78"/>
      <c r="AK108" s="78"/>
      <c r="AL108" s="79"/>
    </row>
    <row r="109" spans="2:38" hidden="1" outlineLevel="1" x14ac:dyDescent="0.3">
      <c r="B109" s="370" t="s">
        <v>247</v>
      </c>
      <c r="C109" s="356"/>
      <c r="D109" s="32"/>
      <c r="E109" s="32"/>
      <c r="F109" s="32"/>
      <c r="G109" s="32"/>
      <c r="H109" s="53"/>
      <c r="I109" s="32">
        <f>I108*I110</f>
        <v>4032.1656800000001</v>
      </c>
      <c r="J109" s="9">
        <f>J108*J110</f>
        <v>968.15027999999995</v>
      </c>
      <c r="K109" s="32"/>
      <c r="L109" s="32"/>
      <c r="M109" s="53"/>
      <c r="N109" s="32"/>
      <c r="O109" s="32"/>
      <c r="P109" s="32"/>
      <c r="Q109" s="32"/>
      <c r="R109" s="53"/>
      <c r="S109" s="32"/>
      <c r="T109" s="32"/>
      <c r="U109" s="32"/>
      <c r="V109" s="32"/>
      <c r="W109" s="53"/>
      <c r="X109" s="32"/>
      <c r="Y109" s="32"/>
      <c r="Z109" s="32"/>
      <c r="AA109" s="32"/>
      <c r="AB109" s="53"/>
      <c r="AC109" s="32"/>
      <c r="AD109" s="32"/>
      <c r="AE109" s="32"/>
      <c r="AF109" s="32"/>
      <c r="AG109" s="53"/>
      <c r="AH109" s="32"/>
      <c r="AI109" s="32"/>
      <c r="AJ109" s="32"/>
      <c r="AK109" s="32"/>
      <c r="AL109" s="53"/>
    </row>
    <row r="110" spans="2:38" hidden="1" outlineLevel="1" x14ac:dyDescent="0.3">
      <c r="B110" s="370" t="s">
        <v>248</v>
      </c>
      <c r="C110" s="356"/>
      <c r="D110" s="419"/>
      <c r="E110" s="419"/>
      <c r="F110" s="419"/>
      <c r="G110" s="420"/>
      <c r="H110" s="53"/>
      <c r="I110" s="420">
        <v>23.602</v>
      </c>
      <c r="J110" s="420">
        <v>5.6669999999999998</v>
      </c>
      <c r="K110" s="420"/>
      <c r="L110" s="420"/>
      <c r="M110" s="53"/>
      <c r="N110" s="419"/>
      <c r="O110" s="419"/>
      <c r="P110" s="419"/>
      <c r="Q110" s="419"/>
      <c r="R110" s="53"/>
      <c r="S110" s="419"/>
      <c r="T110" s="419"/>
      <c r="U110" s="419"/>
      <c r="V110" s="419"/>
      <c r="W110" s="53"/>
      <c r="X110" s="419"/>
      <c r="Y110" s="419"/>
      <c r="Z110" s="419"/>
      <c r="AA110" s="419"/>
      <c r="AB110" s="53"/>
      <c r="AC110" s="419"/>
      <c r="AD110" s="419"/>
      <c r="AE110" s="419"/>
      <c r="AF110" s="419"/>
      <c r="AG110" s="53"/>
      <c r="AH110" s="419"/>
      <c r="AI110" s="419"/>
      <c r="AJ110" s="419"/>
      <c r="AK110" s="419"/>
      <c r="AL110" s="53"/>
    </row>
    <row r="111" spans="2:38" hidden="1" outlineLevel="1" x14ac:dyDescent="0.3">
      <c r="B111" s="365" t="s">
        <v>384</v>
      </c>
      <c r="C111" s="366"/>
      <c r="D111" s="206"/>
      <c r="E111" s="78"/>
      <c r="F111" s="258"/>
      <c r="G111" s="258"/>
      <c r="H111" s="79"/>
      <c r="I111" s="258">
        <v>170.84</v>
      </c>
      <c r="J111" s="258">
        <v>170.84</v>
      </c>
      <c r="K111" s="78"/>
      <c r="L111" s="78"/>
      <c r="M111" s="79"/>
      <c r="N111" s="78"/>
      <c r="O111" s="421">
        <v>166</v>
      </c>
      <c r="P111" s="78"/>
      <c r="Q111" s="78"/>
      <c r="R111" s="79"/>
      <c r="S111" s="78"/>
      <c r="T111" s="78"/>
      <c r="U111" s="78"/>
      <c r="V111" s="78"/>
      <c r="W111" s="79"/>
      <c r="X111" s="78"/>
      <c r="Y111" s="78"/>
      <c r="Z111" s="78"/>
      <c r="AA111" s="78"/>
      <c r="AB111" s="79"/>
      <c r="AC111" s="78"/>
      <c r="AD111" s="78"/>
      <c r="AE111" s="78"/>
      <c r="AF111" s="78"/>
      <c r="AG111" s="79"/>
      <c r="AH111" s="78"/>
      <c r="AI111" s="78"/>
      <c r="AJ111" s="78"/>
      <c r="AK111" s="78"/>
      <c r="AL111" s="79"/>
    </row>
    <row r="112" spans="2:38" hidden="1" outlineLevel="1" x14ac:dyDescent="0.3">
      <c r="B112" s="370" t="s">
        <v>385</v>
      </c>
      <c r="C112" s="356"/>
      <c r="D112" s="32"/>
      <c r="E112" s="32"/>
      <c r="F112" s="32"/>
      <c r="G112" s="32"/>
      <c r="H112" s="53"/>
      <c r="I112" s="32">
        <f>I111*I113</f>
        <v>4032.1656800000001</v>
      </c>
      <c r="J112" s="9">
        <f>J111*J113</f>
        <v>968.15027999999995</v>
      </c>
      <c r="K112" s="32"/>
      <c r="L112" s="32"/>
      <c r="M112" s="53"/>
      <c r="N112" s="32"/>
      <c r="O112" s="131">
        <f>O111*O113</f>
        <v>9141.2880000000005</v>
      </c>
      <c r="P112" s="32"/>
      <c r="Q112" s="32"/>
      <c r="R112" s="53"/>
      <c r="S112" s="32"/>
      <c r="T112" s="32"/>
      <c r="U112" s="32"/>
      <c r="V112" s="32"/>
      <c r="W112" s="53"/>
      <c r="X112" s="32"/>
      <c r="Y112" s="32"/>
      <c r="Z112" s="32"/>
      <c r="AA112" s="32"/>
      <c r="AB112" s="53"/>
      <c r="AC112" s="32"/>
      <c r="AD112" s="32"/>
      <c r="AE112" s="32"/>
      <c r="AF112" s="32"/>
      <c r="AG112" s="53"/>
      <c r="AH112" s="32"/>
      <c r="AI112" s="32"/>
      <c r="AJ112" s="32"/>
      <c r="AK112" s="32"/>
      <c r="AL112" s="53"/>
    </row>
    <row r="113" spans="2:38" hidden="1" outlineLevel="1" x14ac:dyDescent="0.3">
      <c r="B113" s="380" t="s">
        <v>386</v>
      </c>
      <c r="C113" s="381"/>
      <c r="D113" s="269"/>
      <c r="E113" s="269"/>
      <c r="F113" s="269"/>
      <c r="G113" s="270"/>
      <c r="H113" s="271"/>
      <c r="I113" s="270">
        <v>23.602</v>
      </c>
      <c r="J113" s="270">
        <v>5.6669999999999998</v>
      </c>
      <c r="K113" s="270"/>
      <c r="L113" s="270"/>
      <c r="M113" s="271"/>
      <c r="N113" s="269"/>
      <c r="O113" s="269">
        <v>55.067999999999998</v>
      </c>
      <c r="P113" s="269"/>
      <c r="Q113" s="269"/>
      <c r="R113" s="271"/>
      <c r="S113" s="269"/>
      <c r="T113" s="269"/>
      <c r="U113" s="269"/>
      <c r="V113" s="269"/>
      <c r="W113" s="271"/>
      <c r="X113" s="269"/>
      <c r="Y113" s="269"/>
      <c r="Z113" s="269"/>
      <c r="AA113" s="269"/>
      <c r="AB113" s="271"/>
      <c r="AC113" s="269"/>
      <c r="AD113" s="269"/>
      <c r="AE113" s="269"/>
      <c r="AF113" s="269"/>
      <c r="AG113" s="271"/>
      <c r="AH113" s="269"/>
      <c r="AI113" s="269"/>
      <c r="AJ113" s="269"/>
      <c r="AK113" s="269"/>
      <c r="AL113" s="271"/>
    </row>
    <row r="114" spans="2:38" collapsed="1" x14ac:dyDescent="0.3">
      <c r="B114" s="115"/>
      <c r="C114" s="115"/>
      <c r="D114" s="287"/>
      <c r="E114" s="287"/>
      <c r="F114" s="287"/>
      <c r="G114" s="287"/>
      <c r="H114" s="186"/>
      <c r="I114" s="287"/>
      <c r="J114" s="287"/>
      <c r="K114" s="287"/>
      <c r="L114" s="287"/>
      <c r="M114" s="186"/>
      <c r="N114" s="287"/>
      <c r="O114" s="287"/>
      <c r="P114" s="287"/>
      <c r="Q114" s="287"/>
      <c r="R114" s="186"/>
      <c r="S114" s="287"/>
      <c r="T114" s="287"/>
      <c r="U114" s="287"/>
      <c r="V114" s="287"/>
      <c r="W114" s="186"/>
      <c r="X114" s="135"/>
      <c r="Y114" s="136"/>
      <c r="Z114" s="137"/>
      <c r="AA114" s="137"/>
      <c r="AB114" s="186"/>
      <c r="AC114" s="135"/>
      <c r="AD114" s="136"/>
      <c r="AE114" s="137"/>
      <c r="AF114" s="137"/>
      <c r="AG114" s="186"/>
      <c r="AH114" s="135"/>
      <c r="AI114" s="136"/>
      <c r="AJ114" s="137"/>
      <c r="AK114" s="137"/>
      <c r="AL114" s="186"/>
    </row>
    <row r="115" spans="2:38" ht="15.6" x14ac:dyDescent="0.3">
      <c r="B115" s="351" t="s">
        <v>63</v>
      </c>
      <c r="C115" s="352"/>
      <c r="D115" s="47" t="s">
        <v>66</v>
      </c>
      <c r="E115" s="47" t="s">
        <v>67</v>
      </c>
      <c r="F115" s="47" t="s">
        <v>68</v>
      </c>
      <c r="G115" s="47" t="s">
        <v>69</v>
      </c>
      <c r="H115" s="256" t="s">
        <v>69</v>
      </c>
      <c r="I115" s="47" t="s">
        <v>70</v>
      </c>
      <c r="J115" s="47" t="s">
        <v>71</v>
      </c>
      <c r="K115" s="47" t="s">
        <v>72</v>
      </c>
      <c r="L115" s="47" t="s">
        <v>73</v>
      </c>
      <c r="M115" s="256" t="s">
        <v>73</v>
      </c>
      <c r="N115" s="47" t="s">
        <v>74</v>
      </c>
      <c r="O115" s="47" t="s">
        <v>75</v>
      </c>
      <c r="P115" s="48" t="s">
        <v>76</v>
      </c>
      <c r="Q115" s="48" t="s">
        <v>77</v>
      </c>
      <c r="R115" s="254" t="s">
        <v>77</v>
      </c>
      <c r="S115" s="48" t="s">
        <v>136</v>
      </c>
      <c r="T115" s="48" t="s">
        <v>137</v>
      </c>
      <c r="U115" s="48" t="s">
        <v>138</v>
      </c>
      <c r="V115" s="48" t="s">
        <v>139</v>
      </c>
      <c r="W115" s="254" t="s">
        <v>139</v>
      </c>
      <c r="X115" s="48" t="s">
        <v>154</v>
      </c>
      <c r="Y115" s="48" t="s">
        <v>155</v>
      </c>
      <c r="Z115" s="48" t="s">
        <v>156</v>
      </c>
      <c r="AA115" s="48" t="s">
        <v>157</v>
      </c>
      <c r="AB115" s="254" t="s">
        <v>157</v>
      </c>
      <c r="AC115" s="15" t="s">
        <v>277</v>
      </c>
      <c r="AD115" s="15" t="s">
        <v>278</v>
      </c>
      <c r="AE115" s="15" t="s">
        <v>279</v>
      </c>
      <c r="AF115" s="15" t="s">
        <v>280</v>
      </c>
      <c r="AG115" s="252" t="s">
        <v>280</v>
      </c>
      <c r="AH115" s="15" t="s">
        <v>286</v>
      </c>
      <c r="AI115" s="15" t="s">
        <v>287</v>
      </c>
      <c r="AJ115" s="15" t="s">
        <v>288</v>
      </c>
      <c r="AK115" s="15" t="s">
        <v>289</v>
      </c>
      <c r="AL115" s="252" t="s">
        <v>289</v>
      </c>
    </row>
    <row r="116" spans="2:38" ht="16.2" x14ac:dyDescent="0.45">
      <c r="B116" s="133" t="s">
        <v>8</v>
      </c>
      <c r="C116" s="134"/>
      <c r="D116" s="49" t="s">
        <v>163</v>
      </c>
      <c r="E116" s="49" t="s">
        <v>196</v>
      </c>
      <c r="F116" s="49" t="s">
        <v>214</v>
      </c>
      <c r="G116" s="10" t="s">
        <v>216</v>
      </c>
      <c r="H116" s="257" t="s">
        <v>217</v>
      </c>
      <c r="I116" s="10" t="s">
        <v>218</v>
      </c>
      <c r="J116" s="10" t="s">
        <v>219</v>
      </c>
      <c r="K116" s="10" t="s">
        <v>220</v>
      </c>
      <c r="L116" s="10" t="s">
        <v>221</v>
      </c>
      <c r="M116" s="257" t="s">
        <v>222</v>
      </c>
      <c r="N116" s="10" t="s">
        <v>223</v>
      </c>
      <c r="O116" s="10" t="s">
        <v>383</v>
      </c>
      <c r="P116" s="50" t="s">
        <v>46</v>
      </c>
      <c r="Q116" s="50" t="s">
        <v>47</v>
      </c>
      <c r="R116" s="255" t="s">
        <v>128</v>
      </c>
      <c r="S116" s="50" t="s">
        <v>135</v>
      </c>
      <c r="T116" s="50" t="s">
        <v>140</v>
      </c>
      <c r="U116" s="50" t="s">
        <v>141</v>
      </c>
      <c r="V116" s="50" t="s">
        <v>142</v>
      </c>
      <c r="W116" s="255" t="s">
        <v>143</v>
      </c>
      <c r="X116" s="50" t="s">
        <v>158</v>
      </c>
      <c r="Y116" s="50" t="s">
        <v>159</v>
      </c>
      <c r="Z116" s="50" t="s">
        <v>160</v>
      </c>
      <c r="AA116" s="50" t="s">
        <v>161</v>
      </c>
      <c r="AB116" s="255" t="s">
        <v>162</v>
      </c>
      <c r="AC116" s="16" t="s">
        <v>281</v>
      </c>
      <c r="AD116" s="16" t="s">
        <v>282</v>
      </c>
      <c r="AE116" s="16" t="s">
        <v>283</v>
      </c>
      <c r="AF116" s="16" t="s">
        <v>284</v>
      </c>
      <c r="AG116" s="253" t="s">
        <v>285</v>
      </c>
      <c r="AH116" s="16" t="s">
        <v>290</v>
      </c>
      <c r="AI116" s="16" t="s">
        <v>291</v>
      </c>
      <c r="AJ116" s="16" t="s">
        <v>292</v>
      </c>
      <c r="AK116" s="16" t="s">
        <v>293</v>
      </c>
      <c r="AL116" s="253" t="s">
        <v>294</v>
      </c>
    </row>
    <row r="117" spans="2:38" ht="14.4" customHeight="1" outlineLevel="1" x14ac:dyDescent="0.3">
      <c r="B117" s="371" t="s">
        <v>13</v>
      </c>
      <c r="C117" s="372"/>
      <c r="D117" s="135"/>
      <c r="E117" s="139"/>
      <c r="F117" s="137"/>
      <c r="G117" s="137"/>
      <c r="H117" s="138"/>
      <c r="I117" s="135"/>
      <c r="J117" s="136"/>
      <c r="K117" s="137"/>
      <c r="L117" s="137"/>
      <c r="M117" s="138"/>
      <c r="N117" s="135"/>
      <c r="O117" s="136"/>
      <c r="P117" s="137"/>
      <c r="Q117" s="137"/>
      <c r="R117" s="138"/>
      <c r="S117" s="135"/>
      <c r="T117" s="136"/>
      <c r="U117" s="137"/>
      <c r="V117" s="137"/>
      <c r="W117" s="138"/>
      <c r="X117" s="135"/>
      <c r="Y117" s="136"/>
      <c r="Z117" s="137"/>
      <c r="AA117" s="137"/>
      <c r="AB117" s="138"/>
      <c r="AC117" s="135"/>
      <c r="AD117" s="136"/>
      <c r="AE117" s="137"/>
      <c r="AF117" s="137"/>
      <c r="AG117" s="138"/>
      <c r="AH117" s="135"/>
      <c r="AI117" s="136"/>
      <c r="AJ117" s="137"/>
      <c r="AK117" s="137"/>
      <c r="AL117" s="138"/>
    </row>
    <row r="118" spans="2:38" ht="14.4" customHeight="1" outlineLevel="1" x14ac:dyDescent="0.3">
      <c r="B118" s="355" t="s">
        <v>79</v>
      </c>
      <c r="C118" s="356"/>
      <c r="D118" s="54">
        <f>D209</f>
        <v>16371</v>
      </c>
      <c r="E118" s="54">
        <f>E209</f>
        <v>15157</v>
      </c>
      <c r="F118" s="54">
        <f>F209</f>
        <v>18571</v>
      </c>
      <c r="G118" s="54">
        <f>G209</f>
        <v>20289</v>
      </c>
      <c r="H118" s="53">
        <f>G118</f>
        <v>20289</v>
      </c>
      <c r="I118" s="54">
        <f>I209</f>
        <v>27491</v>
      </c>
      <c r="J118" s="54">
        <f>J209</f>
        <v>45059</v>
      </c>
      <c r="K118" s="54">
        <f>K209</f>
        <v>31971</v>
      </c>
      <c r="L118" s="54">
        <f>L209</f>
        <v>25913</v>
      </c>
      <c r="M118" s="53">
        <f>L118</f>
        <v>25913</v>
      </c>
      <c r="N118" s="54">
        <f>N209</f>
        <v>44771</v>
      </c>
      <c r="O118" s="54">
        <f>O211</f>
        <v>37988</v>
      </c>
      <c r="P118" s="54">
        <f t="shared" ref="P118:Q118" si="112">P211</f>
        <v>33468.356612653137</v>
      </c>
      <c r="Q118" s="54">
        <f t="shared" si="112"/>
        <v>26171.728801531324</v>
      </c>
      <c r="R118" s="53">
        <f>Q118</f>
        <v>26171.728801531324</v>
      </c>
      <c r="S118" s="54">
        <f t="shared" ref="S118:V118" si="113">S211</f>
        <v>42525.813882310744</v>
      </c>
      <c r="T118" s="54">
        <f t="shared" si="113"/>
        <v>54221.941821782399</v>
      </c>
      <c r="U118" s="54">
        <f t="shared" si="113"/>
        <v>50720.42870009999</v>
      </c>
      <c r="V118" s="54">
        <f t="shared" si="113"/>
        <v>47265.483284249203</v>
      </c>
      <c r="W118" s="53">
        <f>V118</f>
        <v>47265.483284249203</v>
      </c>
      <c r="X118" s="54">
        <f t="shared" ref="X118:AA118" si="114">X211</f>
        <v>69357.881144810846</v>
      </c>
      <c r="Y118" s="54">
        <f t="shared" si="114"/>
        <v>81025.967528853274</v>
      </c>
      <c r="Z118" s="54">
        <f t="shared" si="114"/>
        <v>80085.208429821854</v>
      </c>
      <c r="AA118" s="54">
        <f t="shared" si="114"/>
        <v>77570.016590798186</v>
      </c>
      <c r="AB118" s="53">
        <f>AA118</f>
        <v>77570.016590798186</v>
      </c>
      <c r="AC118" s="54">
        <f t="shared" ref="AC118:AF118" si="115">AC211</f>
        <v>99490.151367236278</v>
      </c>
      <c r="AD118" s="54">
        <f t="shared" si="115"/>
        <v>111755.70394972319</v>
      </c>
      <c r="AE118" s="54">
        <f t="shared" si="115"/>
        <v>109385.86386002025</v>
      </c>
      <c r="AF118" s="54">
        <f t="shared" si="115"/>
        <v>105999.17974332365</v>
      </c>
      <c r="AG118" s="53">
        <f>AF118</f>
        <v>105999.17974332365</v>
      </c>
      <c r="AH118" s="54">
        <f t="shared" ref="AH118:AK118" si="116">AH211</f>
        <v>128345.18966696641</v>
      </c>
      <c r="AI118" s="54">
        <f t="shared" si="116"/>
        <v>139241.12967686984</v>
      </c>
      <c r="AJ118" s="54">
        <f t="shared" si="116"/>
        <v>136201.55663469192</v>
      </c>
      <c r="AK118" s="54">
        <f t="shared" si="116"/>
        <v>131663.82094472169</v>
      </c>
      <c r="AL118" s="53">
        <f>AK118</f>
        <v>131663.82094472169</v>
      </c>
    </row>
    <row r="119" spans="2:38" ht="14.4" customHeight="1" outlineLevel="1" x14ac:dyDescent="0.3">
      <c r="B119" s="355" t="s">
        <v>80</v>
      </c>
      <c r="C119" s="356"/>
      <c r="D119" s="54">
        <v>44081</v>
      </c>
      <c r="E119" s="54">
        <v>51944</v>
      </c>
      <c r="F119" s="54">
        <v>58188</v>
      </c>
      <c r="G119" s="54">
        <v>53892</v>
      </c>
      <c r="H119" s="53">
        <f t="shared" ref="H119:H124" si="117">G119</f>
        <v>53892</v>
      </c>
      <c r="I119" s="54">
        <v>49662</v>
      </c>
      <c r="J119" s="54">
        <v>42881</v>
      </c>
      <c r="K119" s="54">
        <v>38999</v>
      </c>
      <c r="L119" s="54">
        <v>40388</v>
      </c>
      <c r="M119" s="53">
        <f t="shared" ref="M119:M124" si="118">L119</f>
        <v>40388</v>
      </c>
      <c r="N119" s="54">
        <v>41656</v>
      </c>
      <c r="O119" s="54">
        <v>42104</v>
      </c>
      <c r="P119" s="54">
        <f t="shared" ref="P119:Q119" si="119">(P152*P148)*(P153)</f>
        <v>37089.319786565473</v>
      </c>
      <c r="Q119" s="54">
        <f t="shared" si="119"/>
        <v>40726.352326020009</v>
      </c>
      <c r="R119" s="53">
        <f t="shared" ref="R119:R124" si="120">Q119</f>
        <v>40726.352326020009</v>
      </c>
      <c r="S119" s="54">
        <f>(S152*S148)*(S153)</f>
        <v>45825.665446316416</v>
      </c>
      <c r="T119" s="54">
        <f>(T152*T148)*(T153)</f>
        <v>44757.53822343568</v>
      </c>
      <c r="U119" s="54">
        <f t="shared" ref="U119:V119" si="121">(U152*U148)*(U153)</f>
        <v>44151.093655174991</v>
      </c>
      <c r="V119" s="54">
        <f t="shared" si="121"/>
        <v>48537.70123401453</v>
      </c>
      <c r="W119" s="53">
        <f t="shared" ref="W119:W124" si="122">V119</f>
        <v>48537.70123401453</v>
      </c>
      <c r="X119" s="54">
        <f>(X152*X148)*(X153)</f>
        <v>53260.626751934193</v>
      </c>
      <c r="Y119" s="54">
        <f>(Y152*Y148)*(Y153)</f>
        <v>52675.816209221892</v>
      </c>
      <c r="Z119" s="54">
        <f t="shared" ref="Z119:AA119" si="123">(Z152*Z148)*(Z153)</f>
        <v>53092.887318014909</v>
      </c>
      <c r="AA119" s="54">
        <f t="shared" si="123"/>
        <v>57923.560011233967</v>
      </c>
      <c r="AB119" s="53">
        <f t="shared" ref="AB119:AB124" si="124">AA119</f>
        <v>57923.560011233967</v>
      </c>
      <c r="AC119" s="54">
        <f>(AC152*AC148)*(AC153)</f>
        <v>62479.227177904701</v>
      </c>
      <c r="AD119" s="54">
        <f>(AD152*AD148)*(AD153)</f>
        <v>61562.940457520192</v>
      </c>
      <c r="AE119" s="54">
        <f t="shared" ref="AE119:AF119" si="125">(AE152*AE148)*(AE153)</f>
        <v>61846.373176879861</v>
      </c>
      <c r="AF119" s="54">
        <f t="shared" si="125"/>
        <v>66465.221775689177</v>
      </c>
      <c r="AG119" s="53">
        <f t="shared" ref="AG119:AG124" si="126">AF119</f>
        <v>66465.221775689177</v>
      </c>
      <c r="AH119" s="54">
        <f>(AH152*AH148)*(AH153)</f>
        <v>71004.757203660542</v>
      </c>
      <c r="AI119" s="54">
        <f>(AI152*AI148)*(AI153)</f>
        <v>69916.682957807556</v>
      </c>
      <c r="AJ119" s="54">
        <f t="shared" ref="AJ119:AK119" si="127">(AJ152*AJ148)*(AJ153)</f>
        <v>70010.997198279409</v>
      </c>
      <c r="AK119" s="54">
        <f t="shared" si="127"/>
        <v>74444.942838074159</v>
      </c>
      <c r="AL119" s="53">
        <f t="shared" ref="AL119:AL124" si="128">AK119</f>
        <v>74444.942838074159</v>
      </c>
    </row>
    <row r="120" spans="2:38" ht="14.4" customHeight="1" outlineLevel="1" x14ac:dyDescent="0.3">
      <c r="B120" s="355" t="s">
        <v>81</v>
      </c>
      <c r="C120" s="356"/>
      <c r="D120" s="54">
        <v>14057</v>
      </c>
      <c r="E120" s="54">
        <v>11579</v>
      </c>
      <c r="F120" s="54">
        <v>12399</v>
      </c>
      <c r="G120" s="54">
        <v>17874</v>
      </c>
      <c r="H120" s="53">
        <f t="shared" si="117"/>
        <v>17874</v>
      </c>
      <c r="I120" s="54">
        <v>23440</v>
      </c>
      <c r="J120" s="54">
        <v>14324</v>
      </c>
      <c r="K120" s="54">
        <v>14104</v>
      </c>
      <c r="L120" s="54">
        <v>23186</v>
      </c>
      <c r="M120" s="53">
        <f t="shared" si="118"/>
        <v>23186</v>
      </c>
      <c r="N120" s="54">
        <v>18077</v>
      </c>
      <c r="O120" s="54">
        <v>15085</v>
      </c>
      <c r="P120" s="54">
        <f>P15/P158</f>
        <v>14383.966732687059</v>
      </c>
      <c r="Q120" s="54">
        <f>Q15/Q158</f>
        <v>21717.220275650798</v>
      </c>
      <c r="R120" s="53">
        <f t="shared" si="120"/>
        <v>21717.220275650798</v>
      </c>
      <c r="S120" s="54">
        <f>S15/S158</f>
        <v>20591.421594871208</v>
      </c>
      <c r="T120" s="54">
        <f>T15/T158</f>
        <v>15109.665744803653</v>
      </c>
      <c r="U120" s="54">
        <f>U15/U158</f>
        <v>15058.619490240579</v>
      </c>
      <c r="V120" s="54">
        <f>V15/V158</f>
        <v>23342.651192452875</v>
      </c>
      <c r="W120" s="53">
        <f t="shared" si="122"/>
        <v>23342.651192452875</v>
      </c>
      <c r="X120" s="54">
        <f>X15/X158</f>
        <v>20534.371455685923</v>
      </c>
      <c r="Y120" s="54">
        <f>Y15/Y158</f>
        <v>16419.402041720681</v>
      </c>
      <c r="Z120" s="54">
        <f>Z15/Z158</f>
        <v>16034.248716559983</v>
      </c>
      <c r="AA120" s="54">
        <f>AA15/AA158</f>
        <v>24522.129257061217</v>
      </c>
      <c r="AB120" s="53">
        <f t="shared" si="124"/>
        <v>24522.129257061217</v>
      </c>
      <c r="AC120" s="54">
        <f>AC15/AC158</f>
        <v>21604.637487376218</v>
      </c>
      <c r="AD120" s="54">
        <f>AD15/AD158</f>
        <v>16546.757886989701</v>
      </c>
      <c r="AE120" s="54">
        <f>AE15/AE158</f>
        <v>16217.740447773109</v>
      </c>
      <c r="AF120" s="54">
        <f>AF15/AF158</f>
        <v>24855.579423791609</v>
      </c>
      <c r="AG120" s="53">
        <f t="shared" si="126"/>
        <v>24855.579423791609</v>
      </c>
      <c r="AH120" s="54">
        <f>AH15/AH158</f>
        <v>21690.656005525576</v>
      </c>
      <c r="AI120" s="54">
        <f>AI15/AI158</f>
        <v>16887.550557618804</v>
      </c>
      <c r="AJ120" s="54">
        <f>AJ15/AJ158</f>
        <v>16426.450568448428</v>
      </c>
      <c r="AK120" s="54">
        <f>AK15/AK158</f>
        <v>25075.333813431436</v>
      </c>
      <c r="AL120" s="53">
        <f t="shared" si="128"/>
        <v>25075.333813431436</v>
      </c>
    </row>
    <row r="121" spans="2:38" ht="14.4" customHeight="1" outlineLevel="1" x14ac:dyDescent="0.3">
      <c r="B121" s="355" t="s">
        <v>9</v>
      </c>
      <c r="C121" s="356"/>
      <c r="D121" s="54">
        <v>2712</v>
      </c>
      <c r="E121" s="54">
        <v>2910</v>
      </c>
      <c r="F121" s="54">
        <v>3146</v>
      </c>
      <c r="G121" s="54">
        <v>4855</v>
      </c>
      <c r="H121" s="53">
        <f t="shared" si="117"/>
        <v>4855</v>
      </c>
      <c r="I121" s="54">
        <v>4421</v>
      </c>
      <c r="J121" s="54">
        <v>7662</v>
      </c>
      <c r="K121" s="54">
        <v>5936</v>
      </c>
      <c r="L121" s="54">
        <v>3956</v>
      </c>
      <c r="M121" s="53">
        <f t="shared" si="118"/>
        <v>3956</v>
      </c>
      <c r="N121" s="54">
        <v>4988</v>
      </c>
      <c r="O121" s="54">
        <v>4884</v>
      </c>
      <c r="P121" s="54">
        <f>P18/P156</f>
        <v>4636.9450501897627</v>
      </c>
      <c r="Q121" s="54">
        <f>Q18/Q156</f>
        <v>4566.6148559950698</v>
      </c>
      <c r="R121" s="53">
        <f t="shared" si="120"/>
        <v>4566.6148559950698</v>
      </c>
      <c r="S121" s="54">
        <f>S18/S156</f>
        <v>4709.9175207983844</v>
      </c>
      <c r="T121" s="54">
        <f>T18/T156</f>
        <v>6163.7660223089815</v>
      </c>
      <c r="U121" s="54">
        <f>U18/U156</f>
        <v>5514.2369650450773</v>
      </c>
      <c r="V121" s="54">
        <f>V18/V156</f>
        <v>4401.5679829207293</v>
      </c>
      <c r="W121" s="53">
        <f t="shared" si="122"/>
        <v>4401.5679829207293</v>
      </c>
      <c r="X121" s="54">
        <f>X18/X156</f>
        <v>5145.6272163336998</v>
      </c>
      <c r="Y121" s="54">
        <f>Y18/Y156</f>
        <v>5824.4790380242939</v>
      </c>
      <c r="Z121" s="54">
        <f>Z18/Z156</f>
        <v>5353.631583398459</v>
      </c>
      <c r="AA121" s="54">
        <f>AA18/AA156</f>
        <v>4908.6221870286636</v>
      </c>
      <c r="AB121" s="53">
        <f t="shared" si="124"/>
        <v>4908.6221870286636</v>
      </c>
      <c r="AC121" s="54">
        <f>AC18/AC156</f>
        <v>5171.0806633600387</v>
      </c>
      <c r="AD121" s="54">
        <f>AD18/AD156</f>
        <v>6278.7868808227622</v>
      </c>
      <c r="AE121" s="54">
        <f>AE18/AE156</f>
        <v>5626.6580915535515</v>
      </c>
      <c r="AF121" s="54">
        <f>AF18/AF156</f>
        <v>4848.0247406996978</v>
      </c>
      <c r="AG121" s="53">
        <f t="shared" si="126"/>
        <v>4848.0247406996978</v>
      </c>
      <c r="AH121" s="54">
        <f>AH18/AH156</f>
        <v>5338.5559644967434</v>
      </c>
      <c r="AI121" s="54">
        <f>AI18/AI156</f>
        <v>6249.4111910324718</v>
      </c>
      <c r="AJ121" s="54">
        <f>AJ18/AJ156</f>
        <v>5658.1464393986771</v>
      </c>
      <c r="AK121" s="54">
        <f>AK18/AK156</f>
        <v>5022.4129480599231</v>
      </c>
      <c r="AL121" s="53">
        <f t="shared" si="128"/>
        <v>5022.4129480599231</v>
      </c>
    </row>
    <row r="122" spans="2:38" ht="14.4" customHeight="1" outlineLevel="1" x14ac:dyDescent="0.3">
      <c r="B122" s="355" t="s">
        <v>17</v>
      </c>
      <c r="C122" s="356"/>
      <c r="D122" s="54">
        <v>0</v>
      </c>
      <c r="E122" s="54">
        <v>0</v>
      </c>
      <c r="F122" s="54">
        <v>0</v>
      </c>
      <c r="G122" s="54">
        <v>0</v>
      </c>
      <c r="H122" s="53">
        <f t="shared" si="117"/>
        <v>0</v>
      </c>
      <c r="I122" s="54">
        <v>0</v>
      </c>
      <c r="J122" s="54">
        <v>0</v>
      </c>
      <c r="K122" s="54">
        <v>0</v>
      </c>
      <c r="L122" s="54">
        <v>0</v>
      </c>
      <c r="M122" s="53">
        <f t="shared" si="118"/>
        <v>0</v>
      </c>
      <c r="N122" s="54">
        <v>0</v>
      </c>
      <c r="O122" s="54">
        <f>N122</f>
        <v>0</v>
      </c>
      <c r="P122" s="54">
        <f>O122</f>
        <v>0</v>
      </c>
      <c r="Q122" s="54">
        <f>P122</f>
        <v>0</v>
      </c>
      <c r="R122" s="53">
        <f t="shared" si="120"/>
        <v>0</v>
      </c>
      <c r="S122" s="54">
        <f>R122</f>
        <v>0</v>
      </c>
      <c r="T122" s="54">
        <f>S122</f>
        <v>0</v>
      </c>
      <c r="U122" s="54">
        <f>T122</f>
        <v>0</v>
      </c>
      <c r="V122" s="54">
        <f>U122</f>
        <v>0</v>
      </c>
      <c r="W122" s="53">
        <f t="shared" si="122"/>
        <v>0</v>
      </c>
      <c r="X122" s="54">
        <f>W122</f>
        <v>0</v>
      </c>
      <c r="Y122" s="54">
        <f>X122</f>
        <v>0</v>
      </c>
      <c r="Z122" s="54">
        <f>Y122</f>
        <v>0</v>
      </c>
      <c r="AA122" s="54">
        <f>Z122</f>
        <v>0</v>
      </c>
      <c r="AB122" s="53">
        <f t="shared" si="124"/>
        <v>0</v>
      </c>
      <c r="AC122" s="54">
        <f>AB122</f>
        <v>0</v>
      </c>
      <c r="AD122" s="54">
        <f>AC122</f>
        <v>0</v>
      </c>
      <c r="AE122" s="54">
        <f>AD122</f>
        <v>0</v>
      </c>
      <c r="AF122" s="54">
        <f>AE122</f>
        <v>0</v>
      </c>
      <c r="AG122" s="53">
        <f t="shared" si="126"/>
        <v>0</v>
      </c>
      <c r="AH122" s="54">
        <f>AG122</f>
        <v>0</v>
      </c>
      <c r="AI122" s="54">
        <f>AH122</f>
        <v>0</v>
      </c>
      <c r="AJ122" s="54">
        <f>AI122</f>
        <v>0</v>
      </c>
      <c r="AK122" s="54">
        <f>AJ122</f>
        <v>0</v>
      </c>
      <c r="AL122" s="53">
        <f t="shared" si="128"/>
        <v>0</v>
      </c>
    </row>
    <row r="123" spans="2:38" ht="14.4" customHeight="1" outlineLevel="1" x14ac:dyDescent="0.3">
      <c r="B123" s="355" t="s">
        <v>95</v>
      </c>
      <c r="C123" s="356"/>
      <c r="D123" s="54">
        <v>13920</v>
      </c>
      <c r="E123" s="54">
        <v>9033</v>
      </c>
      <c r="F123" s="54">
        <v>10233</v>
      </c>
      <c r="G123" s="54">
        <v>17799</v>
      </c>
      <c r="H123" s="53">
        <f t="shared" si="117"/>
        <v>17799</v>
      </c>
      <c r="I123" s="54">
        <v>27459</v>
      </c>
      <c r="J123" s="54">
        <v>8084</v>
      </c>
      <c r="K123" s="54">
        <v>12263</v>
      </c>
      <c r="L123" s="54">
        <v>25809</v>
      </c>
      <c r="M123" s="53">
        <f t="shared" si="118"/>
        <v>25809</v>
      </c>
      <c r="N123" s="54">
        <v>18904</v>
      </c>
      <c r="O123" s="408">
        <v>11193</v>
      </c>
      <c r="P123" s="54">
        <f>P18/P155</f>
        <v>12356.47209866181</v>
      </c>
      <c r="Q123" s="54">
        <f>Q18/Q155</f>
        <v>22621.566148677692</v>
      </c>
      <c r="R123" s="53">
        <f t="shared" si="120"/>
        <v>22621.566148677692</v>
      </c>
      <c r="S123" s="54">
        <f>S18/S155</f>
        <v>22608.635134450935</v>
      </c>
      <c r="T123" s="54">
        <f>T18/T155</f>
        <v>9623.7519173656601</v>
      </c>
      <c r="U123" s="54">
        <f>U18/U155</f>
        <v>13050.670951640779</v>
      </c>
      <c r="V123" s="54">
        <f>V18/V155</f>
        <v>25080.067450247006</v>
      </c>
      <c r="W123" s="53">
        <f t="shared" si="122"/>
        <v>25080.067450247006</v>
      </c>
      <c r="X123" s="54">
        <f>X18/X155</f>
        <v>21902.197712937494</v>
      </c>
      <c r="Y123" s="54">
        <f>Y18/Y155</f>
        <v>11009.187721287537</v>
      </c>
      <c r="Z123" s="54">
        <f>Z18/Z155</f>
        <v>13470.27947024224</v>
      </c>
      <c r="AA123" s="54">
        <f>AA18/AA155</f>
        <v>26096.177307094171</v>
      </c>
      <c r="AB123" s="53">
        <f t="shared" si="124"/>
        <v>26096.177307094171</v>
      </c>
      <c r="AC123" s="54">
        <f>AC18/AC155</f>
        <v>23360.598912517307</v>
      </c>
      <c r="AD123" s="54">
        <f>AD18/AD155</f>
        <v>10786.622574584875</v>
      </c>
      <c r="AE123" s="54">
        <f>AE18/AE155</f>
        <v>13737.479946445781</v>
      </c>
      <c r="AF123" s="54">
        <f>AF18/AF155</f>
        <v>26687.113685524724</v>
      </c>
      <c r="AG123" s="53">
        <f t="shared" si="126"/>
        <v>26687.113685524724</v>
      </c>
      <c r="AH123" s="54">
        <f>AH18/AH155</f>
        <v>23406.716581380093</v>
      </c>
      <c r="AI123" s="54">
        <f>AI18/AI155</f>
        <v>11261.185487667819</v>
      </c>
      <c r="AJ123" s="54">
        <f>AJ18/AJ155</f>
        <v>14025.536859636692</v>
      </c>
      <c r="AK123" s="54">
        <f>AK18/AK155</f>
        <v>27171.086593419845</v>
      </c>
      <c r="AL123" s="53">
        <f t="shared" si="128"/>
        <v>27171.086593419845</v>
      </c>
    </row>
    <row r="124" spans="2:38" ht="16.2" customHeight="1" outlineLevel="1" x14ac:dyDescent="0.45">
      <c r="B124" s="355" t="s">
        <v>16</v>
      </c>
      <c r="C124" s="356"/>
      <c r="D124" s="60">
        <v>12191</v>
      </c>
      <c r="E124" s="60">
        <v>11367</v>
      </c>
      <c r="F124" s="60">
        <v>10338</v>
      </c>
      <c r="G124" s="60">
        <v>13936</v>
      </c>
      <c r="H124" s="59">
        <f t="shared" si="117"/>
        <v>13936</v>
      </c>
      <c r="I124" s="60">
        <v>11337</v>
      </c>
      <c r="J124" s="60">
        <v>12043</v>
      </c>
      <c r="K124" s="60">
        <v>12488</v>
      </c>
      <c r="L124" s="60">
        <v>12087</v>
      </c>
      <c r="M124" s="59">
        <f t="shared" si="118"/>
        <v>12087</v>
      </c>
      <c r="N124" s="60">
        <v>12432</v>
      </c>
      <c r="O124" s="409">
        <v>12092</v>
      </c>
      <c r="P124" s="288">
        <f>O124*(K124/J124)</f>
        <v>12538.810595366604</v>
      </c>
      <c r="Q124" s="288">
        <f>P124*(L124/K124)</f>
        <v>12136.179025159845</v>
      </c>
      <c r="R124" s="59">
        <f t="shared" si="120"/>
        <v>12136.179025159845</v>
      </c>
      <c r="S124" s="288">
        <f>Q124*(N124/L124)</f>
        <v>12482.582745163165</v>
      </c>
      <c r="T124" s="288">
        <f>S124*(O124/N124)</f>
        <v>12141.199368928006</v>
      </c>
      <c r="U124" s="288">
        <f>T124*(P124/O124)</f>
        <v>12589.827926527689</v>
      </c>
      <c r="V124" s="288">
        <f>U124*(Q124/P124)</f>
        <v>12185.558147656966</v>
      </c>
      <c r="W124" s="59">
        <f t="shared" si="122"/>
        <v>12185.558147656966</v>
      </c>
      <c r="X124" s="288">
        <f>V124*(S124/Q124)</f>
        <v>12533.37129905447</v>
      </c>
      <c r="Y124" s="288">
        <f>X124*(T124/S124)</f>
        <v>12190.598917967071</v>
      </c>
      <c r="Z124" s="288">
        <f>Y124*(U124/T124)</f>
        <v>12641.052834640272</v>
      </c>
      <c r="AA124" s="288">
        <f>Z124*(V124/U124)</f>
        <v>12235.138181638131</v>
      </c>
      <c r="AB124" s="59">
        <f t="shared" si="124"/>
        <v>12235.138181638131</v>
      </c>
      <c r="AC124" s="288">
        <f>AA124*(X124/V124)</f>
        <v>12584.366499058926</v>
      </c>
      <c r="AD124" s="288">
        <f>AC124*(Y124/X124)</f>
        <v>12240.199461600749</v>
      </c>
      <c r="AE124" s="288">
        <f>AD124*(Z124/Y124)</f>
        <v>12692.48616428383</v>
      </c>
      <c r="AF124" s="288">
        <f>AE124*(AA124/Z124)</f>
        <v>12284.919944562673</v>
      </c>
      <c r="AG124" s="59">
        <f t="shared" si="126"/>
        <v>12284.919944562673</v>
      </c>
      <c r="AH124" s="288">
        <f>AF124*(AC124/AA124)</f>
        <v>12635.569185968656</v>
      </c>
      <c r="AI124" s="288">
        <f>AH124*(AD124/AC124)</f>
        <v>12290.001817626526</v>
      </c>
      <c r="AJ124" s="288">
        <f>AI124*(AE124/AD124)</f>
        <v>12744.128763474222</v>
      </c>
      <c r="AK124" s="288">
        <f>AJ124*(AF124/AE124)</f>
        <v>12334.904257215961</v>
      </c>
      <c r="AL124" s="59">
        <f t="shared" si="128"/>
        <v>12334.904257215961</v>
      </c>
    </row>
    <row r="125" spans="2:38" ht="14.4" customHeight="1" outlineLevel="1" x14ac:dyDescent="0.3">
      <c r="B125" s="357" t="s">
        <v>10</v>
      </c>
      <c r="C125" s="358"/>
      <c r="D125" s="65">
        <f t="shared" ref="D125:AB125" si="129">SUM(D118:D124)</f>
        <v>103332</v>
      </c>
      <c r="E125" s="65">
        <f>SUM(E118:E124)</f>
        <v>101990</v>
      </c>
      <c r="F125" s="65">
        <f t="shared" si="129"/>
        <v>112875</v>
      </c>
      <c r="G125" s="65">
        <f t="shared" si="129"/>
        <v>128645</v>
      </c>
      <c r="H125" s="64">
        <f t="shared" si="129"/>
        <v>128645</v>
      </c>
      <c r="I125" s="65">
        <f t="shared" si="129"/>
        <v>143810</v>
      </c>
      <c r="J125" s="65">
        <f t="shared" si="129"/>
        <v>130053</v>
      </c>
      <c r="K125" s="65">
        <f t="shared" si="129"/>
        <v>115761</v>
      </c>
      <c r="L125" s="65">
        <f t="shared" si="129"/>
        <v>131339</v>
      </c>
      <c r="M125" s="64">
        <f t="shared" si="129"/>
        <v>131339</v>
      </c>
      <c r="N125" s="65">
        <f t="shared" si="129"/>
        <v>140828</v>
      </c>
      <c r="O125" s="407">
        <f t="shared" si="129"/>
        <v>123346</v>
      </c>
      <c r="P125" s="65">
        <f t="shared" si="129"/>
        <v>114473.87087612385</v>
      </c>
      <c r="Q125" s="65">
        <f t="shared" si="129"/>
        <v>127939.66143303472</v>
      </c>
      <c r="R125" s="64">
        <f t="shared" si="129"/>
        <v>127939.66143303472</v>
      </c>
      <c r="S125" s="65">
        <f t="shared" si="129"/>
        <v>148744.03632391087</v>
      </c>
      <c r="T125" s="65">
        <f t="shared" si="129"/>
        <v>142017.8630986244</v>
      </c>
      <c r="U125" s="65">
        <f t="shared" si="129"/>
        <v>141084.87768872909</v>
      </c>
      <c r="V125" s="65">
        <f t="shared" si="129"/>
        <v>160813.02929154132</v>
      </c>
      <c r="W125" s="64">
        <f t="shared" si="129"/>
        <v>160813.02929154132</v>
      </c>
      <c r="X125" s="65">
        <f t="shared" si="129"/>
        <v>182734.07558075662</v>
      </c>
      <c r="Y125" s="65">
        <f t="shared" si="129"/>
        <v>179145.45145707476</v>
      </c>
      <c r="Z125" s="65">
        <f t="shared" si="129"/>
        <v>180677.30835267773</v>
      </c>
      <c r="AA125" s="65">
        <f t="shared" si="129"/>
        <v>203255.64353485432</v>
      </c>
      <c r="AB125" s="64">
        <f t="shared" si="129"/>
        <v>203255.64353485432</v>
      </c>
      <c r="AC125" s="65">
        <f t="shared" ref="AC125:AL125" si="130">SUM(AC118:AC124)</f>
        <v>224690.06210745347</v>
      </c>
      <c r="AD125" s="65">
        <f t="shared" si="130"/>
        <v>219171.01121124148</v>
      </c>
      <c r="AE125" s="65">
        <f t="shared" si="130"/>
        <v>219506.60168695639</v>
      </c>
      <c r="AF125" s="65">
        <f t="shared" si="130"/>
        <v>241140.03931359155</v>
      </c>
      <c r="AG125" s="64">
        <f t="shared" si="130"/>
        <v>241140.03931359155</v>
      </c>
      <c r="AH125" s="65">
        <f t="shared" si="130"/>
        <v>262421.44460799801</v>
      </c>
      <c r="AI125" s="65">
        <f t="shared" si="130"/>
        <v>255845.96168862304</v>
      </c>
      <c r="AJ125" s="65">
        <f t="shared" si="130"/>
        <v>255066.81646392934</v>
      </c>
      <c r="AK125" s="65">
        <f t="shared" si="130"/>
        <v>275712.50139492308</v>
      </c>
      <c r="AL125" s="64">
        <f t="shared" si="130"/>
        <v>275712.50139492308</v>
      </c>
    </row>
    <row r="126" spans="2:38" ht="14.4" customHeight="1" outlineLevel="1" x14ac:dyDescent="0.3">
      <c r="B126" s="355" t="s">
        <v>82</v>
      </c>
      <c r="C126" s="356"/>
      <c r="D126" s="54">
        <v>185638</v>
      </c>
      <c r="E126" s="54">
        <v>189740</v>
      </c>
      <c r="F126" s="54">
        <v>184757</v>
      </c>
      <c r="G126" s="54">
        <v>194714</v>
      </c>
      <c r="H126" s="53">
        <f>G126</f>
        <v>194714</v>
      </c>
      <c r="I126" s="54">
        <v>207944</v>
      </c>
      <c r="J126" s="54">
        <v>179286</v>
      </c>
      <c r="K126" s="54">
        <v>172773</v>
      </c>
      <c r="L126" s="54">
        <v>170799</v>
      </c>
      <c r="M126" s="53">
        <f>L126</f>
        <v>170799</v>
      </c>
      <c r="N126" s="54">
        <v>158608</v>
      </c>
      <c r="O126" s="408">
        <v>145319</v>
      </c>
      <c r="P126" s="54">
        <f t="shared" ref="P126:Q126" si="131">(P152*P148)*(1-P153)</f>
        <v>146509.63383351921</v>
      </c>
      <c r="Q126" s="54">
        <f t="shared" si="131"/>
        <v>156517.68968375551</v>
      </c>
      <c r="R126" s="53">
        <f>Q126</f>
        <v>156517.68968375551</v>
      </c>
      <c r="S126" s="54">
        <f t="shared" ref="S126:V126" si="132">(S152*S148)*(1-S153)</f>
        <v>172095.51421283558</v>
      </c>
      <c r="T126" s="54">
        <f t="shared" si="132"/>
        <v>167508.83932949611</v>
      </c>
      <c r="U126" s="54">
        <f t="shared" si="132"/>
        <v>168719.97680060545</v>
      </c>
      <c r="V126" s="54">
        <f t="shared" si="132"/>
        <v>183971.08362189966</v>
      </c>
      <c r="W126" s="53">
        <f>V126</f>
        <v>183971.08362189966</v>
      </c>
      <c r="X126" s="54">
        <f t="shared" ref="X126:AA126" si="133">(X152*X148)*(1-X153)</f>
        <v>201177.69126430029</v>
      </c>
      <c r="Y126" s="54">
        <f t="shared" si="133"/>
        <v>199257.34385692765</v>
      </c>
      <c r="Z126" s="54">
        <f t="shared" si="133"/>
        <v>201373.2529749221</v>
      </c>
      <c r="AA126" s="54">
        <f t="shared" si="133"/>
        <v>219284.53935559909</v>
      </c>
      <c r="AB126" s="53">
        <f>AA126</f>
        <v>219284.53935559909</v>
      </c>
      <c r="AC126" s="54">
        <f t="shared" ref="AC126:AF126" si="134">(AC152*AC148)*(1-AC153)</f>
        <v>236460.75565234452</v>
      </c>
      <c r="AD126" s="54">
        <f t="shared" si="134"/>
        <v>233107.04536146938</v>
      </c>
      <c r="AE126" s="54">
        <f t="shared" si="134"/>
        <v>234238.65515261571</v>
      </c>
      <c r="AF126" s="54">
        <f t="shared" si="134"/>
        <v>251642.26770506054</v>
      </c>
      <c r="AG126" s="53">
        <f>AF126</f>
        <v>251642.26770506054</v>
      </c>
      <c r="AH126" s="54">
        <f t="shared" ref="AH126:AK126" si="135">(AH152*AH148)*(1-AH153)</f>
        <v>268834.91385878931</v>
      </c>
      <c r="AI126" s="54">
        <f t="shared" si="135"/>
        <v>264741.93928441626</v>
      </c>
      <c r="AJ126" s="54">
        <f t="shared" si="135"/>
        <v>265099.96152426791</v>
      </c>
      <c r="AK126" s="54">
        <f t="shared" si="135"/>
        <v>281872.9313858258</v>
      </c>
      <c r="AL126" s="53">
        <f>AK126</f>
        <v>281872.9313858258</v>
      </c>
    </row>
    <row r="127" spans="2:38" outlineLevel="1" x14ac:dyDescent="0.3">
      <c r="B127" s="355" t="s">
        <v>11</v>
      </c>
      <c r="C127" s="356"/>
      <c r="D127" s="54">
        <v>26510</v>
      </c>
      <c r="E127" s="54">
        <v>27163</v>
      </c>
      <c r="F127" s="54">
        <v>29286</v>
      </c>
      <c r="G127" s="54">
        <v>33783</v>
      </c>
      <c r="H127" s="53">
        <f>G127</f>
        <v>33783</v>
      </c>
      <c r="I127" s="54">
        <v>33679</v>
      </c>
      <c r="J127" s="54">
        <v>35077</v>
      </c>
      <c r="K127" s="54">
        <v>38117</v>
      </c>
      <c r="L127" s="54">
        <v>41304</v>
      </c>
      <c r="M127" s="53">
        <f>L127</f>
        <v>41304</v>
      </c>
      <c r="N127" s="54">
        <v>39597</v>
      </c>
      <c r="O127" s="408">
        <v>38746</v>
      </c>
      <c r="P127" s="54">
        <f>O127-P193-P175</f>
        <v>38757.869898285171</v>
      </c>
      <c r="Q127" s="54">
        <f>P127-Q193-Q175</f>
        <v>39477.169440979109</v>
      </c>
      <c r="R127" s="53">
        <f>Q127</f>
        <v>39477.169440979109</v>
      </c>
      <c r="S127" s="54">
        <f>Q127-S193-S175</f>
        <v>40105.656847913204</v>
      </c>
      <c r="T127" s="54">
        <f>S127-T193-T175</f>
        <v>40365.888731895422</v>
      </c>
      <c r="U127" s="54">
        <f>T127-U193-U175</f>
        <v>40442.381585345727</v>
      </c>
      <c r="V127" s="54">
        <f>U127-V193-V175</f>
        <v>40533.083608349458</v>
      </c>
      <c r="W127" s="53">
        <f>V127</f>
        <v>40533.083608349458</v>
      </c>
      <c r="X127" s="54">
        <f>V127-X193-X175</f>
        <v>40642.085755092296</v>
      </c>
      <c r="Y127" s="54">
        <f>X127-Y193-Y175</f>
        <v>40785.206819587576</v>
      </c>
      <c r="Z127" s="54">
        <f>Y127-Z193-Z175</f>
        <v>40948.984173412944</v>
      </c>
      <c r="AA127" s="54">
        <f>Z127-AA193-AA175</f>
        <v>41130.801946846448</v>
      </c>
      <c r="AB127" s="53">
        <f>AA127</f>
        <v>41130.801946846448</v>
      </c>
      <c r="AC127" s="54">
        <f>AA127-AC193-AC175</f>
        <v>41331.948498135709</v>
      </c>
      <c r="AD127" s="54">
        <f>AC127-AD193-AD175</f>
        <v>41552.989177018753</v>
      </c>
      <c r="AE127" s="54">
        <f>AD127-AE193-AE175</f>
        <v>41790.578151908012</v>
      </c>
      <c r="AF127" s="54">
        <f>AE127-AF193-AF175</f>
        <v>42043.925493229202</v>
      </c>
      <c r="AG127" s="53">
        <f>AF127</f>
        <v>42043.925493229202</v>
      </c>
      <c r="AH127" s="54">
        <f>AF127-AH193-AH175</f>
        <v>42312.690414221513</v>
      </c>
      <c r="AI127" s="54">
        <f>AH127-AI193-AI175</f>
        <v>42596.096692636151</v>
      </c>
      <c r="AJ127" s="54">
        <f>AI127-AJ193-AJ175</f>
        <v>42893.004771600186</v>
      </c>
      <c r="AK127" s="54">
        <f>AJ127-AK193-AK175</f>
        <v>43202.826247657591</v>
      </c>
      <c r="AL127" s="53">
        <f>AK127</f>
        <v>43202.826247657591</v>
      </c>
    </row>
    <row r="128" spans="2:38" outlineLevel="1" x14ac:dyDescent="0.3">
      <c r="B128" s="355" t="s">
        <v>83</v>
      </c>
      <c r="C128" s="356"/>
      <c r="D128" s="54">
        <v>5423</v>
      </c>
      <c r="E128" s="54">
        <v>5473</v>
      </c>
      <c r="F128" s="54">
        <v>5661</v>
      </c>
      <c r="G128" s="54">
        <v>5717</v>
      </c>
      <c r="H128" s="53">
        <f>G128</f>
        <v>5717</v>
      </c>
      <c r="I128" s="54">
        <v>5889</v>
      </c>
      <c r="J128" s="54">
        <v>0</v>
      </c>
      <c r="K128" s="54">
        <v>0</v>
      </c>
      <c r="L128" s="54">
        <v>0</v>
      </c>
      <c r="M128" s="53">
        <f>L128</f>
        <v>0</v>
      </c>
      <c r="N128" s="54">
        <v>0</v>
      </c>
      <c r="O128" s="408">
        <v>0</v>
      </c>
      <c r="P128" s="54">
        <v>0</v>
      </c>
      <c r="Q128" s="54">
        <v>0</v>
      </c>
      <c r="R128" s="53">
        <f>Q128</f>
        <v>0</v>
      </c>
      <c r="S128" s="54">
        <v>0</v>
      </c>
      <c r="T128" s="54">
        <v>0</v>
      </c>
      <c r="U128" s="54">
        <v>0</v>
      </c>
      <c r="V128" s="54">
        <v>0</v>
      </c>
      <c r="W128" s="53">
        <f>V128</f>
        <v>0</v>
      </c>
      <c r="X128" s="54">
        <v>0</v>
      </c>
      <c r="Y128" s="54">
        <v>0</v>
      </c>
      <c r="Z128" s="54">
        <v>0</v>
      </c>
      <c r="AA128" s="54">
        <v>0</v>
      </c>
      <c r="AB128" s="53">
        <f>AA128</f>
        <v>0</v>
      </c>
      <c r="AC128" s="54">
        <v>0</v>
      </c>
      <c r="AD128" s="54">
        <v>0</v>
      </c>
      <c r="AE128" s="54">
        <v>0</v>
      </c>
      <c r="AF128" s="54">
        <v>0</v>
      </c>
      <c r="AG128" s="53">
        <f>AF128</f>
        <v>0</v>
      </c>
      <c r="AH128" s="54">
        <v>0</v>
      </c>
      <c r="AI128" s="54">
        <v>0</v>
      </c>
      <c r="AJ128" s="54">
        <v>0</v>
      </c>
      <c r="AK128" s="54">
        <v>0</v>
      </c>
      <c r="AL128" s="53">
        <f>AK128</f>
        <v>0</v>
      </c>
    </row>
    <row r="129" spans="2:38" outlineLevel="1" x14ac:dyDescent="0.3">
      <c r="B129" s="355" t="s">
        <v>84</v>
      </c>
      <c r="C129" s="356"/>
      <c r="D129" s="54">
        <v>2848</v>
      </c>
      <c r="E129" s="54">
        <v>2617</v>
      </c>
      <c r="F129" s="54">
        <v>2444</v>
      </c>
      <c r="G129" s="54">
        <v>2298</v>
      </c>
      <c r="H129" s="53">
        <f>G129</f>
        <v>2298</v>
      </c>
      <c r="I129" s="54">
        <v>2149</v>
      </c>
      <c r="J129" s="54">
        <v>0</v>
      </c>
      <c r="K129" s="54">
        <v>0</v>
      </c>
      <c r="L129" s="54">
        <v>0</v>
      </c>
      <c r="M129" s="53">
        <f>L129</f>
        <v>0</v>
      </c>
      <c r="N129" s="54">
        <v>0</v>
      </c>
      <c r="O129" s="408">
        <v>0</v>
      </c>
      <c r="P129" s="54">
        <v>0</v>
      </c>
      <c r="Q129" s="54">
        <v>0</v>
      </c>
      <c r="R129" s="53">
        <f>Q129</f>
        <v>0</v>
      </c>
      <c r="S129" s="54">
        <v>0</v>
      </c>
      <c r="T129" s="54">
        <v>0</v>
      </c>
      <c r="U129" s="54">
        <v>0</v>
      </c>
      <c r="V129" s="54">
        <v>0</v>
      </c>
      <c r="W129" s="53">
        <f>V129</f>
        <v>0</v>
      </c>
      <c r="X129" s="54">
        <v>0</v>
      </c>
      <c r="Y129" s="54">
        <v>0</v>
      </c>
      <c r="Z129" s="54">
        <v>0</v>
      </c>
      <c r="AA129" s="54">
        <v>0</v>
      </c>
      <c r="AB129" s="53">
        <f>AA129</f>
        <v>0</v>
      </c>
      <c r="AC129" s="54">
        <v>0</v>
      </c>
      <c r="AD129" s="54">
        <v>0</v>
      </c>
      <c r="AE129" s="54">
        <v>0</v>
      </c>
      <c r="AF129" s="54">
        <v>0</v>
      </c>
      <c r="AG129" s="53">
        <f>AF129</f>
        <v>0</v>
      </c>
      <c r="AH129" s="54">
        <v>0</v>
      </c>
      <c r="AI129" s="54">
        <v>0</v>
      </c>
      <c r="AJ129" s="54">
        <v>0</v>
      </c>
      <c r="AK129" s="54">
        <v>0</v>
      </c>
      <c r="AL129" s="53">
        <f>AK129</f>
        <v>0</v>
      </c>
    </row>
    <row r="130" spans="2:38" ht="16.2" outlineLevel="1" x14ac:dyDescent="0.45">
      <c r="B130" s="355" t="s">
        <v>18</v>
      </c>
      <c r="C130" s="356"/>
      <c r="D130" s="60">
        <v>7390</v>
      </c>
      <c r="E130" s="60">
        <v>7549</v>
      </c>
      <c r="F130" s="60">
        <v>10150</v>
      </c>
      <c r="G130" s="60">
        <v>10162</v>
      </c>
      <c r="H130" s="59">
        <f>G130</f>
        <v>10162</v>
      </c>
      <c r="I130" s="60">
        <v>13323</v>
      </c>
      <c r="J130" s="60">
        <v>23086</v>
      </c>
      <c r="K130" s="60">
        <v>22546</v>
      </c>
      <c r="L130" s="60">
        <v>22283</v>
      </c>
      <c r="M130" s="59">
        <f>L130</f>
        <v>22283</v>
      </c>
      <c r="N130" s="60">
        <v>34686</v>
      </c>
      <c r="O130" s="409">
        <v>34587</v>
      </c>
      <c r="P130" s="288">
        <f t="shared" ref="P130:Q130" si="136">O130*1.02</f>
        <v>35278.74</v>
      </c>
      <c r="Q130" s="288">
        <f t="shared" si="136"/>
        <v>35984.3148</v>
      </c>
      <c r="R130" s="59">
        <f>Q130</f>
        <v>35984.3148</v>
      </c>
      <c r="S130" s="288">
        <f>Q130*1.02</f>
        <v>36704.001096</v>
      </c>
      <c r="T130" s="288">
        <f>S130*1.02</f>
        <v>37438.081117920003</v>
      </c>
      <c r="U130" s="288">
        <f t="shared" ref="U130" si="137">T130*1.02</f>
        <v>38186.8427402784</v>
      </c>
      <c r="V130" s="288">
        <f>U130*1.02</f>
        <v>38950.579595083967</v>
      </c>
      <c r="W130" s="59">
        <f>V130</f>
        <v>38950.579595083967</v>
      </c>
      <c r="X130" s="288">
        <f>V130*1.02</f>
        <v>39729.59118698565</v>
      </c>
      <c r="Y130" s="288">
        <f>X130*1.02</f>
        <v>40524.183010725363</v>
      </c>
      <c r="Z130" s="288">
        <f t="shared" ref="Z130" si="138">Y130*1.02</f>
        <v>41334.666670939871</v>
      </c>
      <c r="AA130" s="288">
        <f>Z130*1.02</f>
        <v>42161.36000435867</v>
      </c>
      <c r="AB130" s="59">
        <f>AA130</f>
        <v>42161.36000435867</v>
      </c>
      <c r="AC130" s="288">
        <f>AA130*1.02</f>
        <v>43004.587204445845</v>
      </c>
      <c r="AD130" s="288">
        <f>AC130*1.02</f>
        <v>43864.678948534762</v>
      </c>
      <c r="AE130" s="288">
        <f t="shared" ref="AE130" si="139">AD130*1.02</f>
        <v>44741.972527505459</v>
      </c>
      <c r="AF130" s="288">
        <f>AE130*1.02</f>
        <v>45636.811978055572</v>
      </c>
      <c r="AG130" s="59">
        <f>AF130</f>
        <v>45636.811978055572</v>
      </c>
      <c r="AH130" s="288">
        <f>AF130*1.02</f>
        <v>46549.548217616684</v>
      </c>
      <c r="AI130" s="288">
        <f>AH130*1.02</f>
        <v>47480.539181969019</v>
      </c>
      <c r="AJ130" s="288">
        <f t="shared" ref="AJ130" si="140">AI130*1.02</f>
        <v>48430.149965608398</v>
      </c>
      <c r="AK130" s="288">
        <f>AJ130*1.02</f>
        <v>49398.752964920568</v>
      </c>
      <c r="AL130" s="59">
        <f>AK130</f>
        <v>49398.752964920568</v>
      </c>
    </row>
    <row r="131" spans="2:38" outlineLevel="1" x14ac:dyDescent="0.3">
      <c r="B131" s="357" t="s">
        <v>12</v>
      </c>
      <c r="C131" s="358"/>
      <c r="D131" s="65">
        <f>SUM(D125:D130)</f>
        <v>331141</v>
      </c>
      <c r="E131" s="65">
        <f>SUM(E125:E130)</f>
        <v>334532</v>
      </c>
      <c r="F131" s="65">
        <f t="shared" ref="F131:Q131" si="141">SUM(F125:F130)</f>
        <v>345173</v>
      </c>
      <c r="G131" s="65">
        <f t="shared" si="141"/>
        <v>375319</v>
      </c>
      <c r="H131" s="64">
        <f>SUM(H125:H130)</f>
        <v>375319</v>
      </c>
      <c r="I131" s="65">
        <f t="shared" si="141"/>
        <v>406794</v>
      </c>
      <c r="J131" s="65">
        <f t="shared" si="141"/>
        <v>367502</v>
      </c>
      <c r="K131" s="65">
        <f t="shared" si="141"/>
        <v>349197</v>
      </c>
      <c r="L131" s="65">
        <f t="shared" si="141"/>
        <v>365725</v>
      </c>
      <c r="M131" s="64">
        <f>SUM(M125:M130)</f>
        <v>365725</v>
      </c>
      <c r="N131" s="65">
        <f t="shared" si="141"/>
        <v>373719</v>
      </c>
      <c r="O131" s="65">
        <f t="shared" si="141"/>
        <v>341998</v>
      </c>
      <c r="P131" s="65">
        <f t="shared" si="141"/>
        <v>335020.11460792826</v>
      </c>
      <c r="Q131" s="65">
        <f t="shared" si="141"/>
        <v>359918.83535776933</v>
      </c>
      <c r="R131" s="64">
        <f t="shared" ref="R131:AB131" si="142">SUM(R125:R130)</f>
        <v>359918.83535776933</v>
      </c>
      <c r="S131" s="65">
        <f t="shared" si="142"/>
        <v>397649.2084806597</v>
      </c>
      <c r="T131" s="65">
        <f t="shared" si="142"/>
        <v>387330.67227793596</v>
      </c>
      <c r="U131" s="65">
        <f t="shared" si="142"/>
        <v>388434.07881495863</v>
      </c>
      <c r="V131" s="65">
        <f t="shared" si="142"/>
        <v>424267.77611687436</v>
      </c>
      <c r="W131" s="64">
        <f t="shared" si="142"/>
        <v>424267.77611687436</v>
      </c>
      <c r="X131" s="65">
        <f t="shared" si="142"/>
        <v>464283.44378713489</v>
      </c>
      <c r="Y131" s="65">
        <f t="shared" si="142"/>
        <v>459712.18514431536</v>
      </c>
      <c r="Z131" s="65">
        <f t="shared" si="142"/>
        <v>464334.21217195265</v>
      </c>
      <c r="AA131" s="65">
        <f t="shared" si="142"/>
        <v>505832.34484165849</v>
      </c>
      <c r="AB131" s="64">
        <f t="shared" si="142"/>
        <v>505832.34484165849</v>
      </c>
      <c r="AC131" s="65">
        <f t="shared" ref="AC131:AL131" si="143">SUM(AC125:AC130)</f>
        <v>545487.35346237954</v>
      </c>
      <c r="AD131" s="65">
        <f t="shared" si="143"/>
        <v>537695.72469826438</v>
      </c>
      <c r="AE131" s="65">
        <f t="shared" si="143"/>
        <v>540277.80751898559</v>
      </c>
      <c r="AF131" s="65">
        <f t="shared" si="143"/>
        <v>580463.0444899369</v>
      </c>
      <c r="AG131" s="64">
        <f t="shared" si="143"/>
        <v>580463.0444899369</v>
      </c>
      <c r="AH131" s="65">
        <f t="shared" si="143"/>
        <v>620118.5970986255</v>
      </c>
      <c r="AI131" s="65">
        <f t="shared" si="143"/>
        <v>610664.53684764449</v>
      </c>
      <c r="AJ131" s="65">
        <f t="shared" si="143"/>
        <v>611489.9327254059</v>
      </c>
      <c r="AK131" s="65">
        <f t="shared" si="143"/>
        <v>650187.01199332718</v>
      </c>
      <c r="AL131" s="64">
        <f t="shared" si="143"/>
        <v>650187.01199332718</v>
      </c>
    </row>
    <row r="132" spans="2:38" ht="16.2" outlineLevel="1" x14ac:dyDescent="0.45">
      <c r="B132" s="363" t="s">
        <v>14</v>
      </c>
      <c r="C132" s="364"/>
      <c r="D132" s="49" t="s">
        <v>163</v>
      </c>
      <c r="E132" s="49" t="s">
        <v>196</v>
      </c>
      <c r="F132" s="49" t="s">
        <v>214</v>
      </c>
      <c r="G132" s="10" t="s">
        <v>216</v>
      </c>
      <c r="H132" s="267" t="s">
        <v>217</v>
      </c>
      <c r="I132" s="10" t="s">
        <v>218</v>
      </c>
      <c r="J132" s="10" t="s">
        <v>219</v>
      </c>
      <c r="K132" s="10" t="s">
        <v>220</v>
      </c>
      <c r="L132" s="10" t="s">
        <v>221</v>
      </c>
      <c r="M132" s="267" t="s">
        <v>222</v>
      </c>
      <c r="N132" s="10" t="s">
        <v>223</v>
      </c>
      <c r="O132" s="10" t="s">
        <v>383</v>
      </c>
      <c r="P132" s="50" t="s">
        <v>46</v>
      </c>
      <c r="Q132" s="50" t="s">
        <v>47</v>
      </c>
      <c r="R132" s="268" t="s">
        <v>128</v>
      </c>
      <c r="S132" s="50" t="s">
        <v>135</v>
      </c>
      <c r="T132" s="50" t="s">
        <v>140</v>
      </c>
      <c r="U132" s="50" t="s">
        <v>141</v>
      </c>
      <c r="V132" s="50" t="s">
        <v>142</v>
      </c>
      <c r="W132" s="268" t="s">
        <v>143</v>
      </c>
      <c r="X132" s="50" t="s">
        <v>158</v>
      </c>
      <c r="Y132" s="50" t="s">
        <v>159</v>
      </c>
      <c r="Z132" s="50" t="s">
        <v>160</v>
      </c>
      <c r="AA132" s="50" t="s">
        <v>161</v>
      </c>
      <c r="AB132" s="268" t="s">
        <v>162</v>
      </c>
      <c r="AC132" s="50" t="s">
        <v>281</v>
      </c>
      <c r="AD132" s="50" t="s">
        <v>282</v>
      </c>
      <c r="AE132" s="50" t="s">
        <v>283</v>
      </c>
      <c r="AF132" s="50" t="s">
        <v>284</v>
      </c>
      <c r="AG132" s="268" t="s">
        <v>285</v>
      </c>
      <c r="AH132" s="50" t="s">
        <v>290</v>
      </c>
      <c r="AI132" s="50" t="s">
        <v>291</v>
      </c>
      <c r="AJ132" s="50" t="s">
        <v>292</v>
      </c>
      <c r="AK132" s="50" t="s">
        <v>293</v>
      </c>
      <c r="AL132" s="268" t="s">
        <v>294</v>
      </c>
    </row>
    <row r="133" spans="2:38" outlineLevel="1" x14ac:dyDescent="0.3">
      <c r="B133" s="355" t="s">
        <v>85</v>
      </c>
      <c r="C133" s="356"/>
      <c r="D133" s="54">
        <v>38510</v>
      </c>
      <c r="E133" s="54">
        <v>28573</v>
      </c>
      <c r="F133" s="54">
        <v>31915</v>
      </c>
      <c r="G133" s="54">
        <v>49049</v>
      </c>
      <c r="H133" s="53">
        <f>G133</f>
        <v>49049</v>
      </c>
      <c r="I133" s="54">
        <v>62985</v>
      </c>
      <c r="J133" s="54">
        <v>34311</v>
      </c>
      <c r="K133" s="54">
        <v>38489</v>
      </c>
      <c r="L133" s="54">
        <v>55888</v>
      </c>
      <c r="M133" s="53">
        <f>L133</f>
        <v>55888</v>
      </c>
      <c r="N133" s="54">
        <v>44293</v>
      </c>
      <c r="O133" s="54">
        <v>30443</v>
      </c>
      <c r="P133" s="54">
        <f>P18/P160</f>
        <v>38658.541742374116</v>
      </c>
      <c r="Q133" s="54">
        <f>Q18/Q160</f>
        <v>55520.288483675533</v>
      </c>
      <c r="R133" s="53">
        <f>Q133</f>
        <v>55520.288483675533</v>
      </c>
      <c r="S133" s="54">
        <f>S18/S160</f>
        <v>52502.584934851926</v>
      </c>
      <c r="T133" s="54">
        <f>T18/T160</f>
        <v>33222.976252032851</v>
      </c>
      <c r="U133" s="54">
        <f>U18/U160</f>
        <v>40895.402555600172</v>
      </c>
      <c r="V133" s="54">
        <f>V18/V160</f>
        <v>57893.777829483697</v>
      </c>
      <c r="W133" s="53">
        <f>V133</f>
        <v>57893.777829483697</v>
      </c>
      <c r="X133" s="54">
        <f>X18/X160</f>
        <v>51106.397581801139</v>
      </c>
      <c r="Y133" s="54">
        <f>Y18/Y160</f>
        <v>33896.909654207091</v>
      </c>
      <c r="Z133" s="54">
        <f>Z18/Z160</f>
        <v>42176.639919556561</v>
      </c>
      <c r="AA133" s="54">
        <f>AA18/AA160</f>
        <v>62133.622235302646</v>
      </c>
      <c r="AB133" s="53">
        <f>AA133</f>
        <v>62133.622235302646</v>
      </c>
      <c r="AC133" s="54">
        <f>AC18/AC160</f>
        <v>54383.982870736763</v>
      </c>
      <c r="AD133" s="54">
        <f>AD18/AD160</f>
        <v>35204.994150564424</v>
      </c>
      <c r="AE133" s="54">
        <f>AE18/AE160</f>
        <v>43030.396243546886</v>
      </c>
      <c r="AF133" s="54">
        <f>AF18/AF160</f>
        <v>62569.460091406945</v>
      </c>
      <c r="AG133" s="53">
        <f>AF133</f>
        <v>62569.460091406945</v>
      </c>
      <c r="AH133" s="54">
        <f>AH18/AH160</f>
        <v>54555.338433087374</v>
      </c>
      <c r="AI133" s="54">
        <f>AI18/AI160</f>
        <v>35708.303834293358</v>
      </c>
      <c r="AJ133" s="54">
        <f>AJ18/AJ160</f>
        <v>43923.936779304939</v>
      </c>
      <c r="AK133" s="54">
        <f>AK18/AK160</f>
        <v>64197.890912487703</v>
      </c>
      <c r="AL133" s="53">
        <f>AK133</f>
        <v>64197.890912487703</v>
      </c>
    </row>
    <row r="134" spans="2:38" outlineLevel="1" x14ac:dyDescent="0.3">
      <c r="B134" s="370" t="s">
        <v>230</v>
      </c>
      <c r="C134" s="356"/>
      <c r="D134" s="54">
        <v>23739</v>
      </c>
      <c r="E134" s="54">
        <v>23096</v>
      </c>
      <c r="F134" s="54">
        <v>23304</v>
      </c>
      <c r="G134" s="54">
        <v>25744</v>
      </c>
      <c r="H134" s="53">
        <f>G134</f>
        <v>25744</v>
      </c>
      <c r="I134" s="54">
        <v>26281</v>
      </c>
      <c r="J134" s="54">
        <v>26756</v>
      </c>
      <c r="K134" s="54">
        <v>25184</v>
      </c>
      <c r="L134" s="54">
        <v>32687</v>
      </c>
      <c r="M134" s="53">
        <f>L134</f>
        <v>32687</v>
      </c>
      <c r="N134" s="54">
        <v>36703</v>
      </c>
      <c r="O134" s="54">
        <v>35368</v>
      </c>
      <c r="P134" s="408">
        <f>P15*P163</f>
        <v>25295.04444612535</v>
      </c>
      <c r="Q134" s="408">
        <f>Q15*Q163</f>
        <v>31907.455979236351</v>
      </c>
      <c r="R134" s="449">
        <f>Q134</f>
        <v>31907.455979236351</v>
      </c>
      <c r="S134" s="408">
        <f t="shared" ref="S134:AK134" si="144">S15*S163</f>
        <v>37787.019803361465</v>
      </c>
      <c r="T134" s="408">
        <f t="shared" si="144"/>
        <v>37370.71388220552</v>
      </c>
      <c r="U134" s="408">
        <f t="shared" si="144"/>
        <v>26685.011150195875</v>
      </c>
      <c r="V134" s="408">
        <f t="shared" si="144"/>
        <v>33601.710170968632</v>
      </c>
      <c r="W134" s="449">
        <f>V134</f>
        <v>33601.710170968632</v>
      </c>
      <c r="X134" s="408">
        <f t="shared" si="144"/>
        <v>39687.350703113996</v>
      </c>
      <c r="Y134" s="408">
        <f t="shared" si="144"/>
        <v>39553.348004398846</v>
      </c>
      <c r="Z134" s="408">
        <f t="shared" si="144"/>
        <v>28305.530699256138</v>
      </c>
      <c r="AA134" s="408">
        <f t="shared" si="144"/>
        <v>35664.030953787507</v>
      </c>
      <c r="AB134" s="449">
        <f>AA134</f>
        <v>35664.030953787507</v>
      </c>
      <c r="AC134" s="408">
        <f t="shared" si="144"/>
        <v>40701.120624548479</v>
      </c>
      <c r="AD134" s="408">
        <f t="shared" si="144"/>
        <v>40392.606145810314</v>
      </c>
      <c r="AE134" s="408">
        <f t="shared" si="144"/>
        <v>28684.256398385562</v>
      </c>
      <c r="AF134" s="408">
        <f t="shared" si="144"/>
        <v>35964.277959223946</v>
      </c>
      <c r="AG134" s="449">
        <f>AF134</f>
        <v>35964.277959223946</v>
      </c>
      <c r="AH134" s="408">
        <f t="shared" si="144"/>
        <v>41392.652744691317</v>
      </c>
      <c r="AI134" s="408">
        <f t="shared" si="144"/>
        <v>40952.805570306373</v>
      </c>
      <c r="AJ134" s="408">
        <f t="shared" si="144"/>
        <v>29025.646234995686</v>
      </c>
      <c r="AK134" s="408">
        <f t="shared" si="144"/>
        <v>36375.418635744005</v>
      </c>
      <c r="AL134" s="449">
        <f>AK134</f>
        <v>36375.418635744005</v>
      </c>
    </row>
    <row r="135" spans="2:38" outlineLevel="1" x14ac:dyDescent="0.3">
      <c r="B135" s="355" t="s">
        <v>208</v>
      </c>
      <c r="C135" s="356"/>
      <c r="D135" s="54">
        <v>7889</v>
      </c>
      <c r="E135" s="54">
        <v>7682</v>
      </c>
      <c r="F135" s="54">
        <v>7608</v>
      </c>
      <c r="G135" s="54">
        <v>7548</v>
      </c>
      <c r="H135" s="53">
        <f>G135</f>
        <v>7548</v>
      </c>
      <c r="I135" s="54">
        <v>8044</v>
      </c>
      <c r="J135" s="54">
        <v>7775</v>
      </c>
      <c r="K135" s="54">
        <v>7403</v>
      </c>
      <c r="L135" s="54">
        <v>7543</v>
      </c>
      <c r="M135" s="53">
        <f>L135</f>
        <v>7543</v>
      </c>
      <c r="N135" s="54">
        <v>5546</v>
      </c>
      <c r="O135" s="54">
        <v>5532</v>
      </c>
      <c r="P135" s="54">
        <f>(O15+N15+L15+P15)*P164*P165</f>
        <v>5995.2887062002483</v>
      </c>
      <c r="Q135" s="54">
        <f>(P15+O15+N15+Q15)*Q164*Q165</f>
        <v>6259.6916258184092</v>
      </c>
      <c r="R135" s="53">
        <f>Q135</f>
        <v>6259.6916258184092</v>
      </c>
      <c r="S135" s="54">
        <f>(Q15+P15+O15+S15)*S164*S165</f>
        <v>5894.589582419766</v>
      </c>
      <c r="T135" s="54">
        <f>(S15+Q15+P15+T15)*T164*T165</f>
        <v>6053.0880438765025</v>
      </c>
      <c r="U135" s="54">
        <f>(T15+S15+Q15+U15)*U164*U165</f>
        <v>6206.4367380142967</v>
      </c>
      <c r="V135" s="54">
        <f>(U15+T15+S15+V15)*V164*V165</f>
        <v>6289.4957637096659</v>
      </c>
      <c r="W135" s="53">
        <f>V135</f>
        <v>6289.4957637096659</v>
      </c>
      <c r="X135" s="54">
        <f>(V15+U15+T15+X15)*X164*X165</f>
        <v>6322.3065279976327</v>
      </c>
      <c r="Y135" s="54">
        <f>(X15+V15+U15+Y15)*Y164*Y165</f>
        <v>6432.3435738715225</v>
      </c>
      <c r="Z135" s="54">
        <f>(Y15+X15+V15+Z15)*Z164*Z165</f>
        <v>6525.2169721484506</v>
      </c>
      <c r="AA135" s="54">
        <f>(Z15+Y15+X15+AA15)*AA164*AA165</f>
        <v>6611.4471154963285</v>
      </c>
      <c r="AB135" s="53">
        <f>AA135</f>
        <v>6611.4471154963285</v>
      </c>
      <c r="AC135" s="54">
        <f>(AA15+Z15+Y15+AC15)*AC164*AC165</f>
        <v>6656.3468148912389</v>
      </c>
      <c r="AD135" s="54">
        <f>(AC15+AA15+Z15+AD15)*AD164*AD165</f>
        <v>6694.8935767200956</v>
      </c>
      <c r="AE135" s="54">
        <f>(AD15+AC15+AA15+AE15)*AE164*AE165</f>
        <v>6714.7251803736153</v>
      </c>
      <c r="AF135" s="54">
        <f>(AE15+AD15+AC15+AF15)*AF164*AF165</f>
        <v>6726.2339375059428</v>
      </c>
      <c r="AG135" s="53">
        <f>AF135</f>
        <v>6726.2339375059428</v>
      </c>
      <c r="AH135" s="54">
        <f>(AF15+AE15+AD15+AH15)*AH164*AH165</f>
        <v>6762.2843724312434</v>
      </c>
      <c r="AI135" s="54">
        <f>(AH15+AF15+AE15+AI15)*AI164*AI165</f>
        <v>6784.9103133816398</v>
      </c>
      <c r="AJ135" s="54">
        <f>(AI15+AH15+AF15+AJ15)*AJ164*AJ165</f>
        <v>6801.6186947819479</v>
      </c>
      <c r="AK135" s="54">
        <f>(AJ15+AI15+AH15+AK15)*AK164*AK165</f>
        <v>6819.6046624123392</v>
      </c>
      <c r="AL135" s="53">
        <f>AK135</f>
        <v>6819.6046624123392</v>
      </c>
    </row>
    <row r="136" spans="2:38" ht="16.2" outlineLevel="1" x14ac:dyDescent="0.45">
      <c r="B136" s="355" t="s">
        <v>127</v>
      </c>
      <c r="C136" s="356"/>
      <c r="D136" s="60">
        <f>10493+3499</f>
        <v>13992</v>
      </c>
      <c r="E136" s="60">
        <f>9992+3999</f>
        <v>13991</v>
      </c>
      <c r="F136" s="60">
        <f>6495+11980</f>
        <v>18475</v>
      </c>
      <c r="G136" s="60">
        <f>11977+6496</f>
        <v>18473</v>
      </c>
      <c r="H136" s="59">
        <f>G136</f>
        <v>18473</v>
      </c>
      <c r="I136" s="60">
        <f>11980+6498</f>
        <v>18478</v>
      </c>
      <c r="J136" s="60">
        <f>11980+8498</f>
        <v>20478</v>
      </c>
      <c r="K136" s="60">
        <f>11974+5498</f>
        <v>17472</v>
      </c>
      <c r="L136" s="60">
        <f>11964+8784</f>
        <v>20748</v>
      </c>
      <c r="M136" s="59">
        <f>L136</f>
        <v>20748</v>
      </c>
      <c r="N136" s="60">
        <f>11969+9772</f>
        <v>21741</v>
      </c>
      <c r="O136" s="60">
        <f>11924+10505</f>
        <v>22429</v>
      </c>
      <c r="P136" s="60">
        <f>+P147*P167*(P169)</f>
        <v>19667.895712917772</v>
      </c>
      <c r="Q136" s="60">
        <f>+Q147*Q167*(Q169)</f>
        <v>20427.911426621249</v>
      </c>
      <c r="R136" s="59">
        <f>Q136</f>
        <v>20427.911426621249</v>
      </c>
      <c r="S136" s="60">
        <f>+S147*S167*(S169)</f>
        <v>22895.720602481353</v>
      </c>
      <c r="T136" s="60">
        <f>+T147*T167*(T169)</f>
        <v>23889.146783507211</v>
      </c>
      <c r="U136" s="60">
        <f>+U147*U167*(U169)</f>
        <v>23944.07079552623</v>
      </c>
      <c r="V136" s="60">
        <f>+V147*V167*(V169)</f>
        <v>25186.602689992491</v>
      </c>
      <c r="W136" s="59">
        <f>V136</f>
        <v>25186.602689992491</v>
      </c>
      <c r="X136" s="60">
        <f>+X147*X167*(X169)</f>
        <v>27849.917181011308</v>
      </c>
      <c r="Y136" s="60">
        <f>+Y147*Y167*(Y169)</f>
        <v>29189.394530328878</v>
      </c>
      <c r="Z136" s="60">
        <f>+Z147*Z167*(Z169)</f>
        <v>29910.045760976816</v>
      </c>
      <c r="AA136" s="60">
        <f>+AA147*AA167*(AA169)</f>
        <v>31244.547352143825</v>
      </c>
      <c r="AB136" s="59">
        <f>AA136</f>
        <v>31244.547352143825</v>
      </c>
      <c r="AC136" s="60">
        <f>+AC147*AC167*(AC169)</f>
        <v>33772.781181483711</v>
      </c>
      <c r="AD136" s="60">
        <f>+AD147*AD167*(AD169)</f>
        <v>34944.224003998446</v>
      </c>
      <c r="AE136" s="60">
        <f>+AE147*AE167*(AE169)</f>
        <v>35496.554038548522</v>
      </c>
      <c r="AF136" s="60">
        <f>+AF147*AF167*(AF169)</f>
        <v>36585.212578526065</v>
      </c>
      <c r="AG136" s="59">
        <f>AF136</f>
        <v>36585.212578526065</v>
      </c>
      <c r="AH136" s="60">
        <f>+AH147*AH167*(AH169)</f>
        <v>38871.508850529572</v>
      </c>
      <c r="AI136" s="60">
        <f>+AI147*AI167*(AI169)</f>
        <v>39849.063706340436</v>
      </c>
      <c r="AJ136" s="60">
        <f>+AJ147*AJ167*(AJ169)</f>
        <v>40193.945900115243</v>
      </c>
      <c r="AK136" s="60">
        <f>+AK147*AK167*(AK169)</f>
        <v>41009.357028252329</v>
      </c>
      <c r="AL136" s="59">
        <f>AK136</f>
        <v>41009.357028252329</v>
      </c>
    </row>
    <row r="137" spans="2:38" outlineLevel="1" x14ac:dyDescent="0.3">
      <c r="B137" s="384" t="s">
        <v>15</v>
      </c>
      <c r="C137" s="385"/>
      <c r="D137" s="65">
        <f t="shared" ref="D137:AB137" si="145">SUM(D133:D136)</f>
        <v>84130</v>
      </c>
      <c r="E137" s="65">
        <f t="shared" si="145"/>
        <v>73342</v>
      </c>
      <c r="F137" s="65">
        <f t="shared" si="145"/>
        <v>81302</v>
      </c>
      <c r="G137" s="65">
        <f t="shared" si="145"/>
        <v>100814</v>
      </c>
      <c r="H137" s="64">
        <f t="shared" si="145"/>
        <v>100814</v>
      </c>
      <c r="I137" s="65">
        <f t="shared" si="145"/>
        <v>115788</v>
      </c>
      <c r="J137" s="65">
        <f t="shared" si="145"/>
        <v>89320</v>
      </c>
      <c r="K137" s="65">
        <f t="shared" si="145"/>
        <v>88548</v>
      </c>
      <c r="L137" s="65">
        <f t="shared" si="145"/>
        <v>116866</v>
      </c>
      <c r="M137" s="64">
        <f t="shared" si="145"/>
        <v>116866</v>
      </c>
      <c r="N137" s="65">
        <f t="shared" si="145"/>
        <v>108283</v>
      </c>
      <c r="O137" s="65">
        <f t="shared" si="145"/>
        <v>93772</v>
      </c>
      <c r="P137" s="65">
        <f t="shared" si="145"/>
        <v>89616.770607617495</v>
      </c>
      <c r="Q137" s="65">
        <f t="shared" si="145"/>
        <v>114115.34751535155</v>
      </c>
      <c r="R137" s="64">
        <f t="shared" si="145"/>
        <v>114115.34751535155</v>
      </c>
      <c r="S137" s="65">
        <f t="shared" si="145"/>
        <v>119079.9149231145</v>
      </c>
      <c r="T137" s="65">
        <f t="shared" si="145"/>
        <v>100535.92496162208</v>
      </c>
      <c r="U137" s="65">
        <f t="shared" si="145"/>
        <v>97730.921239336574</v>
      </c>
      <c r="V137" s="65">
        <f t="shared" si="145"/>
        <v>122971.58645415449</v>
      </c>
      <c r="W137" s="64">
        <f t="shared" si="145"/>
        <v>122971.58645415449</v>
      </c>
      <c r="X137" s="65">
        <f t="shared" si="145"/>
        <v>124965.97199392407</v>
      </c>
      <c r="Y137" s="65">
        <f t="shared" si="145"/>
        <v>109071.99576280633</v>
      </c>
      <c r="Z137" s="65">
        <f t="shared" si="145"/>
        <v>106917.43335193797</v>
      </c>
      <c r="AA137" s="65">
        <f t="shared" si="145"/>
        <v>135653.64765673032</v>
      </c>
      <c r="AB137" s="64">
        <f t="shared" si="145"/>
        <v>135653.64765673032</v>
      </c>
      <c r="AC137" s="65">
        <f t="shared" ref="AC137:AL137" si="146">SUM(AC133:AC136)</f>
        <v>135514.23149166018</v>
      </c>
      <c r="AD137" s="65">
        <f t="shared" si="146"/>
        <v>117236.71787709327</v>
      </c>
      <c r="AE137" s="65">
        <f t="shared" si="146"/>
        <v>113925.93186085459</v>
      </c>
      <c r="AF137" s="65">
        <f t="shared" si="146"/>
        <v>141845.18456666291</v>
      </c>
      <c r="AG137" s="64">
        <f t="shared" si="146"/>
        <v>141845.18456666291</v>
      </c>
      <c r="AH137" s="65">
        <f t="shared" si="146"/>
        <v>141581.7844007395</v>
      </c>
      <c r="AI137" s="65">
        <f t="shared" si="146"/>
        <v>123295.08342432181</v>
      </c>
      <c r="AJ137" s="65">
        <f t="shared" si="146"/>
        <v>119945.14760919781</v>
      </c>
      <c r="AK137" s="65">
        <f t="shared" si="146"/>
        <v>148402.27123889638</v>
      </c>
      <c r="AL137" s="64">
        <f t="shared" si="146"/>
        <v>148402.27123889638</v>
      </c>
    </row>
    <row r="138" spans="2:38" outlineLevel="1" x14ac:dyDescent="0.3">
      <c r="B138" s="355" t="s">
        <v>87</v>
      </c>
      <c r="C138" s="356"/>
      <c r="D138" s="54">
        <v>3163</v>
      </c>
      <c r="E138" s="54">
        <v>3107</v>
      </c>
      <c r="F138" s="54">
        <v>2984</v>
      </c>
      <c r="G138" s="54">
        <v>2836</v>
      </c>
      <c r="H138" s="53">
        <f>G138</f>
        <v>2836</v>
      </c>
      <c r="I138" s="54">
        <v>3131</v>
      </c>
      <c r="J138" s="54">
        <v>3087</v>
      </c>
      <c r="K138" s="54">
        <v>2878</v>
      </c>
      <c r="L138" s="54">
        <v>2797</v>
      </c>
      <c r="M138" s="53">
        <f>L138</f>
        <v>2797</v>
      </c>
      <c r="N138" s="54">
        <v>0</v>
      </c>
      <c r="O138" s="54">
        <v>0</v>
      </c>
      <c r="P138" s="54">
        <f>(O15+N15+L15+P15)*P164*(1-P165)</f>
        <v>956.65075854795805</v>
      </c>
      <c r="Q138" s="54">
        <f>(P15+O15+N15+Q15)*Q164*(1-Q165)</f>
        <v>711.22927705202642</v>
      </c>
      <c r="R138" s="53">
        <f>Q138</f>
        <v>711.22927705202642</v>
      </c>
      <c r="S138" s="54">
        <f>(Q15+P15+O15+S15)*S164*(1-S165)</f>
        <v>375.64540927795184</v>
      </c>
      <c r="T138" s="54">
        <f>(S15+Q15+P15+T15)*T164*(1-T165)</f>
        <v>489.98898177079127</v>
      </c>
      <c r="U138" s="54">
        <f>(T15+S15+Q15+U15)*U164*(1-U165)</f>
        <v>640.97442418543858</v>
      </c>
      <c r="V138" s="54">
        <f>(U15+T15+S15+V15)*V164*(1-V165)</f>
        <v>566.34795117682029</v>
      </c>
      <c r="W138" s="53">
        <f>V138</f>
        <v>566.34795117682029</v>
      </c>
      <c r="X138" s="54">
        <f>(V15+U15+T15+X15)*X164*(1-X165)</f>
        <v>533.02290738905117</v>
      </c>
      <c r="Y138" s="54">
        <f>(X15+V15+U15+Y15)*Y164*(1-Y165)</f>
        <v>576.20052378796504</v>
      </c>
      <c r="Z138" s="54">
        <f>(Y15+X15+V15+Z15)*Z164*(1-Z165)</f>
        <v>598.73898274602254</v>
      </c>
      <c r="AA138" s="54">
        <f>(Z15+Y15+X15+AA15)*AA164*(1-AA165)</f>
        <v>587.86132758476151</v>
      </c>
      <c r="AB138" s="53">
        <f>AA138</f>
        <v>587.86132758476151</v>
      </c>
      <c r="AC138" s="54">
        <f>(AA15+Z15+Y15+AC15)*AC164*(1-AC165)</f>
        <v>589.97404509046908</v>
      </c>
      <c r="AD138" s="54">
        <f>(AC15+AA15+Z15+AD15)*AD164*(1-AD165)</f>
        <v>600.66557167024143</v>
      </c>
      <c r="AE138" s="54">
        <f>(AD15+AC15+AA15+AE15)*AE164*(1-AE165)</f>
        <v>602.68214607281789</v>
      </c>
      <c r="AF138" s="54">
        <f>(AE15+AD15+AC15+AF15)*AF164*(1-AF165)</f>
        <v>600.35565379095249</v>
      </c>
      <c r="AG138" s="53">
        <f>AF138</f>
        <v>600.35565379095249</v>
      </c>
      <c r="AH138" s="54">
        <f>(AF15+AE15+AD15+AH15)*AH164*(1-AH165)</f>
        <v>604.14865029674991</v>
      </c>
      <c r="AI138" s="54">
        <f>(AH15+AF15+AE15+AI15)*AI164*(1-AI165)</f>
        <v>607.37130261191828</v>
      </c>
      <c r="AJ138" s="54">
        <f>(AI15+AH15+AF15+AJ15)*AJ164*(1-AJ165)</f>
        <v>608.52359683965528</v>
      </c>
      <c r="AK138" s="54">
        <f>(AJ15+AI15+AH15+AK15)*AK164*(1-AK165)</f>
        <v>609.64219800402452</v>
      </c>
      <c r="AL138" s="53">
        <f>AK138</f>
        <v>609.64219800402452</v>
      </c>
    </row>
    <row r="139" spans="2:38" ht="15.75" customHeight="1" outlineLevel="1" x14ac:dyDescent="0.3">
      <c r="B139" s="382" t="s">
        <v>88</v>
      </c>
      <c r="C139" s="383"/>
      <c r="D139" s="54">
        <v>73557</v>
      </c>
      <c r="E139" s="54">
        <v>84531</v>
      </c>
      <c r="F139" s="54">
        <v>89864</v>
      </c>
      <c r="G139" s="54">
        <v>97207</v>
      </c>
      <c r="H139" s="53">
        <f>G139</f>
        <v>97207</v>
      </c>
      <c r="I139" s="54">
        <v>103922</v>
      </c>
      <c r="J139" s="54">
        <v>101362</v>
      </c>
      <c r="K139" s="54">
        <v>97128</v>
      </c>
      <c r="L139" s="54">
        <v>93735</v>
      </c>
      <c r="M139" s="53">
        <f>L139</f>
        <v>93735</v>
      </c>
      <c r="N139" s="54">
        <v>92989</v>
      </c>
      <c r="O139" s="54">
        <v>90201</v>
      </c>
      <c r="P139" s="54">
        <f>+P147*P167*(1-P169)</f>
        <v>89245.925850174404</v>
      </c>
      <c r="Q139" s="54">
        <f>+Q147*Q167*(1-Q169)</f>
        <v>88455.592613814079</v>
      </c>
      <c r="R139" s="53">
        <f>Q139</f>
        <v>88455.592613814079</v>
      </c>
      <c r="S139" s="54">
        <f>+S147*S167*(1-S169)</f>
        <v>98112.711797895492</v>
      </c>
      <c r="T139" s="54">
        <f>+T147*T167*(1-T169)</f>
        <v>102418.04396992517</v>
      </c>
      <c r="U139" s="54">
        <f>+U147*U167*(1-U169)</f>
        <v>104349.90284050482</v>
      </c>
      <c r="V139" s="54">
        <f>+V147*V167*(1-V169)</f>
        <v>108679.67892410679</v>
      </c>
      <c r="W139" s="53">
        <f>V139</f>
        <v>108679.67892410679</v>
      </c>
      <c r="X139" s="54">
        <f>+X147*X167*(1-X169)</f>
        <v>120066.6903578366</v>
      </c>
      <c r="Y139" s="54">
        <f>+Y147*Y167*(1-Y169)</f>
        <v>126032.39395436535</v>
      </c>
      <c r="Z139" s="54">
        <f>+Z147*Z167*(1-Z169)</f>
        <v>129373.88673796454</v>
      </c>
      <c r="AA139" s="54">
        <f>+AA147*AA167*(1-AA169)</f>
        <v>134893.19714260902</v>
      </c>
      <c r="AB139" s="53">
        <f>AA139</f>
        <v>134893.19714260902</v>
      </c>
      <c r="AC139" s="54">
        <f>+AC147*AC167*(1-AC169)</f>
        <v>145828.33373244162</v>
      </c>
      <c r="AD139" s="54">
        <f>+AD147*AD167*(1-AD169)</f>
        <v>150945.338160855</v>
      </c>
      <c r="AE139" s="54">
        <f>+AE147*AE167*(1-AE169)</f>
        <v>153347.71444329352</v>
      </c>
      <c r="AF139" s="54">
        <f>+AF147*AF167*(1-AF169)</f>
        <v>158001.84282004499</v>
      </c>
      <c r="AG139" s="53">
        <f>AF139</f>
        <v>158001.84282004499</v>
      </c>
      <c r="AH139" s="54">
        <f>+AH147*AH167*(1-AH169)</f>
        <v>167889.35561701262</v>
      </c>
      <c r="AI139" s="54">
        <f>+AI147*AI167*(1-AI169)</f>
        <v>172123.05958960971</v>
      </c>
      <c r="AJ139" s="54">
        <f>+AJ147*AJ167*(1-AJ169)</f>
        <v>173610.39984328992</v>
      </c>
      <c r="AK139" s="54">
        <f>+AK147*AK167*(1-AK169)</f>
        <v>177124.66844177575</v>
      </c>
      <c r="AL139" s="53">
        <f>AK139</f>
        <v>177124.66844177575</v>
      </c>
    </row>
    <row r="140" spans="2:38" ht="15.75" customHeight="1" outlineLevel="1" x14ac:dyDescent="0.45">
      <c r="B140" s="382" t="s">
        <v>89</v>
      </c>
      <c r="C140" s="383"/>
      <c r="D140" s="60">
        <v>37901</v>
      </c>
      <c r="E140" s="60">
        <v>39470</v>
      </c>
      <c r="F140" s="60">
        <v>38598</v>
      </c>
      <c r="G140" s="60">
        <v>40415</v>
      </c>
      <c r="H140" s="59">
        <f>G140</f>
        <v>40415</v>
      </c>
      <c r="I140" s="60">
        <v>43754</v>
      </c>
      <c r="J140" s="60">
        <v>46855</v>
      </c>
      <c r="K140" s="60">
        <v>45694</v>
      </c>
      <c r="L140" s="60">
        <v>45180</v>
      </c>
      <c r="M140" s="59">
        <f>L140</f>
        <v>45180</v>
      </c>
      <c r="N140" s="60">
        <v>54555</v>
      </c>
      <c r="O140" s="60">
        <v>52165</v>
      </c>
      <c r="P140" s="60">
        <f>O140*(K140/J140)</f>
        <v>50872.425781666847</v>
      </c>
      <c r="Q140" s="60">
        <f>P140*(L140/K140)</f>
        <v>50300.175008003418</v>
      </c>
      <c r="R140" s="59">
        <f>Q140</f>
        <v>50300.175008003418</v>
      </c>
      <c r="S140" s="60">
        <f>Q140*(N140/L140)</f>
        <v>60737.628321417142</v>
      </c>
      <c r="T140" s="60">
        <f>S140*(O140/N140)</f>
        <v>58076.773556717533</v>
      </c>
      <c r="U140" s="60">
        <f>T140*(P140/O140)</f>
        <v>56637.714030533585</v>
      </c>
      <c r="V140" s="60">
        <f>U140*(Q140/P140)</f>
        <v>56000.611018941374</v>
      </c>
      <c r="W140" s="59">
        <f>V140</f>
        <v>56000.611018941374</v>
      </c>
      <c r="X140" s="60">
        <f>V140*(S140/Q140)</f>
        <v>67620.9237303751</v>
      </c>
      <c r="Y140" s="60">
        <f>X140*(T140/S140)</f>
        <v>64658.518676473592</v>
      </c>
      <c r="Z140" s="60">
        <f>Y140*(U140/T140)</f>
        <v>63056.372903698313</v>
      </c>
      <c r="AA140" s="60">
        <f>Z140*(V140/U140)</f>
        <v>62347.06805683655</v>
      </c>
      <c r="AB140" s="59">
        <f>AA140</f>
        <v>62347.06805683655</v>
      </c>
      <c r="AC140" s="60">
        <f>AA140*(X140/V140)</f>
        <v>75284.291674208012</v>
      </c>
      <c r="AD140" s="60">
        <f>AC140*(Y140/X140)</f>
        <v>71986.162133352773</v>
      </c>
      <c r="AE140" s="60">
        <f>AD140*(Z140/Y140)</f>
        <v>70202.447818192755</v>
      </c>
      <c r="AF140" s="60">
        <f>AE140*(AA140/Z140)</f>
        <v>69412.758620955661</v>
      </c>
      <c r="AG140" s="59">
        <f>AF140</f>
        <v>69412.758620955661</v>
      </c>
      <c r="AH140" s="60">
        <f>AF140*(AC140/AA140)</f>
        <v>83816.13648884985</v>
      </c>
      <c r="AI140" s="60">
        <f>AH140*(AD140/AC140)</f>
        <v>80144.235357728016</v>
      </c>
      <c r="AJ140" s="60">
        <f>AI140*(AE140/AD140)</f>
        <v>78158.375636239973</v>
      </c>
      <c r="AK140" s="60">
        <f>AJ140*(AF140/AE140)</f>
        <v>77279.192262557903</v>
      </c>
      <c r="AL140" s="59">
        <f>AK140</f>
        <v>77279.192262557903</v>
      </c>
    </row>
    <row r="141" spans="2:38" outlineLevel="1" x14ac:dyDescent="0.3">
      <c r="B141" s="357" t="s">
        <v>19</v>
      </c>
      <c r="C141" s="358"/>
      <c r="D141" s="65">
        <f t="shared" ref="D141:AB141" si="147">SUM(D137:D140)</f>
        <v>198751</v>
      </c>
      <c r="E141" s="65">
        <f t="shared" si="147"/>
        <v>200450</v>
      </c>
      <c r="F141" s="65">
        <f t="shared" si="147"/>
        <v>212748</v>
      </c>
      <c r="G141" s="65">
        <f t="shared" si="147"/>
        <v>241272</v>
      </c>
      <c r="H141" s="64">
        <f>SUM(H137:H140)</f>
        <v>241272</v>
      </c>
      <c r="I141" s="65">
        <f t="shared" si="147"/>
        <v>266595</v>
      </c>
      <c r="J141" s="65">
        <f t="shared" si="147"/>
        <v>240624</v>
      </c>
      <c r="K141" s="65">
        <f t="shared" si="147"/>
        <v>234248</v>
      </c>
      <c r="L141" s="65">
        <f t="shared" si="147"/>
        <v>258578</v>
      </c>
      <c r="M141" s="64">
        <f t="shared" si="147"/>
        <v>258578</v>
      </c>
      <c r="N141" s="65">
        <f t="shared" si="147"/>
        <v>255827</v>
      </c>
      <c r="O141" s="65">
        <f t="shared" si="147"/>
        <v>236138</v>
      </c>
      <c r="P141" s="65">
        <f t="shared" si="147"/>
        <v>230691.77299800669</v>
      </c>
      <c r="Q141" s="65">
        <f t="shared" si="147"/>
        <v>253582.34441422106</v>
      </c>
      <c r="R141" s="64">
        <f t="shared" si="147"/>
        <v>253582.34441422106</v>
      </c>
      <c r="S141" s="65">
        <f t="shared" si="147"/>
        <v>278305.90045170509</v>
      </c>
      <c r="T141" s="65">
        <f t="shared" si="147"/>
        <v>261520.73147003556</v>
      </c>
      <c r="U141" s="65">
        <f t="shared" si="147"/>
        <v>259359.51253456043</v>
      </c>
      <c r="V141" s="65">
        <f t="shared" si="147"/>
        <v>288218.22434837947</v>
      </c>
      <c r="W141" s="64">
        <f t="shared" si="147"/>
        <v>288218.22434837947</v>
      </c>
      <c r="X141" s="65">
        <f t="shared" si="147"/>
        <v>313186.60898952483</v>
      </c>
      <c r="Y141" s="65">
        <f t="shared" si="147"/>
        <v>300339.10891743324</v>
      </c>
      <c r="Z141" s="65">
        <f t="shared" si="147"/>
        <v>299946.43197634682</v>
      </c>
      <c r="AA141" s="65">
        <f t="shared" si="147"/>
        <v>333481.77418376069</v>
      </c>
      <c r="AB141" s="64">
        <f t="shared" si="147"/>
        <v>333481.77418376069</v>
      </c>
      <c r="AC141" s="65">
        <f t="shared" ref="AC141:AL141" si="148">SUM(AC137:AC140)</f>
        <v>357216.83094340027</v>
      </c>
      <c r="AD141" s="65">
        <f t="shared" si="148"/>
        <v>340768.88374297129</v>
      </c>
      <c r="AE141" s="65">
        <f t="shared" si="148"/>
        <v>338078.7762684137</v>
      </c>
      <c r="AF141" s="65">
        <f t="shared" si="148"/>
        <v>369860.14166145446</v>
      </c>
      <c r="AG141" s="64">
        <f t="shared" si="148"/>
        <v>369860.14166145446</v>
      </c>
      <c r="AH141" s="65">
        <f t="shared" si="148"/>
        <v>393891.4251568988</v>
      </c>
      <c r="AI141" s="65">
        <f t="shared" si="148"/>
        <v>376169.7496742715</v>
      </c>
      <c r="AJ141" s="65">
        <f t="shared" si="148"/>
        <v>372322.44668556738</v>
      </c>
      <c r="AK141" s="65">
        <f t="shared" si="148"/>
        <v>403415.77414123411</v>
      </c>
      <c r="AL141" s="64">
        <f t="shared" si="148"/>
        <v>403415.77414123411</v>
      </c>
    </row>
    <row r="142" spans="2:38" ht="14.25" customHeight="1" outlineLevel="1" x14ac:dyDescent="0.3">
      <c r="B142" s="355" t="s">
        <v>90</v>
      </c>
      <c r="C142" s="356"/>
      <c r="D142" s="54">
        <v>0</v>
      </c>
      <c r="E142" s="54">
        <v>0</v>
      </c>
      <c r="F142" s="54">
        <v>0</v>
      </c>
      <c r="G142" s="54">
        <v>0</v>
      </c>
      <c r="H142" s="53">
        <f t="shared" ref="H142:AB142" si="149">G142</f>
        <v>0</v>
      </c>
      <c r="I142" s="54">
        <v>0</v>
      </c>
      <c r="J142" s="54">
        <v>0</v>
      </c>
      <c r="K142" s="54">
        <v>0</v>
      </c>
      <c r="L142" s="54">
        <v>0</v>
      </c>
      <c r="M142" s="53">
        <f t="shared" si="149"/>
        <v>0</v>
      </c>
      <c r="N142" s="54">
        <v>0</v>
      </c>
      <c r="O142" s="54">
        <f t="shared" si="149"/>
        <v>0</v>
      </c>
      <c r="P142" s="54">
        <f t="shared" si="149"/>
        <v>0</v>
      </c>
      <c r="Q142" s="54">
        <f t="shared" si="149"/>
        <v>0</v>
      </c>
      <c r="R142" s="53">
        <f t="shared" si="149"/>
        <v>0</v>
      </c>
      <c r="S142" s="54">
        <f t="shared" si="149"/>
        <v>0</v>
      </c>
      <c r="T142" s="54">
        <f t="shared" si="149"/>
        <v>0</v>
      </c>
      <c r="U142" s="54">
        <f t="shared" si="149"/>
        <v>0</v>
      </c>
      <c r="V142" s="54">
        <f t="shared" si="149"/>
        <v>0</v>
      </c>
      <c r="W142" s="53">
        <f t="shared" si="149"/>
        <v>0</v>
      </c>
      <c r="X142" s="54">
        <f t="shared" si="149"/>
        <v>0</v>
      </c>
      <c r="Y142" s="54">
        <f t="shared" si="149"/>
        <v>0</v>
      </c>
      <c r="Z142" s="54">
        <f t="shared" si="149"/>
        <v>0</v>
      </c>
      <c r="AA142" s="54">
        <f t="shared" si="149"/>
        <v>0</v>
      </c>
      <c r="AB142" s="53">
        <f t="shared" si="149"/>
        <v>0</v>
      </c>
      <c r="AC142" s="54">
        <f t="shared" ref="AC142" si="150">AB142</f>
        <v>0</v>
      </c>
      <c r="AD142" s="54">
        <f t="shared" ref="AD142" si="151">AC142</f>
        <v>0</v>
      </c>
      <c r="AE142" s="54">
        <f t="shared" ref="AE142" si="152">AD142</f>
        <v>0</v>
      </c>
      <c r="AF142" s="54">
        <f t="shared" ref="AF142" si="153">AE142</f>
        <v>0</v>
      </c>
      <c r="AG142" s="53">
        <f t="shared" ref="AG142" si="154">AF142</f>
        <v>0</v>
      </c>
      <c r="AH142" s="54">
        <f t="shared" ref="AH142" si="155">AG142</f>
        <v>0</v>
      </c>
      <c r="AI142" s="54">
        <f t="shared" ref="AI142" si="156">AH142</f>
        <v>0</v>
      </c>
      <c r="AJ142" s="54">
        <f t="shared" ref="AJ142" si="157">AI142</f>
        <v>0</v>
      </c>
      <c r="AK142" s="54">
        <f t="shared" ref="AK142" si="158">AJ142</f>
        <v>0</v>
      </c>
      <c r="AL142" s="53">
        <f t="shared" ref="AL142" si="159">AK142</f>
        <v>0</v>
      </c>
    </row>
    <row r="143" spans="2:38" ht="16.2" outlineLevel="1" x14ac:dyDescent="0.45">
      <c r="B143" s="363" t="s">
        <v>20</v>
      </c>
      <c r="C143" s="364"/>
      <c r="D143" s="49" t="s">
        <v>163</v>
      </c>
      <c r="E143" s="49" t="s">
        <v>196</v>
      </c>
      <c r="F143" s="49" t="s">
        <v>214</v>
      </c>
      <c r="G143" s="10" t="s">
        <v>216</v>
      </c>
      <c r="H143" s="267" t="s">
        <v>217</v>
      </c>
      <c r="I143" s="10" t="s">
        <v>218</v>
      </c>
      <c r="J143" s="10" t="s">
        <v>219</v>
      </c>
      <c r="K143" s="10" t="s">
        <v>220</v>
      </c>
      <c r="L143" s="10" t="s">
        <v>221</v>
      </c>
      <c r="M143" s="267" t="s">
        <v>222</v>
      </c>
      <c r="N143" s="10" t="s">
        <v>223</v>
      </c>
      <c r="O143" s="10" t="s">
        <v>383</v>
      </c>
      <c r="P143" s="50" t="s">
        <v>46</v>
      </c>
      <c r="Q143" s="50" t="s">
        <v>47</v>
      </c>
      <c r="R143" s="268" t="s">
        <v>128</v>
      </c>
      <c r="S143" s="50" t="s">
        <v>135</v>
      </c>
      <c r="T143" s="50" t="s">
        <v>140</v>
      </c>
      <c r="U143" s="50" t="s">
        <v>141</v>
      </c>
      <c r="V143" s="50" t="s">
        <v>142</v>
      </c>
      <c r="W143" s="268" t="s">
        <v>143</v>
      </c>
      <c r="X143" s="50" t="s">
        <v>158</v>
      </c>
      <c r="Y143" s="50" t="s">
        <v>159</v>
      </c>
      <c r="Z143" s="50" t="s">
        <v>160</v>
      </c>
      <c r="AA143" s="50" t="s">
        <v>161</v>
      </c>
      <c r="AB143" s="268" t="s">
        <v>162</v>
      </c>
      <c r="AC143" s="50" t="s">
        <v>281</v>
      </c>
      <c r="AD143" s="50" t="s">
        <v>282</v>
      </c>
      <c r="AE143" s="50" t="s">
        <v>283</v>
      </c>
      <c r="AF143" s="50" t="s">
        <v>284</v>
      </c>
      <c r="AG143" s="268" t="s">
        <v>285</v>
      </c>
      <c r="AH143" s="50" t="s">
        <v>290</v>
      </c>
      <c r="AI143" s="50" t="s">
        <v>291</v>
      </c>
      <c r="AJ143" s="50" t="s">
        <v>292</v>
      </c>
      <c r="AK143" s="50" t="s">
        <v>293</v>
      </c>
      <c r="AL143" s="268" t="s">
        <v>294</v>
      </c>
    </row>
    <row r="144" spans="2:38" outlineLevel="1" x14ac:dyDescent="0.3">
      <c r="B144" s="355" t="s">
        <v>21</v>
      </c>
      <c r="C144" s="356"/>
      <c r="D144" s="54">
        <v>32144</v>
      </c>
      <c r="E144" s="54">
        <v>33579</v>
      </c>
      <c r="F144" s="54">
        <v>34445</v>
      </c>
      <c r="G144" s="54">
        <v>35867</v>
      </c>
      <c r="H144" s="53">
        <f>G144</f>
        <v>35867</v>
      </c>
      <c r="I144" s="54">
        <v>36447</v>
      </c>
      <c r="J144" s="54">
        <v>38044</v>
      </c>
      <c r="K144" s="54">
        <v>38624</v>
      </c>
      <c r="L144" s="54">
        <v>40201</v>
      </c>
      <c r="M144" s="53">
        <f>L144</f>
        <v>40201</v>
      </c>
      <c r="N144" s="54">
        <v>40970</v>
      </c>
      <c r="O144" s="54">
        <v>42801</v>
      </c>
      <c r="P144" s="54">
        <f>O144+P176+P199+P200</f>
        <v>43088.537011930683</v>
      </c>
      <c r="Q144" s="54">
        <f>P144+Q176+Q199+Q200</f>
        <v>44252.510470006418</v>
      </c>
      <c r="R144" s="53">
        <f>Q144</f>
        <v>44252.510470006418</v>
      </c>
      <c r="S144" s="54">
        <f>Q144+S176+S199+S200</f>
        <v>44467.200104613927</v>
      </c>
      <c r="T144" s="54">
        <f>S144+T176+T199+T200</f>
        <v>45747.153497770298</v>
      </c>
      <c r="U144" s="54">
        <f>T144+U176+U199+U200</f>
        <v>46050.490714109503</v>
      </c>
      <c r="V144" s="54">
        <f>U144+V176+V199+V200</f>
        <v>47276.270005646016</v>
      </c>
      <c r="W144" s="53">
        <f>V144</f>
        <v>47276.270005646016</v>
      </c>
      <c r="X144" s="54">
        <f>V144+X176+X199+X200</f>
        <v>47501.756505119403</v>
      </c>
      <c r="Y144" s="54">
        <f>X144+Y176+Y199+Y200</f>
        <v>48856.465493245836</v>
      </c>
      <c r="Z144" s="54">
        <f>Y144+Z176+Z199+Z200</f>
        <v>49178.223683302022</v>
      </c>
      <c r="AA144" s="54">
        <f>Z144+AA176+AA199+AA200</f>
        <v>50479.235756004207</v>
      </c>
      <c r="AB144" s="53">
        <f>AA144</f>
        <v>50479.235756004207</v>
      </c>
      <c r="AC144" s="54">
        <f>AA144+AC176+AC199+AC200</f>
        <v>50710.482061229457</v>
      </c>
      <c r="AD144" s="54">
        <f>AC144+AD176+AD199+AD200</f>
        <v>52093.935785386879</v>
      </c>
      <c r="AE144" s="54">
        <f>AD144+AE176+AE199+AE200</f>
        <v>52419.99907386268</v>
      </c>
      <c r="AF144" s="54">
        <f>AE144+AF176+AF199+AF200</f>
        <v>53731.964058179699</v>
      </c>
      <c r="AG144" s="53">
        <f>AF144</f>
        <v>53731.964058179699</v>
      </c>
      <c r="AH144" s="54">
        <f>AF144+AH176+AH199+AH200</f>
        <v>53967.139352220824</v>
      </c>
      <c r="AI144" s="54">
        <f>AH144+AI176+AI199+AI200</f>
        <v>55369.780003245316</v>
      </c>
      <c r="AJ144" s="54">
        <f>AI144+AJ176+AJ199+AJ200</f>
        <v>55699.723981226591</v>
      </c>
      <c r="AK144" s="54">
        <f>AJ144+AK176+AK199+AK200</f>
        <v>57026.68724166177</v>
      </c>
      <c r="AL144" s="53">
        <f>AK144</f>
        <v>57026.68724166177</v>
      </c>
    </row>
    <row r="145" spans="2:46" outlineLevel="1" x14ac:dyDescent="0.3">
      <c r="B145" s="382" t="s">
        <v>91</v>
      </c>
      <c r="C145" s="383"/>
      <c r="D145" s="54">
        <v>100001</v>
      </c>
      <c r="E145" s="54">
        <v>100925</v>
      </c>
      <c r="F145" s="54">
        <v>98525</v>
      </c>
      <c r="G145" s="54">
        <v>98330</v>
      </c>
      <c r="H145" s="53">
        <f>G145</f>
        <v>98330</v>
      </c>
      <c r="I145" s="54">
        <v>104593</v>
      </c>
      <c r="J145" s="54">
        <v>91898</v>
      </c>
      <c r="K145" s="54">
        <v>79436</v>
      </c>
      <c r="L145" s="54">
        <v>70400</v>
      </c>
      <c r="M145" s="53">
        <f>L145</f>
        <v>70400</v>
      </c>
      <c r="N145" s="54">
        <v>80510</v>
      </c>
      <c r="O145" s="54">
        <v>64558</v>
      </c>
      <c r="P145" s="54">
        <f>O145+P174+P201+P202</f>
        <v>62738.804597990849</v>
      </c>
      <c r="Q145" s="54">
        <f>P145+Q174+Q201+Q202</f>
        <v>63582.980473541873</v>
      </c>
      <c r="R145" s="53">
        <f>Q145</f>
        <v>63582.980473541873</v>
      </c>
      <c r="S145" s="54">
        <f>Q145+S174+S201+S202</f>
        <v>76375.107924340584</v>
      </c>
      <c r="T145" s="54">
        <f>S145+T174+T201+T202</f>
        <v>81561.787310130007</v>
      </c>
      <c r="U145" s="54">
        <f>T145+U174+U201+U202</f>
        <v>84523.075566288724</v>
      </c>
      <c r="V145" s="54">
        <f>U145+V174+V201+V202</f>
        <v>90272.281762848856</v>
      </c>
      <c r="W145" s="53">
        <f>V145</f>
        <v>90272.281762848856</v>
      </c>
      <c r="X145" s="54">
        <f>V145+X174+X201+X202</f>
        <v>105094.07829249061</v>
      </c>
      <c r="Y145" s="54">
        <f>X145+Y174+Y201+Y202</f>
        <v>112015.61073363623</v>
      </c>
      <c r="Z145" s="54">
        <f>Y145+Z174+Z201+Z202</f>
        <v>116708.55651230375</v>
      </c>
      <c r="AA145" s="54">
        <f>Z145+AA174+AA201+AA202</f>
        <v>123370.3349018937</v>
      </c>
      <c r="AB145" s="53">
        <f>AA145</f>
        <v>123370.3349018937</v>
      </c>
      <c r="AC145" s="54">
        <f>AA145+AC174+AC201+AC202</f>
        <v>139059.04045774986</v>
      </c>
      <c r="AD145" s="54">
        <f>AC145+AD174+AD201+AD202</f>
        <v>146331.90516990624</v>
      </c>
      <c r="AE145" s="54">
        <f>AD145+AE174+AE201+AE202</f>
        <v>151278.03217670927</v>
      </c>
      <c r="AF145" s="54">
        <f>AE145+AF174+AF201+AF202</f>
        <v>158369.93877030269</v>
      </c>
      <c r="AG145" s="53">
        <f>AF145</f>
        <v>158369.93877030269</v>
      </c>
      <c r="AH145" s="54">
        <f>AF145+AH174+AH201+AH202</f>
        <v>173759.03258950604</v>
      </c>
      <c r="AI145" s="54">
        <f>AH145+AI174+AI201+AI202</f>
        <v>180624.00717012773</v>
      </c>
      <c r="AJ145" s="54">
        <f>AI145+AJ174+AJ201+AJ202</f>
        <v>184966.76205861196</v>
      </c>
      <c r="AK145" s="54">
        <f>AJ145+AK174+AK201+AK202</f>
        <v>191243.55061043124</v>
      </c>
      <c r="AL145" s="53">
        <f>AK145</f>
        <v>191243.55061043124</v>
      </c>
    </row>
    <row r="146" spans="2:46" ht="16.2" outlineLevel="1" x14ac:dyDescent="0.45">
      <c r="B146" s="382" t="s">
        <v>22</v>
      </c>
      <c r="C146" s="383"/>
      <c r="D146" s="60">
        <v>245</v>
      </c>
      <c r="E146" s="60">
        <v>-422</v>
      </c>
      <c r="F146" s="60">
        <v>-545</v>
      </c>
      <c r="G146" s="60">
        <v>-150</v>
      </c>
      <c r="H146" s="59">
        <f>G146</f>
        <v>-150</v>
      </c>
      <c r="I146" s="60">
        <v>-841</v>
      </c>
      <c r="J146" s="60">
        <v>-3064</v>
      </c>
      <c r="K146" s="60">
        <v>-3111</v>
      </c>
      <c r="L146" s="60">
        <v>-3454</v>
      </c>
      <c r="M146" s="59">
        <f>L146</f>
        <v>-3454</v>
      </c>
      <c r="N146" s="60">
        <v>-3588</v>
      </c>
      <c r="O146" s="60">
        <v>-1499</v>
      </c>
      <c r="P146" s="60">
        <f>O146</f>
        <v>-1499</v>
      </c>
      <c r="Q146" s="60">
        <f>P146</f>
        <v>-1499</v>
      </c>
      <c r="R146" s="59">
        <f>Q146</f>
        <v>-1499</v>
      </c>
      <c r="S146" s="60">
        <f>R146</f>
        <v>-1499</v>
      </c>
      <c r="T146" s="60">
        <f>S146</f>
        <v>-1499</v>
      </c>
      <c r="U146" s="60">
        <f>T146</f>
        <v>-1499</v>
      </c>
      <c r="V146" s="60">
        <f>U146</f>
        <v>-1499</v>
      </c>
      <c r="W146" s="59">
        <f>V146</f>
        <v>-1499</v>
      </c>
      <c r="X146" s="60">
        <f>W146</f>
        <v>-1499</v>
      </c>
      <c r="Y146" s="60">
        <f>X146</f>
        <v>-1499</v>
      </c>
      <c r="Z146" s="60">
        <f>Y146</f>
        <v>-1499</v>
      </c>
      <c r="AA146" s="60">
        <f>Z146</f>
        <v>-1499</v>
      </c>
      <c r="AB146" s="59">
        <f>AA146</f>
        <v>-1499</v>
      </c>
      <c r="AC146" s="60">
        <f>AB146</f>
        <v>-1499</v>
      </c>
      <c r="AD146" s="60">
        <f>AC146</f>
        <v>-1499</v>
      </c>
      <c r="AE146" s="60">
        <f>AD146</f>
        <v>-1499</v>
      </c>
      <c r="AF146" s="60">
        <f>AE146</f>
        <v>-1499</v>
      </c>
      <c r="AG146" s="59">
        <f>AF146</f>
        <v>-1499</v>
      </c>
      <c r="AH146" s="60">
        <f>AG146</f>
        <v>-1499</v>
      </c>
      <c r="AI146" s="60">
        <f>AH146</f>
        <v>-1499</v>
      </c>
      <c r="AJ146" s="60">
        <f>AI146</f>
        <v>-1499</v>
      </c>
      <c r="AK146" s="60">
        <f>AJ146</f>
        <v>-1499</v>
      </c>
      <c r="AL146" s="59">
        <f>AK146</f>
        <v>-1499</v>
      </c>
    </row>
    <row r="147" spans="2:46" outlineLevel="1" x14ac:dyDescent="0.3">
      <c r="B147" s="357" t="s">
        <v>92</v>
      </c>
      <c r="C147" s="358"/>
      <c r="D147" s="63">
        <f t="shared" ref="D147:R147" si="160">SUM(D144:D146)</f>
        <v>132390</v>
      </c>
      <c r="E147" s="63">
        <f>SUM(E144:E146)</f>
        <v>134082</v>
      </c>
      <c r="F147" s="63">
        <f t="shared" si="160"/>
        <v>132425</v>
      </c>
      <c r="G147" s="63">
        <f t="shared" si="160"/>
        <v>134047</v>
      </c>
      <c r="H147" s="64">
        <f t="shared" si="160"/>
        <v>134047</v>
      </c>
      <c r="I147" s="63">
        <f t="shared" si="160"/>
        <v>140199</v>
      </c>
      <c r="J147" s="63">
        <f t="shared" si="160"/>
        <v>126878</v>
      </c>
      <c r="K147" s="63">
        <f t="shared" si="160"/>
        <v>114949</v>
      </c>
      <c r="L147" s="63">
        <f t="shared" si="160"/>
        <v>107147</v>
      </c>
      <c r="M147" s="64">
        <f t="shared" si="160"/>
        <v>107147</v>
      </c>
      <c r="N147" s="63">
        <f t="shared" si="160"/>
        <v>117892</v>
      </c>
      <c r="O147" s="63">
        <f t="shared" si="160"/>
        <v>105860</v>
      </c>
      <c r="P147" s="63">
        <f t="shared" si="160"/>
        <v>104328.34160992154</v>
      </c>
      <c r="Q147" s="63">
        <f t="shared" si="160"/>
        <v>106336.4909435483</v>
      </c>
      <c r="R147" s="64">
        <f t="shared" si="160"/>
        <v>106336.4909435483</v>
      </c>
      <c r="S147" s="63">
        <f t="shared" ref="S147:AB147" si="161">SUM(S144:S146)</f>
        <v>119343.30802895452</v>
      </c>
      <c r="T147" s="63">
        <f t="shared" si="161"/>
        <v>125809.9408079003</v>
      </c>
      <c r="U147" s="63">
        <f t="shared" si="161"/>
        <v>129074.56628039823</v>
      </c>
      <c r="V147" s="63">
        <f t="shared" si="161"/>
        <v>136049.55176849489</v>
      </c>
      <c r="W147" s="64">
        <f t="shared" si="161"/>
        <v>136049.55176849489</v>
      </c>
      <c r="X147" s="63">
        <f t="shared" si="161"/>
        <v>151096.83479761</v>
      </c>
      <c r="Y147" s="63">
        <f t="shared" si="161"/>
        <v>159373.07622688205</v>
      </c>
      <c r="Z147" s="63">
        <f t="shared" si="161"/>
        <v>164387.78019560577</v>
      </c>
      <c r="AA147" s="63">
        <f t="shared" si="161"/>
        <v>172350.57065789792</v>
      </c>
      <c r="AB147" s="64">
        <f t="shared" si="161"/>
        <v>172350.57065789792</v>
      </c>
      <c r="AC147" s="63">
        <f t="shared" ref="AC147:AL147" si="162">SUM(AC144:AC146)</f>
        <v>188270.52251897933</v>
      </c>
      <c r="AD147" s="63">
        <f t="shared" si="162"/>
        <v>196926.84095529313</v>
      </c>
      <c r="AE147" s="63">
        <f t="shared" si="162"/>
        <v>202199.03125057195</v>
      </c>
      <c r="AF147" s="63">
        <f t="shared" si="162"/>
        <v>210602.90282848239</v>
      </c>
      <c r="AG147" s="64">
        <f t="shared" si="162"/>
        <v>210602.90282848239</v>
      </c>
      <c r="AH147" s="63">
        <f t="shared" si="162"/>
        <v>226227.17194172688</v>
      </c>
      <c r="AI147" s="63">
        <f t="shared" si="162"/>
        <v>234494.78717337304</v>
      </c>
      <c r="AJ147" s="63">
        <f t="shared" si="162"/>
        <v>239167.48603983855</v>
      </c>
      <c r="AK147" s="63">
        <f t="shared" si="162"/>
        <v>246771.23785209301</v>
      </c>
      <c r="AL147" s="64">
        <f t="shared" si="162"/>
        <v>246771.23785209301</v>
      </c>
    </row>
    <row r="148" spans="2:46" outlineLevel="1" x14ac:dyDescent="0.3">
      <c r="B148" s="386" t="s">
        <v>23</v>
      </c>
      <c r="C148" s="387"/>
      <c r="D148" s="140">
        <f t="shared" ref="D148:AL148" si="163">D147+D141</f>
        <v>331141</v>
      </c>
      <c r="E148" s="140">
        <f t="shared" si="163"/>
        <v>334532</v>
      </c>
      <c r="F148" s="140">
        <f t="shared" si="163"/>
        <v>345173</v>
      </c>
      <c r="G148" s="140">
        <f t="shared" si="163"/>
        <v>375319</v>
      </c>
      <c r="H148" s="141">
        <f t="shared" si="163"/>
        <v>375319</v>
      </c>
      <c r="I148" s="140">
        <f t="shared" si="163"/>
        <v>406794</v>
      </c>
      <c r="J148" s="140">
        <f t="shared" si="163"/>
        <v>367502</v>
      </c>
      <c r="K148" s="140">
        <f t="shared" si="163"/>
        <v>349197</v>
      </c>
      <c r="L148" s="140">
        <f t="shared" si="163"/>
        <v>365725</v>
      </c>
      <c r="M148" s="141">
        <f t="shared" si="163"/>
        <v>365725</v>
      </c>
      <c r="N148" s="140">
        <f t="shared" si="163"/>
        <v>373719</v>
      </c>
      <c r="O148" s="140">
        <f t="shared" si="163"/>
        <v>341998</v>
      </c>
      <c r="P148" s="140">
        <f t="shared" si="163"/>
        <v>335020.1146079282</v>
      </c>
      <c r="Q148" s="140">
        <f t="shared" si="163"/>
        <v>359918.83535776939</v>
      </c>
      <c r="R148" s="141">
        <f t="shared" si="163"/>
        <v>359918.83535776939</v>
      </c>
      <c r="S148" s="140">
        <f t="shared" si="163"/>
        <v>397649.20848065964</v>
      </c>
      <c r="T148" s="140">
        <f t="shared" si="163"/>
        <v>387330.6722779359</v>
      </c>
      <c r="U148" s="140">
        <f t="shared" si="163"/>
        <v>388434.07881495869</v>
      </c>
      <c r="V148" s="140">
        <f t="shared" si="163"/>
        <v>424267.77611687436</v>
      </c>
      <c r="W148" s="141">
        <f t="shared" si="163"/>
        <v>424267.77611687436</v>
      </c>
      <c r="X148" s="140">
        <f t="shared" si="163"/>
        <v>464283.44378713483</v>
      </c>
      <c r="Y148" s="140">
        <f t="shared" si="163"/>
        <v>459712.1851443153</v>
      </c>
      <c r="Z148" s="140">
        <f t="shared" si="163"/>
        <v>464334.21217195259</v>
      </c>
      <c r="AA148" s="140">
        <f t="shared" si="163"/>
        <v>505832.3448416586</v>
      </c>
      <c r="AB148" s="141">
        <f t="shared" si="163"/>
        <v>505832.3448416586</v>
      </c>
      <c r="AC148" s="140">
        <f t="shared" si="163"/>
        <v>545487.35346237966</v>
      </c>
      <c r="AD148" s="140">
        <f t="shared" si="163"/>
        <v>537695.72469826438</v>
      </c>
      <c r="AE148" s="140">
        <f t="shared" si="163"/>
        <v>540277.80751898559</v>
      </c>
      <c r="AF148" s="140">
        <f t="shared" si="163"/>
        <v>580463.0444899369</v>
      </c>
      <c r="AG148" s="141">
        <f t="shared" si="163"/>
        <v>580463.0444899369</v>
      </c>
      <c r="AH148" s="140">
        <f t="shared" si="163"/>
        <v>620118.59709862573</v>
      </c>
      <c r="AI148" s="140">
        <f t="shared" si="163"/>
        <v>610664.53684764449</v>
      </c>
      <c r="AJ148" s="140">
        <f t="shared" si="163"/>
        <v>611489.9327254059</v>
      </c>
      <c r="AK148" s="140">
        <f t="shared" si="163"/>
        <v>650187.01199332718</v>
      </c>
      <c r="AL148" s="141">
        <f t="shared" si="163"/>
        <v>650187.01199332718</v>
      </c>
    </row>
    <row r="149" spans="2:46" x14ac:dyDescent="0.3">
      <c r="B149" s="115"/>
      <c r="C149" s="100"/>
      <c r="D149" s="142">
        <f t="shared" ref="D149:AL149" si="164">D148-D131</f>
        <v>0</v>
      </c>
      <c r="E149" s="142">
        <f t="shared" si="164"/>
        <v>0</v>
      </c>
      <c r="F149" s="142">
        <f t="shared" si="164"/>
        <v>0</v>
      </c>
      <c r="G149" s="142">
        <f t="shared" si="164"/>
        <v>0</v>
      </c>
      <c r="H149" s="142">
        <f t="shared" si="164"/>
        <v>0</v>
      </c>
      <c r="I149" s="142">
        <f t="shared" si="164"/>
        <v>0</v>
      </c>
      <c r="J149" s="142">
        <f t="shared" si="164"/>
        <v>0</v>
      </c>
      <c r="K149" s="142">
        <f t="shared" si="164"/>
        <v>0</v>
      </c>
      <c r="L149" s="142">
        <f t="shared" si="164"/>
        <v>0</v>
      </c>
      <c r="M149" s="142">
        <f t="shared" si="164"/>
        <v>0</v>
      </c>
      <c r="N149" s="142">
        <f t="shared" si="164"/>
        <v>0</v>
      </c>
      <c r="O149" s="142">
        <f t="shared" si="164"/>
        <v>0</v>
      </c>
      <c r="P149" s="142">
        <f t="shared" si="164"/>
        <v>0</v>
      </c>
      <c r="Q149" s="142">
        <f t="shared" si="164"/>
        <v>0</v>
      </c>
      <c r="R149" s="142">
        <f t="shared" si="164"/>
        <v>0</v>
      </c>
      <c r="S149" s="142">
        <f t="shared" si="164"/>
        <v>0</v>
      </c>
      <c r="T149" s="142">
        <f t="shared" si="164"/>
        <v>0</v>
      </c>
      <c r="U149" s="142">
        <f t="shared" si="164"/>
        <v>0</v>
      </c>
      <c r="V149" s="142">
        <f t="shared" si="164"/>
        <v>0</v>
      </c>
      <c r="W149" s="142">
        <f t="shared" si="164"/>
        <v>0</v>
      </c>
      <c r="X149" s="142">
        <f t="shared" si="164"/>
        <v>0</v>
      </c>
      <c r="Y149" s="142">
        <f t="shared" si="164"/>
        <v>0</v>
      </c>
      <c r="Z149" s="142">
        <f t="shared" si="164"/>
        <v>0</v>
      </c>
      <c r="AA149" s="142">
        <f t="shared" si="164"/>
        <v>0</v>
      </c>
      <c r="AB149" s="142">
        <f t="shared" si="164"/>
        <v>0</v>
      </c>
      <c r="AC149" s="142">
        <f t="shared" si="164"/>
        <v>0</v>
      </c>
      <c r="AD149" s="142">
        <f t="shared" si="164"/>
        <v>0</v>
      </c>
      <c r="AE149" s="142">
        <f t="shared" si="164"/>
        <v>0</v>
      </c>
      <c r="AF149" s="142">
        <f t="shared" si="164"/>
        <v>0</v>
      </c>
      <c r="AG149" s="142">
        <f t="shared" si="164"/>
        <v>0</v>
      </c>
      <c r="AH149" s="142">
        <f t="shared" si="164"/>
        <v>0</v>
      </c>
      <c r="AI149" s="142">
        <f t="shared" si="164"/>
        <v>0</v>
      </c>
      <c r="AJ149" s="142">
        <f t="shared" si="164"/>
        <v>0</v>
      </c>
      <c r="AK149" s="142">
        <f t="shared" si="164"/>
        <v>0</v>
      </c>
      <c r="AL149" s="142">
        <f t="shared" si="164"/>
        <v>0</v>
      </c>
    </row>
    <row r="150" spans="2:46" ht="15.6" x14ac:dyDescent="0.3">
      <c r="B150" s="351" t="s">
        <v>41</v>
      </c>
      <c r="C150" s="352"/>
      <c r="D150" s="47" t="s">
        <v>66</v>
      </c>
      <c r="E150" s="47" t="s">
        <v>67</v>
      </c>
      <c r="F150" s="47" t="s">
        <v>68</v>
      </c>
      <c r="G150" s="47" t="s">
        <v>69</v>
      </c>
      <c r="H150" s="256" t="s">
        <v>69</v>
      </c>
      <c r="I150" s="47" t="s">
        <v>70</v>
      </c>
      <c r="J150" s="47" t="s">
        <v>71</v>
      </c>
      <c r="K150" s="47" t="s">
        <v>72</v>
      </c>
      <c r="L150" s="47" t="s">
        <v>73</v>
      </c>
      <c r="M150" s="256" t="s">
        <v>73</v>
      </c>
      <c r="N150" s="47" t="s">
        <v>74</v>
      </c>
      <c r="O150" s="47" t="s">
        <v>75</v>
      </c>
      <c r="P150" s="48" t="s">
        <v>76</v>
      </c>
      <c r="Q150" s="48" t="s">
        <v>77</v>
      </c>
      <c r="R150" s="254" t="s">
        <v>77</v>
      </c>
      <c r="S150" s="48" t="s">
        <v>136</v>
      </c>
      <c r="T150" s="48" t="s">
        <v>137</v>
      </c>
      <c r="U150" s="48" t="s">
        <v>138</v>
      </c>
      <c r="V150" s="48" t="s">
        <v>139</v>
      </c>
      <c r="W150" s="254" t="s">
        <v>139</v>
      </c>
      <c r="X150" s="48" t="s">
        <v>154</v>
      </c>
      <c r="Y150" s="48" t="s">
        <v>155</v>
      </c>
      <c r="Z150" s="48" t="s">
        <v>156</v>
      </c>
      <c r="AA150" s="48" t="s">
        <v>157</v>
      </c>
      <c r="AB150" s="254" t="s">
        <v>157</v>
      </c>
      <c r="AC150" s="15" t="s">
        <v>277</v>
      </c>
      <c r="AD150" s="15" t="s">
        <v>278</v>
      </c>
      <c r="AE150" s="15" t="s">
        <v>279</v>
      </c>
      <c r="AF150" s="15" t="s">
        <v>280</v>
      </c>
      <c r="AG150" s="252" t="s">
        <v>280</v>
      </c>
      <c r="AH150" s="15" t="s">
        <v>286</v>
      </c>
      <c r="AI150" s="15" t="s">
        <v>287</v>
      </c>
      <c r="AJ150" s="15" t="s">
        <v>288</v>
      </c>
      <c r="AK150" s="15" t="s">
        <v>289</v>
      </c>
      <c r="AL150" s="252" t="s">
        <v>289</v>
      </c>
    </row>
    <row r="151" spans="2:46" ht="16.2" x14ac:dyDescent="0.45">
      <c r="B151" s="353"/>
      <c r="C151" s="354"/>
      <c r="D151" s="49" t="s">
        <v>163</v>
      </c>
      <c r="E151" s="49" t="s">
        <v>196</v>
      </c>
      <c r="F151" s="49" t="s">
        <v>214</v>
      </c>
      <c r="G151" s="10" t="s">
        <v>216</v>
      </c>
      <c r="H151" s="257" t="s">
        <v>217</v>
      </c>
      <c r="I151" s="10" t="s">
        <v>218</v>
      </c>
      <c r="J151" s="10" t="s">
        <v>219</v>
      </c>
      <c r="K151" s="10" t="s">
        <v>220</v>
      </c>
      <c r="L151" s="10" t="s">
        <v>221</v>
      </c>
      <c r="M151" s="257" t="s">
        <v>222</v>
      </c>
      <c r="N151" s="10" t="s">
        <v>223</v>
      </c>
      <c r="O151" s="10" t="s">
        <v>383</v>
      </c>
      <c r="P151" s="50" t="s">
        <v>46</v>
      </c>
      <c r="Q151" s="50" t="s">
        <v>47</v>
      </c>
      <c r="R151" s="255" t="s">
        <v>128</v>
      </c>
      <c r="S151" s="50" t="s">
        <v>135</v>
      </c>
      <c r="T151" s="50" t="s">
        <v>140</v>
      </c>
      <c r="U151" s="50" t="s">
        <v>141</v>
      </c>
      <c r="V151" s="50" t="s">
        <v>142</v>
      </c>
      <c r="W151" s="255" t="s">
        <v>143</v>
      </c>
      <c r="X151" s="50" t="s">
        <v>158</v>
      </c>
      <c r="Y151" s="50" t="s">
        <v>159</v>
      </c>
      <c r="Z151" s="50" t="s">
        <v>160</v>
      </c>
      <c r="AA151" s="50" t="s">
        <v>161</v>
      </c>
      <c r="AB151" s="255" t="s">
        <v>162</v>
      </c>
      <c r="AC151" s="16" t="s">
        <v>281</v>
      </c>
      <c r="AD151" s="16" t="s">
        <v>282</v>
      </c>
      <c r="AE151" s="16" t="s">
        <v>283</v>
      </c>
      <c r="AF151" s="16" t="s">
        <v>284</v>
      </c>
      <c r="AG151" s="253" t="s">
        <v>285</v>
      </c>
      <c r="AH151" s="16" t="s">
        <v>290</v>
      </c>
      <c r="AI151" s="16" t="s">
        <v>291</v>
      </c>
      <c r="AJ151" s="16" t="s">
        <v>292</v>
      </c>
      <c r="AK151" s="16" t="s">
        <v>293</v>
      </c>
      <c r="AL151" s="253" t="s">
        <v>294</v>
      </c>
    </row>
    <row r="152" spans="2:46" outlineLevel="1" x14ac:dyDescent="0.3">
      <c r="B152" s="370" t="s">
        <v>340</v>
      </c>
      <c r="C152" s="388"/>
      <c r="D152" s="289">
        <f>(D119+D126)/D148</f>
        <v>0.69371959376821357</v>
      </c>
      <c r="E152" s="144">
        <f t="shared" ref="E152:N152" si="165">(E119+E126)/E148</f>
        <v>0.72245405521743811</v>
      </c>
      <c r="F152" s="144">
        <f t="shared" si="165"/>
        <v>0.70383546801169272</v>
      </c>
      <c r="G152" s="144">
        <f t="shared" si="165"/>
        <v>0.66238586375856268</v>
      </c>
      <c r="H152" s="143"/>
      <c r="I152" s="144">
        <f t="shared" si="165"/>
        <v>0.63325909428359317</v>
      </c>
      <c r="J152" s="144">
        <f t="shared" si="165"/>
        <v>0.60453276444754045</v>
      </c>
      <c r="K152" s="144">
        <f t="shared" si="165"/>
        <v>0.60645423643387542</v>
      </c>
      <c r="L152" s="144">
        <f t="shared" si="165"/>
        <v>0.57744753571672702</v>
      </c>
      <c r="M152" s="143"/>
      <c r="N152" s="144">
        <f t="shared" si="165"/>
        <v>0.53586785793604286</v>
      </c>
      <c r="O152" s="144">
        <f t="shared" ref="O152" si="166">(O119+O126)/O148</f>
        <v>0.5480236726530564</v>
      </c>
      <c r="P152" s="145">
        <f>O152</f>
        <v>0.5480236726530564</v>
      </c>
      <c r="Q152" s="145">
        <f>P152</f>
        <v>0.5480236726530564</v>
      </c>
      <c r="R152" s="143"/>
      <c r="S152" s="145">
        <f>Q152</f>
        <v>0.5480236726530564</v>
      </c>
      <c r="T152" s="145">
        <f>S152</f>
        <v>0.5480236726530564</v>
      </c>
      <c r="U152" s="145">
        <f>T152</f>
        <v>0.5480236726530564</v>
      </c>
      <c r="V152" s="145">
        <f>U152</f>
        <v>0.5480236726530564</v>
      </c>
      <c r="W152" s="143"/>
      <c r="X152" s="145">
        <f>V152</f>
        <v>0.5480236726530564</v>
      </c>
      <c r="Y152" s="145">
        <f>X152</f>
        <v>0.5480236726530564</v>
      </c>
      <c r="Z152" s="145">
        <f>Y152</f>
        <v>0.5480236726530564</v>
      </c>
      <c r="AA152" s="145">
        <f>Z152</f>
        <v>0.5480236726530564</v>
      </c>
      <c r="AB152" s="143"/>
      <c r="AC152" s="145">
        <f>AA152</f>
        <v>0.5480236726530564</v>
      </c>
      <c r="AD152" s="145">
        <f>AC152</f>
        <v>0.5480236726530564</v>
      </c>
      <c r="AE152" s="145">
        <f>AD152</f>
        <v>0.5480236726530564</v>
      </c>
      <c r="AF152" s="145">
        <f>AE152</f>
        <v>0.5480236726530564</v>
      </c>
      <c r="AG152" s="143"/>
      <c r="AH152" s="145">
        <f>AF152</f>
        <v>0.5480236726530564</v>
      </c>
      <c r="AI152" s="145">
        <f>AH152</f>
        <v>0.5480236726530564</v>
      </c>
      <c r="AJ152" s="145">
        <f>AI152</f>
        <v>0.5480236726530564</v>
      </c>
      <c r="AK152" s="145">
        <f>AJ152</f>
        <v>0.5480236726530564</v>
      </c>
      <c r="AL152" s="143"/>
      <c r="AM152" s="146"/>
      <c r="AN152" s="146"/>
      <c r="AO152" s="146"/>
      <c r="AP152" s="146"/>
      <c r="AQ152" s="146"/>
      <c r="AR152" s="146"/>
      <c r="AS152" s="146"/>
      <c r="AT152" s="146"/>
    </row>
    <row r="153" spans="2:46" outlineLevel="1" x14ac:dyDescent="0.3">
      <c r="B153" s="272" t="s">
        <v>339</v>
      </c>
      <c r="C153" s="116"/>
      <c r="D153" s="148">
        <f>+D119/(D119+D126)</f>
        <v>0.19189096243671616</v>
      </c>
      <c r="E153" s="148">
        <f>+E119/(E119+E126)</f>
        <v>0.21492527432515185</v>
      </c>
      <c r="F153" s="148">
        <f>+F119/(F119+F126)</f>
        <v>0.23951100043219659</v>
      </c>
      <c r="G153" s="148">
        <f>+G119/(G119+G126)</f>
        <v>0.21677674714206416</v>
      </c>
      <c r="H153" s="147"/>
      <c r="I153" s="148">
        <f>+I119/(I119+I126)</f>
        <v>0.19278277679867706</v>
      </c>
      <c r="J153" s="148">
        <f>+J119/(J119+J126)</f>
        <v>0.19301246359720389</v>
      </c>
      <c r="K153" s="148">
        <f>+K119/(K119+K126)</f>
        <v>0.1841556013070661</v>
      </c>
      <c r="L153" s="148">
        <f>+L119/(L119+L126)</f>
        <v>0.19124283218190513</v>
      </c>
      <c r="M153" s="147"/>
      <c r="N153" s="148">
        <f>+N119/(N119+N126)</f>
        <v>0.20800543282866615</v>
      </c>
      <c r="O153" s="148">
        <f>+O119/(O119+O126)</f>
        <v>0.22464692166916547</v>
      </c>
      <c r="P153" s="149">
        <f>AVERAGE(O153,N153,L153,K153)</f>
        <v>0.20201269699670071</v>
      </c>
      <c r="Q153" s="149">
        <f>AVERAGE(P153,O153,N153,L153)</f>
        <v>0.20647697091910938</v>
      </c>
      <c r="R153" s="147"/>
      <c r="S153" s="149">
        <f>AVERAGE(P153,Q153,O153,N153)</f>
        <v>0.21028550560341042</v>
      </c>
      <c r="T153" s="149">
        <f>AVERAGE(S153,Q153,P153,O153)</f>
        <v>0.21085552379709649</v>
      </c>
      <c r="U153" s="149">
        <f>AVERAGE(T153,S153,Q153,P153)</f>
        <v>0.20740767432907925</v>
      </c>
      <c r="V153" s="149">
        <f>AVERAGE(U153,T153,S153,Q153)</f>
        <v>0.20875641866217387</v>
      </c>
      <c r="W153" s="147"/>
      <c r="X153" s="149">
        <f>AVERAGE(U153,V153,T153,S153)</f>
        <v>0.20932628059794001</v>
      </c>
      <c r="Y153" s="149">
        <f>AVERAGE(X153,V153,U153,T153)</f>
        <v>0.2090864743465724</v>
      </c>
      <c r="Z153" s="149">
        <f>AVERAGE(Y153,X153,V153,U153)</f>
        <v>0.20864421198394137</v>
      </c>
      <c r="AA153" s="149">
        <f>AVERAGE(Z153,Y153,X153,V153)</f>
        <v>0.20895334639765692</v>
      </c>
      <c r="AB153" s="147"/>
      <c r="AC153" s="149">
        <f>AVERAGE(Z153,AA153,Y153,X153)</f>
        <v>0.20900257833152766</v>
      </c>
      <c r="AD153" s="149">
        <f>AVERAGE(AC153,AA153,Z153,Y153)</f>
        <v>0.20892165276492458</v>
      </c>
      <c r="AE153" s="149">
        <f>AVERAGE(AD153,AC153,AA153,Z153)</f>
        <v>0.20888044736951264</v>
      </c>
      <c r="AF153" s="149">
        <f>AVERAGE(AE153,AD153,AC153,AA153)</f>
        <v>0.20893950621590546</v>
      </c>
      <c r="AG153" s="147"/>
      <c r="AH153" s="149">
        <f>AVERAGE(AE153,AF153,AD153,AC153)</f>
        <v>0.2089360461704676</v>
      </c>
      <c r="AI153" s="149">
        <f>AVERAGE(AH153,AF153,AE153,AD153)</f>
        <v>0.20891941313020257</v>
      </c>
      <c r="AJ153" s="149">
        <f>AVERAGE(AI153,AH153,AF153,AE153)</f>
        <v>0.20891885322152207</v>
      </c>
      <c r="AK153" s="149">
        <f>AVERAGE(AJ153,AI153,AH153,AF153)</f>
        <v>0.20892845468452442</v>
      </c>
      <c r="AL153" s="147"/>
      <c r="AM153" s="146"/>
      <c r="AN153" s="146"/>
      <c r="AO153" s="146"/>
      <c r="AP153" s="146"/>
      <c r="AQ153" s="146"/>
      <c r="AR153" s="146"/>
      <c r="AS153" s="146"/>
      <c r="AT153" s="146"/>
    </row>
    <row r="154" spans="2:46" outlineLevel="1" x14ac:dyDescent="0.3">
      <c r="B154" s="72" t="s">
        <v>183</v>
      </c>
      <c r="C154" s="150"/>
      <c r="D154" s="151">
        <v>92</v>
      </c>
      <c r="E154" s="151">
        <v>90</v>
      </c>
      <c r="F154" s="151">
        <v>91</v>
      </c>
      <c r="G154" s="151">
        <v>92</v>
      </c>
      <c r="H154" s="152"/>
      <c r="I154" s="151">
        <v>92</v>
      </c>
      <c r="J154" s="151">
        <v>90</v>
      </c>
      <c r="K154" s="151">
        <v>91</v>
      </c>
      <c r="L154" s="151">
        <v>92</v>
      </c>
      <c r="M154" s="152"/>
      <c r="N154" s="151">
        <v>92</v>
      </c>
      <c r="O154" s="151">
        <v>90</v>
      </c>
      <c r="P154" s="151">
        <v>91</v>
      </c>
      <c r="Q154" s="151">
        <v>92</v>
      </c>
      <c r="R154" s="152"/>
      <c r="S154" s="151">
        <v>92</v>
      </c>
      <c r="T154" s="151">
        <v>91</v>
      </c>
      <c r="U154" s="151">
        <v>91</v>
      </c>
      <c r="V154" s="151">
        <v>92</v>
      </c>
      <c r="W154" s="152"/>
      <c r="X154" s="151">
        <v>92</v>
      </c>
      <c r="Y154" s="151">
        <v>90</v>
      </c>
      <c r="Z154" s="151">
        <v>91</v>
      </c>
      <c r="AA154" s="151">
        <v>92</v>
      </c>
      <c r="AB154" s="152"/>
      <c r="AC154" s="151">
        <f>31+30+31</f>
        <v>92</v>
      </c>
      <c r="AD154" s="151">
        <f>31+28+31</f>
        <v>90</v>
      </c>
      <c r="AE154" s="151">
        <f>30+31+30</f>
        <v>91</v>
      </c>
      <c r="AF154" s="151">
        <f>31+31+30</f>
        <v>92</v>
      </c>
      <c r="AG154" s="152"/>
      <c r="AH154" s="151">
        <f>31+30+31</f>
        <v>92</v>
      </c>
      <c r="AI154" s="151">
        <f>31+28+31</f>
        <v>90</v>
      </c>
      <c r="AJ154" s="151">
        <f>30+31+30</f>
        <v>91</v>
      </c>
      <c r="AK154" s="151">
        <f>31+31+30</f>
        <v>92</v>
      </c>
      <c r="AL154" s="152"/>
      <c r="AM154" s="146"/>
      <c r="AN154" s="146"/>
      <c r="AO154" s="146"/>
      <c r="AP154" s="146"/>
      <c r="AQ154" s="146"/>
      <c r="AR154" s="146"/>
      <c r="AS154" s="146"/>
      <c r="AT154" s="146"/>
    </row>
    <row r="155" spans="2:46" ht="16.2" outlineLevel="1" x14ac:dyDescent="0.45">
      <c r="B155" s="355" t="s">
        <v>209</v>
      </c>
      <c r="C155" s="356"/>
      <c r="D155" s="153"/>
      <c r="E155" s="153">
        <f>E18/E123</f>
        <v>3.5763312299346839</v>
      </c>
      <c r="F155" s="153">
        <f>F18/F123</f>
        <v>2.7284276360793509</v>
      </c>
      <c r="G155" s="153">
        <f>G18/G123</f>
        <v>1.8342603517051519</v>
      </c>
      <c r="H155" s="154"/>
      <c r="I155" s="153">
        <f>I18/I123</f>
        <v>1.9804435704140719</v>
      </c>
      <c r="J155" s="153">
        <f>J18/J123</f>
        <v>4.6653884215734784</v>
      </c>
      <c r="K155" s="153">
        <f>K18/K123</f>
        <v>2.6783005789774119</v>
      </c>
      <c r="L155" s="153">
        <f>L18/L123</f>
        <v>1.503971482816072</v>
      </c>
      <c r="M155" s="154"/>
      <c r="N155" s="153">
        <f>N18/N123</f>
        <v>2.7654993652137114</v>
      </c>
      <c r="O155" s="153">
        <f>O18/O123</f>
        <v>3.2336281604574286</v>
      </c>
      <c r="P155" s="155">
        <f>AVERAGE(F155,K155)</f>
        <v>2.7033641075283814</v>
      </c>
      <c r="Q155" s="155">
        <f>AVERAGE(G155,L155)</f>
        <v>1.669115917260612</v>
      </c>
      <c r="R155" s="156"/>
      <c r="S155" s="155">
        <f>AVERAGE(I155,N155)</f>
        <v>2.3729714678138918</v>
      </c>
      <c r="T155" s="155">
        <f>AVERAGE(J155,O155)</f>
        <v>3.9495082910154533</v>
      </c>
      <c r="U155" s="155">
        <f t="shared" ref="U155" si="167">AVERAGE(K155,P155)</f>
        <v>2.6908323432528967</v>
      </c>
      <c r="V155" s="155">
        <f>AVERAGE(L155,Q155)</f>
        <v>1.586543700038342</v>
      </c>
      <c r="W155" s="156"/>
      <c r="X155" s="155">
        <f>AVERAGE(N155,S155)</f>
        <v>2.5692354165138016</v>
      </c>
      <c r="Y155" s="155">
        <f>AVERAGE(O155,T155)</f>
        <v>3.5915682257364407</v>
      </c>
      <c r="Z155" s="155">
        <f t="shared" ref="Z155" si="168">AVERAGE(P155,U155)</f>
        <v>2.697098225390639</v>
      </c>
      <c r="AA155" s="155">
        <f>AVERAGE(Q155,V155)</f>
        <v>1.6278298086494769</v>
      </c>
      <c r="AB155" s="156"/>
      <c r="AC155" s="155">
        <f>AVERAGE(S155,X155)</f>
        <v>2.4711034421638467</v>
      </c>
      <c r="AD155" s="155">
        <f>AVERAGE(T155,Y155)</f>
        <v>3.770538258375947</v>
      </c>
      <c r="AE155" s="155">
        <f t="shared" ref="AE155" si="169">AVERAGE(U155,Z155)</f>
        <v>2.6939652843217679</v>
      </c>
      <c r="AF155" s="155">
        <f>AVERAGE(V155,AA155)</f>
        <v>1.6071867543439096</v>
      </c>
      <c r="AG155" s="156"/>
      <c r="AH155" s="155">
        <f>AVERAGE(X155,AC155)</f>
        <v>2.5201694293388242</v>
      </c>
      <c r="AI155" s="155">
        <f>AVERAGE(Y155,AD155)</f>
        <v>3.6810532420561941</v>
      </c>
      <c r="AJ155" s="155">
        <f t="shared" ref="AJ155" si="170">AVERAGE(Z155,AE155)</f>
        <v>2.6955317548562032</v>
      </c>
      <c r="AK155" s="155">
        <f>AVERAGE(AA155,AF155)</f>
        <v>1.6175082814966932</v>
      </c>
      <c r="AL155" s="154"/>
      <c r="AM155" s="146"/>
      <c r="AN155" s="146"/>
      <c r="AO155" s="146"/>
      <c r="AP155" s="146"/>
      <c r="AQ155" s="146"/>
      <c r="AR155" s="146"/>
      <c r="AS155" s="146"/>
      <c r="AT155" s="146"/>
    </row>
    <row r="156" spans="2:46" outlineLevel="1" x14ac:dyDescent="0.3">
      <c r="B156" s="355" t="s">
        <v>43</v>
      </c>
      <c r="C156" s="356"/>
      <c r="D156" s="151"/>
      <c r="E156" s="153">
        <f>E18/E121</f>
        <v>11.101374570446735</v>
      </c>
      <c r="F156" s="153">
        <f>F18/F121</f>
        <v>8.8747616020343294</v>
      </c>
      <c r="G156" s="153">
        <f>G18/G121</f>
        <v>6.7246138002059732</v>
      </c>
      <c r="H156" s="156"/>
      <c r="I156" s="153">
        <f>I18/I121</f>
        <v>12.300610721556209</v>
      </c>
      <c r="J156" s="153">
        <f>J18/J121</f>
        <v>4.9223440354998695</v>
      </c>
      <c r="K156" s="153">
        <f>K18/K121</f>
        <v>5.533018867924528</v>
      </c>
      <c r="L156" s="153">
        <f>L18/L121</f>
        <v>9.8119312436804851</v>
      </c>
      <c r="M156" s="156"/>
      <c r="N156" s="153">
        <f>N18/N121</f>
        <v>10.480954290296712</v>
      </c>
      <c r="O156" s="153">
        <f>O18/O121</f>
        <v>7.4107289107289107</v>
      </c>
      <c r="P156" s="155">
        <f>AVERAGE(F156,K156)</f>
        <v>7.2038902349794292</v>
      </c>
      <c r="Q156" s="155">
        <f>AVERAGE(G156,L156)</f>
        <v>8.2682725219432296</v>
      </c>
      <c r="R156" s="156"/>
      <c r="S156" s="155">
        <f>AVERAGE(I156,N156)</f>
        <v>11.39078250592646</v>
      </c>
      <c r="T156" s="155">
        <f>AVERAGE(J156,O156)</f>
        <v>6.1665364731143901</v>
      </c>
      <c r="U156" s="155">
        <f t="shared" ref="U156" si="171">AVERAGE(K156,P156)</f>
        <v>6.368454551451979</v>
      </c>
      <c r="V156" s="155">
        <f>AVERAGE(L156,Q156)</f>
        <v>9.0401018828118573</v>
      </c>
      <c r="W156" s="156"/>
      <c r="X156" s="155">
        <f>AVERAGE(N156,S156)</f>
        <v>10.935868398111586</v>
      </c>
      <c r="Y156" s="155">
        <f>AVERAGE(O156,T156)</f>
        <v>6.7886326919216504</v>
      </c>
      <c r="Z156" s="155">
        <f t="shared" ref="Z156" si="172">AVERAGE(P156,U156)</f>
        <v>6.7861723932157041</v>
      </c>
      <c r="AA156" s="155">
        <f>AVERAGE(Q156,V156)</f>
        <v>8.6541872023775426</v>
      </c>
      <c r="AB156" s="156"/>
      <c r="AC156" s="155">
        <f>AVERAGE(S156,X156)</f>
        <v>11.163325452019023</v>
      </c>
      <c r="AD156" s="155">
        <f>AVERAGE(T156,Y156)</f>
        <v>6.4775845825180198</v>
      </c>
      <c r="AE156" s="155">
        <f t="shared" ref="AE156" si="173">AVERAGE(U156,Z156)</f>
        <v>6.5773134723338416</v>
      </c>
      <c r="AF156" s="155">
        <f>AVERAGE(V156,AA156)</f>
        <v>8.8471445425947</v>
      </c>
      <c r="AG156" s="156"/>
      <c r="AH156" s="155">
        <f>AVERAGE(X156,AC156)</f>
        <v>11.049596925065305</v>
      </c>
      <c r="AI156" s="155">
        <f>AVERAGE(Y156,AD156)</f>
        <v>6.6331086372198351</v>
      </c>
      <c r="AJ156" s="155">
        <f t="shared" ref="AJ156" si="174">AVERAGE(Z156,AE156)</f>
        <v>6.6817429327747728</v>
      </c>
      <c r="AK156" s="155">
        <f>AVERAGE(AA156,AF156)</f>
        <v>8.7506658724861204</v>
      </c>
      <c r="AL156" s="152"/>
      <c r="AM156" s="146"/>
      <c r="AN156" s="146"/>
      <c r="AO156" s="146"/>
      <c r="AP156" s="146"/>
      <c r="AQ156" s="146"/>
      <c r="AR156" s="146"/>
      <c r="AS156" s="146"/>
      <c r="AT156" s="146"/>
    </row>
    <row r="157" spans="2:46" outlineLevel="1" x14ac:dyDescent="0.3">
      <c r="B157" s="355" t="s">
        <v>184</v>
      </c>
      <c r="C157" s="356"/>
      <c r="D157" s="151"/>
      <c r="E157" s="151">
        <f>E154/E156</f>
        <v>8.1071041634421928</v>
      </c>
      <c r="F157" s="151">
        <f>F154/F156</f>
        <v>10.253796561604585</v>
      </c>
      <c r="G157" s="151">
        <f>G154/G156</f>
        <v>13.681083067875521</v>
      </c>
      <c r="H157" s="156"/>
      <c r="I157" s="151">
        <f>I154/I156</f>
        <v>7.4793034331843842</v>
      </c>
      <c r="J157" s="151">
        <f>J154/J156</f>
        <v>18.283971894471694</v>
      </c>
      <c r="K157" s="151">
        <f>K154/K156</f>
        <v>16.446717817561808</v>
      </c>
      <c r="L157" s="151">
        <f>L154/L156</f>
        <v>9.37633965375103</v>
      </c>
      <c r="M157" s="156"/>
      <c r="N157" s="151">
        <f>N154/N156</f>
        <v>8.7778266608007041</v>
      </c>
      <c r="O157" s="151">
        <f>O154/O156</f>
        <v>12.144554346024202</v>
      </c>
      <c r="P157" s="151">
        <f>P154/P156</f>
        <v>12.632063653349078</v>
      </c>
      <c r="Q157" s="151">
        <f>Q154/Q156</f>
        <v>11.126870789011916</v>
      </c>
      <c r="R157" s="156"/>
      <c r="S157" s="151">
        <f>S154/S156</f>
        <v>8.0767058761883774</v>
      </c>
      <c r="T157" s="151">
        <f>T154/T156</f>
        <v>14.757068314888395</v>
      </c>
      <c r="U157" s="151">
        <f>U154/U156</f>
        <v>14.289181035177901</v>
      </c>
      <c r="V157" s="151">
        <f>V154/V156</f>
        <v>10.176876454779963</v>
      </c>
      <c r="W157" s="156"/>
      <c r="X157" s="151">
        <f>X154/X156</f>
        <v>8.4126835337453976</v>
      </c>
      <c r="Y157" s="151">
        <f>Y154/Y156</f>
        <v>13.257456115883006</v>
      </c>
      <c r="Z157" s="151">
        <f>Z154/Z156</f>
        <v>13.409621024507841</v>
      </c>
      <c r="AA157" s="151">
        <f>AA154/AA156</f>
        <v>10.630692154975002</v>
      </c>
      <c r="AB157" s="156"/>
      <c r="AC157" s="151">
        <f>AC154/AC156</f>
        <v>8.2412718679056951</v>
      </c>
      <c r="AD157" s="151">
        <f>AD154/AD156</f>
        <v>13.894067897298605</v>
      </c>
      <c r="AE157" s="151">
        <f>AE154/AE156</f>
        <v>13.835436061056443</v>
      </c>
      <c r="AF157" s="151">
        <f>AF154/AF156</f>
        <v>10.398835415999448</v>
      </c>
      <c r="AG157" s="156"/>
      <c r="AH157" s="151">
        <f>AH154/AH156</f>
        <v>8.3260955692694889</v>
      </c>
      <c r="AI157" s="151">
        <f>AI154/AI156</f>
        <v>13.568298805629409</v>
      </c>
      <c r="AJ157" s="151">
        <f>AJ154/AJ156</f>
        <v>13.619200995242391</v>
      </c>
      <c r="AK157" s="151">
        <f>AK154/AK156</f>
        <v>10.513485641048961</v>
      </c>
      <c r="AL157" s="156"/>
      <c r="AM157" s="146"/>
      <c r="AN157" s="146"/>
      <c r="AO157" s="146"/>
      <c r="AP157" s="146"/>
      <c r="AQ157" s="146"/>
      <c r="AR157" s="146"/>
      <c r="AS157" s="146"/>
      <c r="AT157" s="146"/>
    </row>
    <row r="158" spans="2:46" outlineLevel="1" x14ac:dyDescent="0.3">
      <c r="B158" s="355" t="s">
        <v>42</v>
      </c>
      <c r="C158" s="356"/>
      <c r="D158" s="153"/>
      <c r="E158" s="153">
        <f>E15/E120</f>
        <v>4.5682701442266174</v>
      </c>
      <c r="F158" s="153">
        <f>F15/F120</f>
        <v>3.6622308250665374</v>
      </c>
      <c r="G158" s="153">
        <f>G15/G120</f>
        <v>2.941647085151617</v>
      </c>
      <c r="H158" s="156"/>
      <c r="I158" s="153">
        <f>I15/I120</f>
        <v>3.7667662116040956</v>
      </c>
      <c r="J158" s="153">
        <f>J15/J120</f>
        <v>4.2681513543702874</v>
      </c>
      <c r="K158" s="153">
        <f>K15/K120</f>
        <v>3.7765882019285311</v>
      </c>
      <c r="L158" s="153">
        <f>L15/L120</f>
        <v>2.7128439575605969</v>
      </c>
      <c r="M158" s="156"/>
      <c r="N158" s="153">
        <f>N15/N120</f>
        <v>4.6639376002655304</v>
      </c>
      <c r="O158" s="153">
        <f>O15/O120</f>
        <v>3.8458733841564468</v>
      </c>
      <c r="P158" s="155">
        <f t="shared" ref="P158" si="175">AVERAGE(F158,K158)</f>
        <v>3.719409513497534</v>
      </c>
      <c r="Q158" s="155">
        <f>AVERAGE(G158,L158)</f>
        <v>2.8272455213561072</v>
      </c>
      <c r="R158" s="156"/>
      <c r="S158" s="155">
        <f>AVERAGE(I158,N158)</f>
        <v>4.2153519059348135</v>
      </c>
      <c r="T158" s="155">
        <f>AVERAGE(J158,O158)</f>
        <v>4.0570123692633668</v>
      </c>
      <c r="U158" s="155">
        <f t="shared" ref="U158" si="176">AVERAGE(K158,P158)</f>
        <v>3.7479988577130325</v>
      </c>
      <c r="V158" s="155">
        <f>AVERAGE(L158,Q158)</f>
        <v>2.7700447394583518</v>
      </c>
      <c r="W158" s="156"/>
      <c r="X158" s="155">
        <f>AVERAGE(N158,S158)</f>
        <v>4.4396447531001719</v>
      </c>
      <c r="Y158" s="155">
        <f>AVERAGE(O158,T158)</f>
        <v>3.9514428767099066</v>
      </c>
      <c r="Z158" s="155">
        <f t="shared" ref="Z158" si="177">AVERAGE(P158,U158)</f>
        <v>3.7337041856052835</v>
      </c>
      <c r="AA158" s="155">
        <f>AVERAGE(Q158,V158)</f>
        <v>2.7986451304072295</v>
      </c>
      <c r="AB158" s="156"/>
      <c r="AC158" s="155">
        <f>AVERAGE(S158,X158)</f>
        <v>4.3274983295174927</v>
      </c>
      <c r="AD158" s="155">
        <f>AVERAGE(T158,Y158)</f>
        <v>4.0042276229866367</v>
      </c>
      <c r="AE158" s="155">
        <f t="shared" ref="AE158" si="178">AVERAGE(U158,Z158)</f>
        <v>3.7408515216591578</v>
      </c>
      <c r="AF158" s="155">
        <f>AVERAGE(V158,AA158)</f>
        <v>2.7843449349327907</v>
      </c>
      <c r="AG158" s="156"/>
      <c r="AH158" s="155">
        <f>AVERAGE(X158,AC158)</f>
        <v>4.3835715413088323</v>
      </c>
      <c r="AI158" s="155">
        <f>AVERAGE(Y158,AD158)</f>
        <v>3.9778352498482716</v>
      </c>
      <c r="AJ158" s="155">
        <f t="shared" ref="AJ158" si="179">AVERAGE(Z158,AE158)</f>
        <v>3.7372778536322206</v>
      </c>
      <c r="AK158" s="155">
        <f>AVERAGE(AA158,AF158)</f>
        <v>2.7914950326700101</v>
      </c>
      <c r="AL158" s="156"/>
      <c r="AM158" s="146"/>
      <c r="AN158" s="146"/>
      <c r="AO158" s="146"/>
      <c r="AP158" s="146"/>
      <c r="AQ158" s="146"/>
      <c r="AR158" s="146"/>
      <c r="AS158" s="146"/>
      <c r="AT158" s="146"/>
    </row>
    <row r="159" spans="2:46" outlineLevel="1" x14ac:dyDescent="0.3">
      <c r="B159" s="355" t="s">
        <v>185</v>
      </c>
      <c r="C159" s="356"/>
      <c r="D159" s="151"/>
      <c r="E159" s="151">
        <f>E154/E158</f>
        <v>19.701111615245008</v>
      </c>
      <c r="F159" s="151">
        <f>F154/F158</f>
        <v>24.848242600422836</v>
      </c>
      <c r="G159" s="151">
        <f>G154/G158</f>
        <v>31.274995720725002</v>
      </c>
      <c r="H159" s="156"/>
      <c r="I159" s="151">
        <f>I154/I158</f>
        <v>24.424133283499259</v>
      </c>
      <c r="J159" s="151">
        <f>J154/J158</f>
        <v>21.086412483438835</v>
      </c>
      <c r="K159" s="151">
        <f>K154/K158</f>
        <v>24.095822772927814</v>
      </c>
      <c r="L159" s="151">
        <f>L154/L158</f>
        <v>33.912750397456279</v>
      </c>
      <c r="M159" s="156"/>
      <c r="N159" s="151">
        <f>N154/N158</f>
        <v>19.725821373502551</v>
      </c>
      <c r="O159" s="151">
        <f>O154/O158</f>
        <v>23.401706455227096</v>
      </c>
      <c r="P159" s="151">
        <f>P154/P158</f>
        <v>24.466249190836869</v>
      </c>
      <c r="Q159" s="151">
        <f>Q154/Q158</f>
        <v>32.540506052644339</v>
      </c>
      <c r="R159" s="156"/>
      <c r="S159" s="151">
        <f>S154/S158</f>
        <v>21.824986870128868</v>
      </c>
      <c r="T159" s="151">
        <f>T154/T158</f>
        <v>22.430298879399992</v>
      </c>
      <c r="U159" s="151">
        <f>U154/U158</f>
        <v>24.279623194849826</v>
      </c>
      <c r="V159" s="151">
        <f>V154/V158</f>
        <v>33.212459961202455</v>
      </c>
      <c r="W159" s="156"/>
      <c r="X159" s="151">
        <f>X154/X158</f>
        <v>20.722378729910105</v>
      </c>
      <c r="Y159" s="151">
        <f>Y154/Y158</f>
        <v>22.776490210820604</v>
      </c>
      <c r="Z159" s="151">
        <f>Z154/Z158</f>
        <v>24.372578939391172</v>
      </c>
      <c r="AA159" s="151">
        <f>AA154/AA158</f>
        <v>32.873049534012594</v>
      </c>
      <c r="AB159" s="156"/>
      <c r="AC159" s="151">
        <f>AC154/AC158</f>
        <v>21.259395843662361</v>
      </c>
      <c r="AD159" s="151">
        <f>AD154/AD158</f>
        <v>22.476244727783886</v>
      </c>
      <c r="AE159" s="151">
        <f>AE154/AE158</f>
        <v>24.326012265688458</v>
      </c>
      <c r="AF159" s="151">
        <f>AF154/AF158</f>
        <v>33.04188315382725</v>
      </c>
      <c r="AG159" s="156"/>
      <c r="AH159" s="151">
        <f>AH154/AH158</f>
        <v>20.98745261324763</v>
      </c>
      <c r="AI159" s="151">
        <f>AI154/AI158</f>
        <v>22.625371426187876</v>
      </c>
      <c r="AJ159" s="151">
        <f>AJ154/AJ158</f>
        <v>24.349273338496378</v>
      </c>
      <c r="AK159" s="151">
        <f>AK154/AK158</f>
        <v>32.95725011984127</v>
      </c>
      <c r="AL159" s="156"/>
      <c r="AM159" s="146"/>
      <c r="AN159" s="146"/>
      <c r="AO159" s="146"/>
      <c r="AP159" s="146"/>
      <c r="AQ159" s="146"/>
      <c r="AR159" s="146"/>
      <c r="AS159" s="146"/>
      <c r="AT159" s="146"/>
    </row>
    <row r="160" spans="2:46" outlineLevel="1" x14ac:dyDescent="0.3">
      <c r="B160" s="355" t="s">
        <v>186</v>
      </c>
      <c r="C160" s="356"/>
      <c r="D160" s="157"/>
      <c r="E160" s="153">
        <f>E18/E133</f>
        <v>1.1306128162951037</v>
      </c>
      <c r="F160" s="153">
        <f>F18/F133</f>
        <v>0.87482375058749806</v>
      </c>
      <c r="G160" s="153">
        <f>G18/G133</f>
        <v>0.66562009419152279</v>
      </c>
      <c r="H160" s="156"/>
      <c r="I160" s="157">
        <f>I18/I133</f>
        <v>0.86339604667778047</v>
      </c>
      <c r="J160" s="153">
        <f>J18/J133</f>
        <v>1.0992101658360292</v>
      </c>
      <c r="K160" s="153">
        <f>K18/K133</f>
        <v>0.85333471901062641</v>
      </c>
      <c r="L160" s="153">
        <f>L18/L133</f>
        <v>0.69453192098482674</v>
      </c>
      <c r="M160" s="156"/>
      <c r="N160" s="157">
        <f>N18/N133</f>
        <v>1.1802993701036282</v>
      </c>
      <c r="O160" s="153">
        <f>O18/O133</f>
        <v>1.1889104227572842</v>
      </c>
      <c r="P160" s="155">
        <f t="shared" ref="P160" si="180">AVERAGE(F160,K160)</f>
        <v>0.86407923479906223</v>
      </c>
      <c r="Q160" s="155">
        <f>AVERAGE(G160,L160)</f>
        <v>0.68007600758817477</v>
      </c>
      <c r="R160" s="156"/>
      <c r="S160" s="155">
        <f>AVERAGE(I160,N160)</f>
        <v>1.0218477083907043</v>
      </c>
      <c r="T160" s="155">
        <f>AVERAGE(J160,O160)</f>
        <v>1.1440602942966567</v>
      </c>
      <c r="U160" s="155">
        <f t="shared" ref="U160" si="181">AVERAGE(K160,P160)</f>
        <v>0.85870697690484432</v>
      </c>
      <c r="V160" s="155">
        <f>AVERAGE(L160,Q160)</f>
        <v>0.68730396428650076</v>
      </c>
      <c r="W160" s="156"/>
      <c r="X160" s="155">
        <f>AVERAGE(N160,S160)</f>
        <v>1.1010735392471662</v>
      </c>
      <c r="Y160" s="155">
        <f>AVERAGE(O160,T160)</f>
        <v>1.1664853585269706</v>
      </c>
      <c r="Z160" s="155">
        <f t="shared" ref="Z160" si="182">AVERAGE(P160,U160)</f>
        <v>0.86139310585195328</v>
      </c>
      <c r="AA160" s="155">
        <f>AVERAGE(Q160,V160)</f>
        <v>0.68368998593733776</v>
      </c>
      <c r="AB160" s="156"/>
      <c r="AC160" s="155">
        <f>AVERAGE(S160,X160)</f>
        <v>1.0614606238189352</v>
      </c>
      <c r="AD160" s="155">
        <f>AVERAGE(T160,Y160)</f>
        <v>1.1552728264118137</v>
      </c>
      <c r="AE160" s="155">
        <f t="shared" ref="AE160" si="183">AVERAGE(U160,Z160)</f>
        <v>0.8600500413783988</v>
      </c>
      <c r="AF160" s="155">
        <f>AVERAGE(V160,AA160)</f>
        <v>0.68549697511191932</v>
      </c>
      <c r="AG160" s="156"/>
      <c r="AH160" s="155">
        <f>AVERAGE(X160,AC160)</f>
        <v>1.0812670815330507</v>
      </c>
      <c r="AI160" s="155">
        <f>AVERAGE(Y160,AD160)</f>
        <v>1.1608790924693921</v>
      </c>
      <c r="AJ160" s="155">
        <f t="shared" ref="AJ160" si="184">AVERAGE(Z160,AE160)</f>
        <v>0.86072157361517609</v>
      </c>
      <c r="AK160" s="155">
        <f>AVERAGE(AA160,AF160)</f>
        <v>0.68459348052462854</v>
      </c>
      <c r="AL160" s="156"/>
      <c r="AM160" s="146"/>
      <c r="AN160" s="146"/>
      <c r="AO160" s="146"/>
      <c r="AP160" s="146"/>
      <c r="AQ160" s="146"/>
      <c r="AR160" s="146"/>
      <c r="AS160" s="146"/>
      <c r="AT160" s="146"/>
    </row>
    <row r="161" spans="2:46" outlineLevel="1" x14ac:dyDescent="0.3">
      <c r="B161" s="355" t="s">
        <v>44</v>
      </c>
      <c r="C161" s="356"/>
      <c r="D161" s="54"/>
      <c r="E161" s="54">
        <f>E154/E160</f>
        <v>79.602847856368996</v>
      </c>
      <c r="F161" s="54">
        <f>F154/F160</f>
        <v>104.02095272206303</v>
      </c>
      <c r="G161" s="54">
        <f>G154/G160</f>
        <v>138.21698113207546</v>
      </c>
      <c r="H161" s="158"/>
      <c r="I161" s="54">
        <f>I154/I160</f>
        <v>106.55596623820819</v>
      </c>
      <c r="J161" s="54">
        <f>J154/J160</f>
        <v>81.876972027044957</v>
      </c>
      <c r="K161" s="54">
        <f>K154/K160</f>
        <v>106.64045183290708</v>
      </c>
      <c r="L161" s="54">
        <f>L154/L160</f>
        <v>132.46331409727949</v>
      </c>
      <c r="M161" s="158"/>
      <c r="N161" s="54">
        <f>N154/N160</f>
        <v>77.946326440827093</v>
      </c>
      <c r="O161" s="54">
        <f>O154/O160</f>
        <v>75.699563463557496</v>
      </c>
      <c r="P161" s="54">
        <f>P154/P160</f>
        <v>105.31441601089007</v>
      </c>
      <c r="Q161" s="54">
        <f>Q154/Q160</f>
        <v>135.2789967201891</v>
      </c>
      <c r="R161" s="158"/>
      <c r="S161" s="54">
        <f>S154/S160</f>
        <v>90.032985585386001</v>
      </c>
      <c r="T161" s="54">
        <f>T154/T160</f>
        <v>79.541262338751835</v>
      </c>
      <c r="U161" s="54">
        <f>U154/U160</f>
        <v>105.97328593742631</v>
      </c>
      <c r="V161" s="54">
        <f>V154/V160</f>
        <v>133.85635000011445</v>
      </c>
      <c r="W161" s="158"/>
      <c r="X161" s="54">
        <f>X154/X160</f>
        <v>83.554818747985621</v>
      </c>
      <c r="Y161" s="54">
        <f>Y154/Y160</f>
        <v>77.154847544465852</v>
      </c>
      <c r="Z161" s="54">
        <f>Z154/Z160</f>
        <v>105.64282367920423</v>
      </c>
      <c r="AA161" s="54">
        <f>AA154/AA160</f>
        <v>134.56391331206666</v>
      </c>
      <c r="AB161" s="158"/>
      <c r="AC161" s="54">
        <f>AC154/AC160</f>
        <v>86.673021999630421</v>
      </c>
      <c r="AD161" s="54">
        <f>AD154/AD160</f>
        <v>77.903676034286121</v>
      </c>
      <c r="AE161" s="54">
        <f>AE154/AE160</f>
        <v>105.80779678139967</v>
      </c>
      <c r="AF161" s="54">
        <f>AF154/AF160</f>
        <v>134.20919907776312</v>
      </c>
      <c r="AG161" s="158"/>
      <c r="AH161" s="54">
        <f>AH154/AH160</f>
        <v>85.085361028063318</v>
      </c>
      <c r="AI161" s="54">
        <f>AI154/AI160</f>
        <v>77.527453620130515</v>
      </c>
      <c r="AJ161" s="54">
        <f>AJ154/AJ160</f>
        <v>105.72524587455688</v>
      </c>
      <c r="AK161" s="54">
        <f>AK154/AK160</f>
        <v>134.38632212725295</v>
      </c>
      <c r="AL161" s="158"/>
      <c r="AM161" s="146"/>
      <c r="AN161" s="146"/>
      <c r="AO161" s="146"/>
      <c r="AP161" s="146"/>
      <c r="AQ161" s="146"/>
      <c r="AR161" s="146"/>
      <c r="AS161" s="146"/>
      <c r="AT161" s="146"/>
    </row>
    <row r="162" spans="2:46" outlineLevel="1" x14ac:dyDescent="0.3">
      <c r="B162" s="379" t="s">
        <v>187</v>
      </c>
      <c r="C162" s="356"/>
      <c r="D162" s="54"/>
      <c r="E162" s="54">
        <f>E157+E159-E161</f>
        <v>-51.794632077681797</v>
      </c>
      <c r="F162" s="54">
        <f>F157+F159-F161</f>
        <v>-68.918913560035605</v>
      </c>
      <c r="G162" s="54">
        <f>G157+G159-G161</f>
        <v>-93.260902343474939</v>
      </c>
      <c r="H162" s="158"/>
      <c r="I162" s="54">
        <f>I157+I159-I161</f>
        <v>-74.652529521524542</v>
      </c>
      <c r="J162" s="54">
        <f>J157+J159-J161</f>
        <v>-42.506587649134431</v>
      </c>
      <c r="K162" s="54">
        <f>K157+K159-K161</f>
        <v>-66.097911242417453</v>
      </c>
      <c r="L162" s="54">
        <f>L157+L159-L161</f>
        <v>-89.174224046072183</v>
      </c>
      <c r="M162" s="158"/>
      <c r="N162" s="54">
        <f>N157+N159-N161</f>
        <v>-49.442678406523839</v>
      </c>
      <c r="O162" s="54">
        <f>O157+O159-O161</f>
        <v>-40.153302662306196</v>
      </c>
      <c r="P162" s="54">
        <f>P157+P159-P161</f>
        <v>-68.21610316670413</v>
      </c>
      <c r="Q162" s="54">
        <f>Q157+Q159-Q161</f>
        <v>-91.611619878532849</v>
      </c>
      <c r="R162" s="158"/>
      <c r="S162" s="54">
        <f>S157+S159-S161</f>
        <v>-60.131292839068756</v>
      </c>
      <c r="T162" s="54">
        <f>T157+T159-T161</f>
        <v>-42.353895144463451</v>
      </c>
      <c r="U162" s="54">
        <f>U157+U159-U161</f>
        <v>-67.404481707398588</v>
      </c>
      <c r="V162" s="54">
        <f>V157+V159-V161</f>
        <v>-90.467013584132019</v>
      </c>
      <c r="W162" s="158"/>
      <c r="X162" s="54">
        <f>X157+X159-X161</f>
        <v>-54.419756484330122</v>
      </c>
      <c r="Y162" s="54">
        <f>Y157+Y159-Y161</f>
        <v>-41.120901217762238</v>
      </c>
      <c r="Z162" s="54">
        <f>Z157+Z159-Z161</f>
        <v>-67.860623715305223</v>
      </c>
      <c r="AA162" s="54">
        <f>AA157+AA159-AA161</f>
        <v>-91.060171623079071</v>
      </c>
      <c r="AB162" s="158"/>
      <c r="AC162" s="54">
        <f>AC157+AC159-AC161</f>
        <v>-57.172354288062365</v>
      </c>
      <c r="AD162" s="54">
        <f>AD157+AD159-AD161</f>
        <v>-41.533363409203631</v>
      </c>
      <c r="AE162" s="54">
        <f>AE157+AE159-AE161</f>
        <v>-67.64634845465477</v>
      </c>
      <c r="AF162" s="54">
        <f>AF157+AF159-AF161</f>
        <v>-90.768480507936417</v>
      </c>
      <c r="AG162" s="158"/>
      <c r="AH162" s="54">
        <f>AH157+AH159-AH161</f>
        <v>-55.771812845546201</v>
      </c>
      <c r="AI162" s="54">
        <f>AI157+AI159-AI161</f>
        <v>-41.333783388313229</v>
      </c>
      <c r="AJ162" s="54">
        <f>AJ157+AJ159-AJ161</f>
        <v>-67.756771540818107</v>
      </c>
      <c r="AK162" s="54">
        <f>AK157+AK159-AK161</f>
        <v>-90.915586366362731</v>
      </c>
      <c r="AL162" s="158"/>
      <c r="AM162" s="146"/>
      <c r="AN162" s="146"/>
      <c r="AO162" s="146"/>
      <c r="AP162" s="146"/>
      <c r="AQ162" s="146"/>
      <c r="AR162" s="146"/>
      <c r="AS162" s="146"/>
      <c r="AT162" s="146"/>
    </row>
    <row r="163" spans="2:46" outlineLevel="1" x14ac:dyDescent="0.3">
      <c r="B163" s="434" t="s">
        <v>397</v>
      </c>
      <c r="C163" s="445"/>
      <c r="D163" s="447">
        <f>D134/D15</f>
        <v>0.30298273155416011</v>
      </c>
      <c r="E163" s="447">
        <f t="shared" ref="E163:Q163" si="185">E134/E15</f>
        <v>0.43663036902601332</v>
      </c>
      <c r="F163" s="447">
        <f t="shared" si="185"/>
        <v>0.5132135306553911</v>
      </c>
      <c r="G163" s="447">
        <f t="shared" si="185"/>
        <v>0.48962513551037484</v>
      </c>
      <c r="H163" s="446">
        <f t="shared" si="185"/>
        <v>0.11230445745395534</v>
      </c>
      <c r="I163" s="447">
        <f t="shared" si="185"/>
        <v>0.29765666587385181</v>
      </c>
      <c r="J163" s="447">
        <f t="shared" si="185"/>
        <v>0.43764005430426745</v>
      </c>
      <c r="K163" s="447">
        <f t="shared" si="185"/>
        <v>0.47280578240871118</v>
      </c>
      <c r="L163" s="447">
        <f t="shared" si="185"/>
        <v>0.5196661367249602</v>
      </c>
      <c r="M163" s="446">
        <f t="shared" si="185"/>
        <v>0.12307084094203581</v>
      </c>
      <c r="N163" s="447">
        <f t="shared" si="185"/>
        <v>0.43533388684616298</v>
      </c>
      <c r="O163" s="447">
        <f t="shared" si="185"/>
        <v>0.60963543911057483</v>
      </c>
      <c r="P163" s="448">
        <f>K163</f>
        <v>0.47280578240871118</v>
      </c>
      <c r="Q163" s="448">
        <f>L163</f>
        <v>0.5196661367249602</v>
      </c>
      <c r="R163" s="446"/>
      <c r="S163" s="448">
        <f t="shared" ref="S163:T163" si="186">N163</f>
        <v>0.43533388684616298</v>
      </c>
      <c r="T163" s="448">
        <f t="shared" si="186"/>
        <v>0.60963543911057483</v>
      </c>
      <c r="U163" s="448">
        <f>P163</f>
        <v>0.47280578240871118</v>
      </c>
      <c r="V163" s="448">
        <f>Q163</f>
        <v>0.5196661367249602</v>
      </c>
      <c r="W163" s="446"/>
      <c r="X163" s="448">
        <f t="shared" ref="X163" si="187">S163</f>
        <v>0.43533388684616298</v>
      </c>
      <c r="Y163" s="448">
        <f t="shared" ref="Y163" si="188">T163</f>
        <v>0.60963543911057483</v>
      </c>
      <c r="Z163" s="448">
        <f>U163</f>
        <v>0.47280578240871118</v>
      </c>
      <c r="AA163" s="448">
        <f>V163</f>
        <v>0.5196661367249602</v>
      </c>
      <c r="AB163" s="446"/>
      <c r="AC163" s="448">
        <f t="shared" ref="AC163" si="189">X163</f>
        <v>0.43533388684616298</v>
      </c>
      <c r="AD163" s="448">
        <f t="shared" ref="AD163" si="190">Y163</f>
        <v>0.60963543911057483</v>
      </c>
      <c r="AE163" s="448">
        <f>Z163</f>
        <v>0.47280578240871118</v>
      </c>
      <c r="AF163" s="448">
        <f>AA163</f>
        <v>0.5196661367249602</v>
      </c>
      <c r="AG163" s="446"/>
      <c r="AH163" s="448">
        <f t="shared" ref="AH163" si="191">AC163</f>
        <v>0.43533388684616298</v>
      </c>
      <c r="AI163" s="448">
        <f t="shared" ref="AI163" si="192">AD163</f>
        <v>0.60963543911057483</v>
      </c>
      <c r="AJ163" s="448">
        <f>AE163</f>
        <v>0.47280578240871118</v>
      </c>
      <c r="AK163" s="448">
        <f>AF163</f>
        <v>0.5196661367249602</v>
      </c>
      <c r="AL163" s="446"/>
      <c r="AM163" s="146"/>
      <c r="AN163" s="146"/>
      <c r="AO163" s="146"/>
      <c r="AP163" s="146"/>
      <c r="AQ163" s="146"/>
      <c r="AR163" s="146"/>
      <c r="AS163" s="146"/>
      <c r="AT163" s="146"/>
    </row>
    <row r="164" spans="2:46" outlineLevel="1" x14ac:dyDescent="0.3">
      <c r="B164" s="76" t="s">
        <v>200</v>
      </c>
      <c r="C164" s="77"/>
      <c r="D164" s="159"/>
      <c r="E164" s="159"/>
      <c r="F164" s="159"/>
      <c r="G164" s="159">
        <f>(+G138+G135)/(G15+F15+D15+E15)</f>
        <v>4.5298690421141714E-2</v>
      </c>
      <c r="H164" s="160"/>
      <c r="I164" s="159">
        <f>(+I138+I135)/(I15+E15+F15+G15)</f>
        <v>4.6722915342676523E-2</v>
      </c>
      <c r="J164" s="159">
        <f>(+J138+J135)/(J15+F15+G15+I15)</f>
        <v>4.3901591240698902E-2</v>
      </c>
      <c r="K164" s="159">
        <f>(+K138+K135)/(K15+G15+H15+J15)</f>
        <v>2.5948033264767866E-2</v>
      </c>
      <c r="L164" s="159">
        <f>(+L138+L135)/(L15+K15+I15+J15)</f>
        <v>3.8931455787947815E-2</v>
      </c>
      <c r="M164" s="160"/>
      <c r="N164" s="159">
        <f>(+N138+N135)/(N15+J15+K15+L15)</f>
        <v>2.119933336391297E-2</v>
      </c>
      <c r="O164" s="159">
        <f>(+O138+O135)/(O15+K15+L15+N15)</f>
        <v>2.1401214747185579E-2</v>
      </c>
      <c r="P164" s="161">
        <f>AVERAGE(O164,N164,L164,K164)</f>
        <v>2.6870009290953557E-2</v>
      </c>
      <c r="Q164" s="161">
        <f>AVERAGE(P164,O164,N164,L164)</f>
        <v>2.7100503297499981E-2</v>
      </c>
      <c r="R164" s="160"/>
      <c r="S164" s="161">
        <f>AVERAGE(P164,Q164,O164,N164)</f>
        <v>2.4142765174888021E-2</v>
      </c>
      <c r="T164" s="161">
        <f>AVERAGE(S164,Q164,P164,O164)</f>
        <v>2.4878623127631783E-2</v>
      </c>
      <c r="U164" s="161">
        <f>AVERAGE(T164,S164,Q164,P164)</f>
        <v>2.5747975222743334E-2</v>
      </c>
      <c r="V164" s="161">
        <f>AVERAGE(U164,T164,S164,Q164)</f>
        <v>2.5467466705690778E-2</v>
      </c>
      <c r="W164" s="160"/>
      <c r="X164" s="161">
        <f>AVERAGE(U164,V164,T164,S164)</f>
        <v>2.5059207557738477E-2</v>
      </c>
      <c r="Y164" s="161">
        <f>AVERAGE(X164,V164,U164,T164)</f>
        <v>2.5288318153451093E-2</v>
      </c>
      <c r="Z164" s="161">
        <f>AVERAGE(Y164,X164,V164,U164)</f>
        <v>2.5390741909905919E-2</v>
      </c>
      <c r="AA164" s="161">
        <f>AVERAGE(Z164,Y164,X164,V164)</f>
        <v>2.5301433581696568E-2</v>
      </c>
      <c r="AB164" s="160"/>
      <c r="AC164" s="161">
        <f>AVERAGE(Z164,AA164,Y164,X164)</f>
        <v>2.5259925300698014E-2</v>
      </c>
      <c r="AD164" s="161">
        <f>AVERAGE(AC164,AA164,Z164,Y164)</f>
        <v>2.5310104736437897E-2</v>
      </c>
      <c r="AE164" s="161">
        <f>AVERAGE(AD164,AC164,AA164,Z164)</f>
        <v>2.5315551382184599E-2</v>
      </c>
      <c r="AF164" s="161">
        <f>AVERAGE(AE164,AD164,AC164,AA164)</f>
        <v>2.5296753750254267E-2</v>
      </c>
      <c r="AG164" s="160"/>
      <c r="AH164" s="161">
        <f>AVERAGE(AE164,AF164,AD164,AC164)</f>
        <v>2.5295583792393692E-2</v>
      </c>
      <c r="AI164" s="161">
        <f>AVERAGE(AH164,AF164,AE164,AD164)</f>
        <v>2.5304498415317612E-2</v>
      </c>
      <c r="AJ164" s="161">
        <f>AVERAGE(AI164,AH164,AF164,AE164)</f>
        <v>2.530309683503754E-2</v>
      </c>
      <c r="AK164" s="161">
        <f>AVERAGE(AJ164,AI164,AH164,AF164)</f>
        <v>2.5299983198250778E-2</v>
      </c>
      <c r="AL164" s="160"/>
      <c r="AM164" s="146"/>
      <c r="AN164" s="146"/>
      <c r="AO164" s="146"/>
      <c r="AP164" s="146"/>
      <c r="AQ164" s="146"/>
      <c r="AR164" s="146"/>
      <c r="AS164" s="146"/>
      <c r="AT164" s="146"/>
    </row>
    <row r="165" spans="2:46" outlineLevel="1" x14ac:dyDescent="0.3">
      <c r="B165" s="272" t="s">
        <v>338</v>
      </c>
      <c r="C165" s="82"/>
      <c r="D165" s="163">
        <f>D135/(D135+D138)</f>
        <v>0.71380745566413317</v>
      </c>
      <c r="E165" s="163">
        <f>E135/(E135+E138)</f>
        <v>0.71202150338307535</v>
      </c>
      <c r="F165" s="163">
        <f>F135/(F135+F138)</f>
        <v>0.71827794561933533</v>
      </c>
      <c r="G165" s="163">
        <f>G135/(G135+G138)</f>
        <v>0.72688751926040063</v>
      </c>
      <c r="H165" s="164"/>
      <c r="I165" s="163">
        <f>I135/(I135+I138)</f>
        <v>0.71982102908277401</v>
      </c>
      <c r="J165" s="163">
        <f>J135/(J135+J138)</f>
        <v>0.71579819554409874</v>
      </c>
      <c r="K165" s="163">
        <f>K135/(K135+K138)</f>
        <v>0.72006614142593128</v>
      </c>
      <c r="L165" s="163">
        <f>L135/(L135+L138)</f>
        <v>0.72949709864603485</v>
      </c>
      <c r="M165" s="164"/>
      <c r="N165" s="163">
        <f>N135/(N135+N138)</f>
        <v>1</v>
      </c>
      <c r="O165" s="163">
        <f>O135/(O135+O138)</f>
        <v>1</v>
      </c>
      <c r="P165" s="165">
        <f>AVERAGE(O165,N165,L165,K165)</f>
        <v>0.86239081001799156</v>
      </c>
      <c r="Q165" s="165">
        <f>AVERAGE(P165,O165,N165,L165)</f>
        <v>0.89797197716600663</v>
      </c>
      <c r="R165" s="164"/>
      <c r="S165" s="165">
        <f>AVERAGE(P165,Q165,O165,N165)</f>
        <v>0.94009069679599955</v>
      </c>
      <c r="T165" s="165">
        <f>AVERAGE(S165,Q165,P165,O165)</f>
        <v>0.92511337099499946</v>
      </c>
      <c r="U165" s="165">
        <f>AVERAGE(T165,S165,Q165,P165)</f>
        <v>0.90639171374374938</v>
      </c>
      <c r="V165" s="165">
        <f>AVERAGE(U165,T165,S165,Q165)</f>
        <v>0.91739193967518884</v>
      </c>
      <c r="W165" s="164"/>
      <c r="X165" s="165">
        <f>AVERAGE(U165,V165,T165,S165)</f>
        <v>0.92224693030248439</v>
      </c>
      <c r="Y165" s="165">
        <f>AVERAGE(X165,V165,U165,T165)</f>
        <v>0.91778598867910555</v>
      </c>
      <c r="Z165" s="165">
        <f>AVERAGE(Y165,X165,V165,U165)</f>
        <v>0.91595414310013212</v>
      </c>
      <c r="AA165" s="165">
        <f>AVERAGE(Z165,Y165,X165,V165)</f>
        <v>0.9183447504392277</v>
      </c>
      <c r="AB165" s="164"/>
      <c r="AC165" s="165">
        <f>AVERAGE(Z165,AA165,Y165,X165)</f>
        <v>0.91858295313023741</v>
      </c>
      <c r="AD165" s="165">
        <f>AVERAGE(AC165,AA165,Z165,Y165)</f>
        <v>0.91766695883717564</v>
      </c>
      <c r="AE165" s="165">
        <f>AVERAGE(AD165,AC165,AA165,Z165)</f>
        <v>0.91763720137669313</v>
      </c>
      <c r="AF165" s="165">
        <f>AVERAGE(AE165,AD165,AC165,AA165)</f>
        <v>0.91805796594583344</v>
      </c>
      <c r="AG165" s="164"/>
      <c r="AH165" s="165">
        <f>AVERAGE(AE165,AF165,AD165,AC165)</f>
        <v>0.91798626982248499</v>
      </c>
      <c r="AI165" s="165">
        <f>AVERAGE(AH165,AF165,AE165,AD165)</f>
        <v>0.91783709899554677</v>
      </c>
      <c r="AJ165" s="165">
        <f>AVERAGE(AI165,AH165,AF165,AE165)</f>
        <v>0.91787963403513961</v>
      </c>
      <c r="AK165" s="165">
        <f>AVERAGE(AJ165,AI165,AH165,AF165)</f>
        <v>0.91794024219975134</v>
      </c>
      <c r="AL165" s="164"/>
      <c r="AM165" s="146"/>
      <c r="AN165" s="146"/>
      <c r="AO165" s="146"/>
      <c r="AP165" s="146"/>
      <c r="AQ165" s="146"/>
      <c r="AR165" s="146"/>
      <c r="AS165" s="146"/>
      <c r="AT165" s="146"/>
    </row>
    <row r="166" spans="2:46" outlineLevel="1" x14ac:dyDescent="0.3">
      <c r="B166" s="370" t="s">
        <v>336</v>
      </c>
      <c r="C166" s="356"/>
      <c r="D166" s="111"/>
      <c r="E166" s="111">
        <f>E175/((D127+E127)/2)</f>
        <v>8.68965774225402E-2</v>
      </c>
      <c r="F166" s="111">
        <f>F175/((E127+F127)/2)</f>
        <v>8.3402717497209872E-2</v>
      </c>
      <c r="G166" s="111">
        <f>G175/((F127+G127)/2)</f>
        <v>7.8770869999524332E-2</v>
      </c>
      <c r="H166" s="118"/>
      <c r="I166" s="111">
        <f>I175/((G127+I127)/2)</f>
        <v>8.1379146778927394E-2</v>
      </c>
      <c r="J166" s="111">
        <f>J175/((I127+J127)/2)</f>
        <v>7.9673046715922971E-2</v>
      </c>
      <c r="K166" s="111">
        <f>K175/((J127+K127)/2)</f>
        <v>7.2820176517200866E-2</v>
      </c>
      <c r="L166" s="111">
        <f>L175/((K127+L127)/2)</f>
        <v>6.9351934626861914E-2</v>
      </c>
      <c r="M166" s="118"/>
      <c r="N166" s="111">
        <f>N175/((L127+N127)/2)</f>
        <v>8.3929741288735621E-2</v>
      </c>
      <c r="O166" s="111">
        <f>O175/((N127+O127)/2)</f>
        <v>7.7607444187738531E-2</v>
      </c>
      <c r="P166" s="166">
        <f>AVERAGE(O166,N166,L166,K166)</f>
        <v>7.5927324155134229E-2</v>
      </c>
      <c r="Q166" s="166">
        <f>AVERAGE(P166,O166,N166,L166)</f>
        <v>7.6704111064617581E-2</v>
      </c>
      <c r="R166" s="118"/>
      <c r="S166" s="166">
        <f>AVERAGE(Q166,P166,O166,N166)</f>
        <v>7.8542155174056494E-2</v>
      </c>
      <c r="T166" s="166">
        <f>AVERAGE(S166,Q166,P166,O166)</f>
        <v>7.7195258645386705E-2</v>
      </c>
      <c r="U166" s="166">
        <f>AVERAGE(T166,S166,Q166,P166)</f>
        <v>7.7092212259798759E-2</v>
      </c>
      <c r="V166" s="166">
        <f>AVERAGE(U166,T166,S166,Q166)</f>
        <v>7.7383434285964892E-2</v>
      </c>
      <c r="W166" s="118"/>
      <c r="X166" s="166">
        <f>AVERAGE(V166,U166,T166,S166)</f>
        <v>7.7553265091301712E-2</v>
      </c>
      <c r="Y166" s="166">
        <f>AVERAGE(X166,V166,U166,T166)</f>
        <v>7.7306042570613021E-2</v>
      </c>
      <c r="Z166" s="166">
        <f>AVERAGE(Y166,X166,V166,U166)</f>
        <v>7.7333738551919606E-2</v>
      </c>
      <c r="AA166" s="166">
        <f>AVERAGE(Z166,Y166,X166,V166)</f>
        <v>7.7394120124949811E-2</v>
      </c>
      <c r="AB166" s="118"/>
      <c r="AC166" s="166">
        <f>AVERAGE(AA166,Z166,Y166,X166)</f>
        <v>7.7396791584696034E-2</v>
      </c>
      <c r="AD166" s="166">
        <f>AVERAGE(AC166,AA166,Z166,Y166)</f>
        <v>7.7357673208044625E-2</v>
      </c>
      <c r="AE166" s="166">
        <f>AVERAGE(AD166,AC166,AA166,Z166)</f>
        <v>7.7370580867402519E-2</v>
      </c>
      <c r="AF166" s="166">
        <f>AVERAGE(AE166,AD166,AC166,AA166)</f>
        <v>7.7379791446273244E-2</v>
      </c>
      <c r="AG166" s="118"/>
      <c r="AH166" s="166">
        <f>AVERAGE(AF166,AE166,AD166,AC166)</f>
        <v>7.7376209276604102E-2</v>
      </c>
      <c r="AI166" s="166">
        <f>AVERAGE(AH166,AF166,AE166,AD166)</f>
        <v>7.7371063699581133E-2</v>
      </c>
      <c r="AJ166" s="166">
        <f>AVERAGE(AI166,AH166,AF166,AE166)</f>
        <v>7.7374411322465253E-2</v>
      </c>
      <c r="AK166" s="166">
        <f>AVERAGE(AJ166,AI166,AH166,AF166)</f>
        <v>7.7375368936230926E-2</v>
      </c>
      <c r="AL166" s="118"/>
    </row>
    <row r="167" spans="2:46" outlineLevel="1" x14ac:dyDescent="0.3">
      <c r="B167" s="355" t="s">
        <v>177</v>
      </c>
      <c r="C167" s="356"/>
      <c r="D167" s="167">
        <f>(D139+D136)/D147</f>
        <v>0.66129617040561972</v>
      </c>
      <c r="E167" s="167">
        <f>(E139+E136)/E147</f>
        <v>0.73478915887292851</v>
      </c>
      <c r="F167" s="167">
        <f>(F139+F136)/F147</f>
        <v>0.81811591466868039</v>
      </c>
      <c r="G167" s="167">
        <f>(G139+G136)/G147</f>
        <v>0.86298089476079287</v>
      </c>
      <c r="H167" s="158"/>
      <c r="I167" s="167">
        <f>(I139+I136)/I147</f>
        <v>0.87304474354310657</v>
      </c>
      <c r="J167" s="167">
        <f>(J139+J136)/J147</f>
        <v>0.96029256451078993</v>
      </c>
      <c r="K167" s="167">
        <f>(K139+K136)/K147</f>
        <v>0.99696387093406647</v>
      </c>
      <c r="L167" s="167">
        <f>(L139+L136)/L147</f>
        <v>1.0684666859548098</v>
      </c>
      <c r="M167" s="158"/>
      <c r="N167" s="167">
        <f>(N139+N136)/N147</f>
        <v>0.97317884165168123</v>
      </c>
      <c r="O167" s="167">
        <f>(O139+O136)/O147</f>
        <v>1.0639523899489893</v>
      </c>
      <c r="P167" s="166">
        <f>O167-2%</f>
        <v>1.0439523899489893</v>
      </c>
      <c r="Q167" s="166">
        <f>P167-2%</f>
        <v>1.0239523899489893</v>
      </c>
      <c r="R167" s="158"/>
      <c r="S167" s="166">
        <f>Q167-1%</f>
        <v>1.0139523899489893</v>
      </c>
      <c r="T167" s="166">
        <f>S167-1%</f>
        <v>1.0039523899489893</v>
      </c>
      <c r="U167" s="166">
        <f>T167-1%</f>
        <v>0.99395238994898927</v>
      </c>
      <c r="V167" s="166">
        <f>U167-1%</f>
        <v>0.98395238994898926</v>
      </c>
      <c r="W167" s="158"/>
      <c r="X167" s="166">
        <f>V167-0.5%</f>
        <v>0.97895238994898925</v>
      </c>
      <c r="Y167" s="166">
        <f>X167-0.5%</f>
        <v>0.97395238994898925</v>
      </c>
      <c r="Z167" s="166">
        <f>Y167-0.5%</f>
        <v>0.96895238994898925</v>
      </c>
      <c r="AA167" s="166">
        <f>Z167-0.5%</f>
        <v>0.96395238994898924</v>
      </c>
      <c r="AB167" s="158"/>
      <c r="AC167" s="166">
        <f>AA167-1%</f>
        <v>0.95395238994898923</v>
      </c>
      <c r="AD167" s="166">
        <f>AC167-1%</f>
        <v>0.94395238994898922</v>
      </c>
      <c r="AE167" s="166">
        <f>AD167-1%</f>
        <v>0.93395238994898921</v>
      </c>
      <c r="AF167" s="166">
        <f>AE167-1%</f>
        <v>0.92395238994898921</v>
      </c>
      <c r="AG167" s="158"/>
      <c r="AH167" s="166">
        <f>AF167-1%</f>
        <v>0.9139523899489892</v>
      </c>
      <c r="AI167" s="166">
        <f>AH167-1%</f>
        <v>0.90395238994898919</v>
      </c>
      <c r="AJ167" s="166">
        <f>AI167-1%</f>
        <v>0.89395238994898918</v>
      </c>
      <c r="AK167" s="166">
        <f>AJ167-1%</f>
        <v>0.88395238994898917</v>
      </c>
      <c r="AL167" s="158"/>
      <c r="AM167" s="146"/>
      <c r="AN167" s="146"/>
      <c r="AO167" s="146"/>
      <c r="AP167" s="146"/>
      <c r="AQ167" s="146"/>
      <c r="AR167" s="146"/>
      <c r="AS167" s="146"/>
      <c r="AT167" s="146"/>
    </row>
    <row r="168" spans="2:46" outlineLevel="1" x14ac:dyDescent="0.3">
      <c r="B168" s="72" t="s">
        <v>193</v>
      </c>
      <c r="C168" s="73"/>
      <c r="D168" s="167"/>
      <c r="E168" s="167">
        <f>(E136+E139)/(D136+D139)-1</f>
        <v>0.12533552639093526</v>
      </c>
      <c r="F168" s="167">
        <f>(F136+F139)/(E136+E139)-1</f>
        <v>9.9642719392623036E-2</v>
      </c>
      <c r="G168" s="167">
        <f>(G136+G139)/(F136+F139)-1</f>
        <v>6.7759532578295811E-2</v>
      </c>
      <c r="H168" s="158"/>
      <c r="I168" s="167">
        <f>(I136+I139)/(G136+G139)-1</f>
        <v>5.8091286307053958E-2</v>
      </c>
      <c r="J168" s="167">
        <f>(J136+J139)/(I136+I139)-1</f>
        <v>-4.5751633986927942E-3</v>
      </c>
      <c r="K168" s="167">
        <f>(K136+K139)/(J136+J139)-1</f>
        <v>-5.9422193040052473E-2</v>
      </c>
      <c r="L168" s="167">
        <f>(L136+L139)/(K136+K139)-1</f>
        <v>-1.0209424083769125E-3</v>
      </c>
      <c r="M168" s="158"/>
      <c r="N168" s="167">
        <f>(N136+N139)/(L136+L139)-1</f>
        <v>2.1575255714822994E-3</v>
      </c>
      <c r="O168" s="167">
        <f>(O136+O139)/(N136+N139)-1</f>
        <v>-1.8303843807199516E-2</v>
      </c>
      <c r="P168" s="167">
        <f>(P136+P139)/(O136+O139)-1</f>
        <v>-3.2994570158109027E-2</v>
      </c>
      <c r="Q168" s="167">
        <f>(Q136+Q139)/(P136+P139)-1</f>
        <v>-2.7836249083668108E-4</v>
      </c>
      <c r="R168" s="158"/>
      <c r="S168" s="167">
        <f>(S136+S139)/(Q136+Q139)-1</f>
        <v>0.1113568897951589</v>
      </c>
      <c r="T168" s="167">
        <f>(T136+T139)/(S136+S139)-1</f>
        <v>4.378833977060137E-2</v>
      </c>
      <c r="U168" s="167">
        <f>(U136+U139)/(T136+T139)-1</f>
        <v>1.572976859628783E-2</v>
      </c>
      <c r="V168" s="167">
        <f>(V136+V139)/(U136+U139)-1</f>
        <v>4.3433902779228095E-2</v>
      </c>
      <c r="W168" s="158"/>
      <c r="X168" s="167">
        <f>(X136+X139)/(V136+V139)-1</f>
        <v>0.10495791587945935</v>
      </c>
      <c r="Y168" s="167">
        <f>(Y136+Y139)/(X136+X139)-1</f>
        <v>4.9387158530712849E-2</v>
      </c>
      <c r="Z168" s="167">
        <f>(Z136+Z139)/(Y136+Y139)-1</f>
        <v>2.6169934349439927E-2</v>
      </c>
      <c r="AA168" s="167">
        <f>(AA136+AA139)/(Z136+Z139)-1</f>
        <v>4.3028897442979996E-2</v>
      </c>
      <c r="AB168" s="158"/>
      <c r="AC168" s="167">
        <f>(AC136+AC139)/(AA136+AA139)-1</f>
        <v>8.103739737238147E-2</v>
      </c>
      <c r="AD168" s="167">
        <f>(AD136+AD139)/(AC136+AC139)-1</f>
        <v>3.5013408763870268E-2</v>
      </c>
      <c r="AE168" s="167">
        <f>(AE136+AE139)/(AD136+AD139)-1</f>
        <v>1.5894955491735807E-2</v>
      </c>
      <c r="AF168" s="167">
        <f>(AF136+AF139)/(AE136+AE139)-1</f>
        <v>3.0410173223134773E-2</v>
      </c>
      <c r="AG168" s="158"/>
      <c r="AH168" s="167">
        <f>(AH136+AH139)/(AF136+AF139)-1</f>
        <v>6.2562276015923235E-2</v>
      </c>
      <c r="AI168" s="167">
        <f>(AI136+AI139)/(AH136+AH139)-1</f>
        <v>2.5204280519082634E-2</v>
      </c>
      <c r="AJ168" s="167">
        <f>(AJ136+AJ139)/(AI136+AI139)-1</f>
        <v>8.6436953075046397E-3</v>
      </c>
      <c r="AK168" s="167">
        <f>(AK136+AK139)/(AJ136+AJ139)-1</f>
        <v>2.0250662873892766E-2</v>
      </c>
      <c r="AL168" s="158"/>
      <c r="AM168" s="146"/>
      <c r="AN168" s="146"/>
      <c r="AO168" s="146"/>
      <c r="AP168" s="146"/>
      <c r="AQ168" s="146"/>
      <c r="AR168" s="146"/>
      <c r="AS168" s="146"/>
      <c r="AT168" s="146"/>
    </row>
    <row r="169" spans="2:46" outlineLevel="1" x14ac:dyDescent="0.3">
      <c r="B169" s="89" t="s">
        <v>179</v>
      </c>
      <c r="C169" s="90"/>
      <c r="D169" s="168">
        <f>D136/(D136+D139)</f>
        <v>0.15981907274783264</v>
      </c>
      <c r="E169" s="169">
        <f>E136/(E136+E139)</f>
        <v>0.14200889141511541</v>
      </c>
      <c r="F169" s="169">
        <f>F136/(F136+F139)</f>
        <v>0.17052954153167374</v>
      </c>
      <c r="G169" s="170">
        <f>G136/(G136+G139)</f>
        <v>0.15969052558782848</v>
      </c>
      <c r="H169" s="169"/>
      <c r="I169" s="168">
        <f>I136/(I136+I139)</f>
        <v>0.1509640522875817</v>
      </c>
      <c r="J169" s="169">
        <f>J136/(J136+J139)</f>
        <v>0.16807288246881155</v>
      </c>
      <c r="K169" s="169">
        <f>K136/(K136+K139)</f>
        <v>0.15246073298429319</v>
      </c>
      <c r="L169" s="170">
        <f>L136/(L136+L139)</f>
        <v>0.18123214800450721</v>
      </c>
      <c r="M169" s="169"/>
      <c r="N169" s="168">
        <f>N136/(N136+N139)</f>
        <v>0.18949708010110694</v>
      </c>
      <c r="O169" s="169">
        <f>O136/(O136+O139)</f>
        <v>0.19913877297345289</v>
      </c>
      <c r="P169" s="171">
        <f>AVERAGE(O169,N169,L169,K169)</f>
        <v>0.18058218351584007</v>
      </c>
      <c r="Q169" s="172">
        <f>AVERAGE(P169,O169,N169,L169)</f>
        <v>0.18761254614872674</v>
      </c>
      <c r="R169" s="169"/>
      <c r="S169" s="173">
        <f>AVERAGE(Q169,P169,O169,N169)</f>
        <v>0.18920764568478166</v>
      </c>
      <c r="T169" s="171">
        <f>AVERAGE(S169,Q169,P169,O169)</f>
        <v>0.18913528708070032</v>
      </c>
      <c r="U169" s="171">
        <f>AVERAGE(T169,S169,Q169,P169)</f>
        <v>0.18663441560751221</v>
      </c>
      <c r="V169" s="172">
        <f>AVERAGE(U169,T169,S169,Q169)</f>
        <v>0.18814747363043022</v>
      </c>
      <c r="W169" s="169"/>
      <c r="X169" s="173">
        <f>AVERAGE(V169,U169,T169,S169)</f>
        <v>0.18828120550085611</v>
      </c>
      <c r="Y169" s="171">
        <f>AVERAGE(X169,V169,U169,T169)</f>
        <v>0.18804959545487471</v>
      </c>
      <c r="Z169" s="171">
        <f>AVERAGE(Y169,X169,V169,U169)</f>
        <v>0.18777817254841828</v>
      </c>
      <c r="AA169" s="172">
        <f>AVERAGE(Z169,Y169,X169,V169)</f>
        <v>0.18806411178364485</v>
      </c>
      <c r="AB169" s="174"/>
      <c r="AC169" s="173">
        <f>AVERAGE(AA169,Z169,Y169,X169)</f>
        <v>0.18804327132194851</v>
      </c>
      <c r="AD169" s="171">
        <f>AVERAGE(AC169,AA169,Z169,Y169)</f>
        <v>0.18798378777722158</v>
      </c>
      <c r="AE169" s="171">
        <f>AVERAGE(AD169,AC169,AA169,Z169)</f>
        <v>0.18796733585780828</v>
      </c>
      <c r="AF169" s="172">
        <f>AVERAGE(AE169,AD169,AC169,AA169)</f>
        <v>0.18801462668515578</v>
      </c>
      <c r="AG169" s="174"/>
      <c r="AH169" s="173">
        <f>AVERAGE(AF169,AE169,AD169,AC169)</f>
        <v>0.18800225541053353</v>
      </c>
      <c r="AI169" s="171">
        <f>AVERAGE(AH169,AF169,AE169,AD169)</f>
        <v>0.18799200143267977</v>
      </c>
      <c r="AJ169" s="171">
        <f>AVERAGE(AI169,AH169,AF169,AE169)</f>
        <v>0.18799405484654436</v>
      </c>
      <c r="AK169" s="172">
        <f>AVERAGE(AJ169,AI169,AH169,AF169)</f>
        <v>0.18800073459372835</v>
      </c>
      <c r="AL169" s="174"/>
    </row>
    <row r="170" spans="2:46" x14ac:dyDescent="0.3">
      <c r="B170" s="115"/>
      <c r="C170" s="115"/>
      <c r="D170" s="41"/>
      <c r="E170" s="175"/>
    </row>
    <row r="171" spans="2:46" ht="15.6" x14ac:dyDescent="0.3">
      <c r="B171" s="351" t="s">
        <v>64</v>
      </c>
      <c r="C171" s="352"/>
      <c r="D171" s="47" t="s">
        <v>66</v>
      </c>
      <c r="E171" s="47" t="s">
        <v>67</v>
      </c>
      <c r="F171" s="47" t="s">
        <v>68</v>
      </c>
      <c r="G171" s="47" t="s">
        <v>69</v>
      </c>
      <c r="H171" s="256" t="s">
        <v>69</v>
      </c>
      <c r="I171" s="47" t="s">
        <v>70</v>
      </c>
      <c r="J171" s="47" t="s">
        <v>71</v>
      </c>
      <c r="K171" s="47" t="s">
        <v>72</v>
      </c>
      <c r="L171" s="47" t="s">
        <v>73</v>
      </c>
      <c r="M171" s="256" t="s">
        <v>73</v>
      </c>
      <c r="N171" s="47" t="s">
        <v>74</v>
      </c>
      <c r="O171" s="47" t="s">
        <v>75</v>
      </c>
      <c r="P171" s="48" t="s">
        <v>76</v>
      </c>
      <c r="Q171" s="48" t="s">
        <v>77</v>
      </c>
      <c r="R171" s="254" t="s">
        <v>77</v>
      </c>
      <c r="S171" s="48" t="s">
        <v>136</v>
      </c>
      <c r="T171" s="48" t="s">
        <v>137</v>
      </c>
      <c r="U171" s="48" t="s">
        <v>138</v>
      </c>
      <c r="V171" s="48" t="s">
        <v>139</v>
      </c>
      <c r="W171" s="254" t="s">
        <v>139</v>
      </c>
      <c r="X171" s="48" t="s">
        <v>154</v>
      </c>
      <c r="Y171" s="48" t="s">
        <v>155</v>
      </c>
      <c r="Z171" s="48" t="s">
        <v>156</v>
      </c>
      <c r="AA171" s="48" t="s">
        <v>157</v>
      </c>
      <c r="AB171" s="254" t="s">
        <v>157</v>
      </c>
      <c r="AC171" s="15" t="s">
        <v>277</v>
      </c>
      <c r="AD171" s="15" t="s">
        <v>278</v>
      </c>
      <c r="AE171" s="15" t="s">
        <v>279</v>
      </c>
      <c r="AF171" s="15" t="s">
        <v>280</v>
      </c>
      <c r="AG171" s="252" t="s">
        <v>280</v>
      </c>
      <c r="AH171" s="15" t="s">
        <v>286</v>
      </c>
      <c r="AI171" s="15" t="s">
        <v>287</v>
      </c>
      <c r="AJ171" s="15" t="s">
        <v>288</v>
      </c>
      <c r="AK171" s="15" t="s">
        <v>289</v>
      </c>
      <c r="AL171" s="252" t="s">
        <v>289</v>
      </c>
    </row>
    <row r="172" spans="2:46" ht="16.2" x14ac:dyDescent="0.45">
      <c r="B172" s="133" t="s">
        <v>8</v>
      </c>
      <c r="C172" s="134"/>
      <c r="D172" s="49" t="s">
        <v>163</v>
      </c>
      <c r="E172" s="49" t="s">
        <v>196</v>
      </c>
      <c r="F172" s="49" t="s">
        <v>214</v>
      </c>
      <c r="G172" s="10" t="s">
        <v>216</v>
      </c>
      <c r="H172" s="257" t="s">
        <v>217</v>
      </c>
      <c r="I172" s="10" t="s">
        <v>218</v>
      </c>
      <c r="J172" s="10" t="s">
        <v>219</v>
      </c>
      <c r="K172" s="10" t="s">
        <v>220</v>
      </c>
      <c r="L172" s="10" t="s">
        <v>221</v>
      </c>
      <c r="M172" s="257" t="s">
        <v>222</v>
      </c>
      <c r="N172" s="10" t="s">
        <v>223</v>
      </c>
      <c r="O172" s="10" t="s">
        <v>383</v>
      </c>
      <c r="P172" s="50" t="s">
        <v>46</v>
      </c>
      <c r="Q172" s="50" t="s">
        <v>47</v>
      </c>
      <c r="R172" s="255" t="s">
        <v>128</v>
      </c>
      <c r="S172" s="50" t="s">
        <v>135</v>
      </c>
      <c r="T172" s="50" t="s">
        <v>140</v>
      </c>
      <c r="U172" s="50" t="s">
        <v>141</v>
      </c>
      <c r="V172" s="50" t="s">
        <v>142</v>
      </c>
      <c r="W172" s="255" t="s">
        <v>143</v>
      </c>
      <c r="X172" s="50" t="s">
        <v>158</v>
      </c>
      <c r="Y172" s="50" t="s">
        <v>159</v>
      </c>
      <c r="Z172" s="50" t="s">
        <v>160</v>
      </c>
      <c r="AA172" s="50" t="s">
        <v>161</v>
      </c>
      <c r="AB172" s="255" t="s">
        <v>162</v>
      </c>
      <c r="AC172" s="16" t="s">
        <v>281</v>
      </c>
      <c r="AD172" s="16" t="s">
        <v>282</v>
      </c>
      <c r="AE172" s="16" t="s">
        <v>283</v>
      </c>
      <c r="AF172" s="16" t="s">
        <v>284</v>
      </c>
      <c r="AG172" s="253" t="s">
        <v>285</v>
      </c>
      <c r="AH172" s="16" t="s">
        <v>290</v>
      </c>
      <c r="AI172" s="16" t="s">
        <v>291</v>
      </c>
      <c r="AJ172" s="16" t="s">
        <v>292</v>
      </c>
      <c r="AK172" s="16" t="s">
        <v>293</v>
      </c>
      <c r="AL172" s="253" t="s">
        <v>294</v>
      </c>
    </row>
    <row r="173" spans="2:46" outlineLevel="1" x14ac:dyDescent="0.3">
      <c r="B173" s="371" t="s">
        <v>24</v>
      </c>
      <c r="C173" s="372"/>
      <c r="D173" s="176"/>
      <c r="E173" s="136"/>
      <c r="F173" s="137"/>
      <c r="G173" s="137"/>
      <c r="H173" s="138"/>
      <c r="I173" s="176"/>
      <c r="J173" s="136"/>
      <c r="K173" s="137"/>
      <c r="L173" s="137"/>
      <c r="M173" s="138"/>
      <c r="N173" s="176"/>
      <c r="O173" s="136"/>
      <c r="P173" s="137"/>
      <c r="Q173" s="137"/>
      <c r="R173" s="138"/>
      <c r="S173" s="176"/>
      <c r="T173" s="136"/>
      <c r="U173" s="137"/>
      <c r="V173" s="137"/>
      <c r="W173" s="138"/>
      <c r="X173" s="176"/>
      <c r="Y173" s="136"/>
      <c r="Z173" s="137"/>
      <c r="AA173" s="137"/>
      <c r="AB173" s="138"/>
      <c r="AC173" s="176"/>
      <c r="AD173" s="136"/>
      <c r="AE173" s="137"/>
      <c r="AF173" s="137"/>
      <c r="AG173" s="138"/>
      <c r="AH173" s="176"/>
      <c r="AI173" s="136"/>
      <c r="AJ173" s="137"/>
      <c r="AK173" s="137"/>
      <c r="AL173" s="138"/>
    </row>
    <row r="174" spans="2:46" outlineLevel="1" x14ac:dyDescent="0.3">
      <c r="B174" s="389" t="s">
        <v>25</v>
      </c>
      <c r="C174" s="368"/>
      <c r="D174" s="51">
        <f t="shared" ref="D174:AL174" si="193">D31</f>
        <v>17891</v>
      </c>
      <c r="E174" s="32">
        <f t="shared" si="193"/>
        <v>11029</v>
      </c>
      <c r="F174" s="32">
        <f t="shared" si="193"/>
        <v>8717</v>
      </c>
      <c r="G174" s="32">
        <f t="shared" si="193"/>
        <v>10714</v>
      </c>
      <c r="H174" s="53">
        <f t="shared" si="193"/>
        <v>48351</v>
      </c>
      <c r="I174" s="51">
        <f t="shared" si="193"/>
        <v>20065</v>
      </c>
      <c r="J174" s="32">
        <f t="shared" si="193"/>
        <v>13822</v>
      </c>
      <c r="K174" s="32">
        <f t="shared" si="193"/>
        <v>11519</v>
      </c>
      <c r="L174" s="32">
        <f t="shared" si="193"/>
        <v>14125</v>
      </c>
      <c r="M174" s="53">
        <f t="shared" si="193"/>
        <v>59531</v>
      </c>
      <c r="N174" s="51">
        <f t="shared" si="193"/>
        <v>19965</v>
      </c>
      <c r="O174" s="32">
        <f t="shared" si="193"/>
        <v>11561</v>
      </c>
      <c r="P174" s="32">
        <f t="shared" si="193"/>
        <v>9711.4999757166861</v>
      </c>
      <c r="Q174" s="32">
        <f t="shared" si="193"/>
        <v>12345.648684003381</v>
      </c>
      <c r="R174" s="53">
        <f t="shared" si="193"/>
        <v>53583.148659720078</v>
      </c>
      <c r="S174" s="51">
        <f t="shared" si="193"/>
        <v>20280.440961192886</v>
      </c>
      <c r="T174" s="32">
        <f t="shared" si="193"/>
        <v>12667.823034152603</v>
      </c>
      <c r="U174" s="32">
        <f t="shared" si="193"/>
        <v>10772.102514938835</v>
      </c>
      <c r="V174" s="32">
        <f t="shared" si="193"/>
        <v>13546.411683278613</v>
      </c>
      <c r="W174" s="53">
        <f t="shared" si="193"/>
        <v>57266.778193562888</v>
      </c>
      <c r="X174" s="51">
        <f t="shared" si="193"/>
        <v>22605.349890713103</v>
      </c>
      <c r="Y174" s="32">
        <f t="shared" si="193"/>
        <v>14691.635428791347</v>
      </c>
      <c r="Z174" s="32">
        <f t="shared" si="193"/>
        <v>12823.759975771598</v>
      </c>
      <c r="AA174" s="32">
        <f t="shared" si="193"/>
        <v>14777.271133382343</v>
      </c>
      <c r="AB174" s="53">
        <f t="shared" si="193"/>
        <v>64898.016428658331</v>
      </c>
      <c r="AC174" s="51">
        <f t="shared" si="193"/>
        <v>23788.790076599034</v>
      </c>
      <c r="AD174" s="32">
        <f t="shared" si="193"/>
        <v>15357.444666167732</v>
      </c>
      <c r="AE174" s="32">
        <f t="shared" si="193"/>
        <v>13421.918078533115</v>
      </c>
      <c r="AF174" s="32">
        <f t="shared" si="193"/>
        <v>15550.617649498567</v>
      </c>
      <c r="AG174" s="53">
        <f t="shared" si="193"/>
        <v>68118.770470798452</v>
      </c>
      <c r="AH174" s="51">
        <f t="shared" si="193"/>
        <v>23830.668850096634</v>
      </c>
      <c r="AI174" s="32">
        <f t="shared" si="193"/>
        <v>15289.367257561276</v>
      </c>
      <c r="AJ174" s="32">
        <f t="shared" si="193"/>
        <v>13190.651378888804</v>
      </c>
      <c r="AK174" s="32">
        <f t="shared" si="193"/>
        <v>15105.757926783048</v>
      </c>
      <c r="AL174" s="53">
        <f t="shared" si="193"/>
        <v>67416.44541332974</v>
      </c>
    </row>
    <row r="175" spans="2:46" customFormat="1" outlineLevel="1" x14ac:dyDescent="0.3">
      <c r="B175" s="367" t="s">
        <v>337</v>
      </c>
      <c r="C175" s="390"/>
      <c r="D175" s="285">
        <v>2987</v>
      </c>
      <c r="E175" s="9">
        <v>2332</v>
      </c>
      <c r="F175" s="9">
        <v>2354</v>
      </c>
      <c r="G175" s="9">
        <v>2484</v>
      </c>
      <c r="H175" s="286">
        <f>SUM(D175:G175)</f>
        <v>10157</v>
      </c>
      <c r="I175" s="9">
        <v>2745</v>
      </c>
      <c r="J175" s="9">
        <v>2739</v>
      </c>
      <c r="K175" s="9">
        <v>2665</v>
      </c>
      <c r="L175" s="9">
        <v>2754</v>
      </c>
      <c r="M175" s="286">
        <f>SUM(I175:L175)</f>
        <v>10903</v>
      </c>
      <c r="N175" s="285">
        <v>3395</v>
      </c>
      <c r="O175" s="9">
        <f>6435-N175</f>
        <v>3040</v>
      </c>
      <c r="P175" s="9">
        <f t="shared" ref="P175:Q175" si="194">O127*P166</f>
        <v>2941.8801017148307</v>
      </c>
      <c r="Q175" s="9">
        <f t="shared" si="194"/>
        <v>2972.8879573060644</v>
      </c>
      <c r="R175" s="286">
        <f t="shared" ref="R175:R186" si="195">SUM(N175:Q175)</f>
        <v>12349.768059020895</v>
      </c>
      <c r="S175" s="285">
        <f>Q127*S166</f>
        <v>3100.6219680659024</v>
      </c>
      <c r="T175" s="9">
        <f>S127*T166</f>
        <v>3095.9665535177842</v>
      </c>
      <c r="U175" s="9">
        <f>T127*U166</f>
        <v>3111.8956621747006</v>
      </c>
      <c r="V175" s="9">
        <f>U127*V166</f>
        <v>3129.5703777775179</v>
      </c>
      <c r="W175" s="286">
        <f>SUM(S175:V175)</f>
        <v>12438.054561535904</v>
      </c>
      <c r="X175" s="285">
        <f>V127*X166</f>
        <v>3143.4729780462217</v>
      </c>
      <c r="Y175" s="9">
        <f t="shared" ref="Y175:AA175" si="196">X127*Y166</f>
        <v>3141.8788115416701</v>
      </c>
      <c r="Z175" s="9">
        <f t="shared" si="196"/>
        <v>3154.072520971954</v>
      </c>
      <c r="AA175" s="9">
        <f t="shared" si="196"/>
        <v>3169.21060011179</v>
      </c>
      <c r="AB175" s="286">
        <f>SUM(X175:AA175)</f>
        <v>12608.634910671637</v>
      </c>
      <c r="AC175" s="285">
        <f>AA127*AC166</f>
        <v>3183.3921059914846</v>
      </c>
      <c r="AD175" s="9">
        <f t="shared" ref="AD175:AF175" si="197">AC127*AD166</f>
        <v>3197.343364970513</v>
      </c>
      <c r="AE175" s="9">
        <f t="shared" si="197"/>
        <v>3214.9789094028311</v>
      </c>
      <c r="AF175" s="9">
        <f t="shared" si="197"/>
        <v>3233.7462218138253</v>
      </c>
      <c r="AG175" s="286">
        <f>SUM(AC175:AF175)</f>
        <v>12829.460602178653</v>
      </c>
      <c r="AH175" s="285">
        <f>AF127*AH166</f>
        <v>3253.1995777740531</v>
      </c>
      <c r="AI175" s="9">
        <f t="shared" ref="AI175:AK175" si="198">AH127*AI166</f>
        <v>3273.7778653393889</v>
      </c>
      <c r="AJ175" s="9">
        <f t="shared" si="198"/>
        <v>3295.8479062275314</v>
      </c>
      <c r="AK175" s="9">
        <f t="shared" si="198"/>
        <v>3318.8620689860782</v>
      </c>
      <c r="AL175" s="286">
        <f>SUM(AH175:AK175)</f>
        <v>13141.687418327052</v>
      </c>
    </row>
    <row r="176" spans="2:46" outlineLevel="1" x14ac:dyDescent="0.3">
      <c r="B176" s="389" t="s">
        <v>93</v>
      </c>
      <c r="C176" s="368"/>
      <c r="D176" s="51">
        <v>1256</v>
      </c>
      <c r="E176" s="32">
        <f>2473-D176</f>
        <v>1217</v>
      </c>
      <c r="F176" s="32">
        <f>3666-E176-D176</f>
        <v>1193</v>
      </c>
      <c r="G176" s="32">
        <f>4840-F176-E176-D176</f>
        <v>1174</v>
      </c>
      <c r="H176" s="53">
        <f t="shared" ref="H176:H178" si="199">SUM(D176:G176)</f>
        <v>4840</v>
      </c>
      <c r="I176" s="51">
        <v>1296</v>
      </c>
      <c r="J176" s="32">
        <f>2644-I176</f>
        <v>1348</v>
      </c>
      <c r="K176" s="32">
        <f>3995-J176-I176</f>
        <v>1351</v>
      </c>
      <c r="L176" s="32">
        <f>5340-K176-J176-I176</f>
        <v>1345</v>
      </c>
      <c r="M176" s="53">
        <f t="shared" ref="M176:M186" si="200">SUM(I176:L176)</f>
        <v>5340</v>
      </c>
      <c r="N176" s="51">
        <v>1559</v>
      </c>
      <c r="O176" s="32">
        <f>3073-N176</f>
        <v>1514</v>
      </c>
      <c r="P176" s="32">
        <f>P15*P224</f>
        <v>1417.7463617457897</v>
      </c>
      <c r="Q176" s="32">
        <f>Q15*Q224</f>
        <v>1442.8979733749875</v>
      </c>
      <c r="R176" s="53">
        <f t="shared" si="195"/>
        <v>5933.6443351207772</v>
      </c>
      <c r="S176" s="51">
        <f>S15*S224</f>
        <v>1388.8014122535619</v>
      </c>
      <c r="T176" s="32">
        <f>T15*T224</f>
        <v>1379.2522684973267</v>
      </c>
      <c r="U176" s="32">
        <f>U15*U224</f>
        <v>1495.6517491761576</v>
      </c>
      <c r="V176" s="32">
        <f>V15*V224</f>
        <v>1519.5144213056349</v>
      </c>
      <c r="W176" s="53">
        <f>SUM(S176:V176)</f>
        <v>5783.2198512326813</v>
      </c>
      <c r="X176" s="51">
        <f>X15*X224</f>
        <v>1458.6450318631353</v>
      </c>
      <c r="Y176" s="32">
        <f>Y15*Y224</f>
        <v>1459.8074078458487</v>
      </c>
      <c r="Z176" s="32">
        <f>Z15*Z224</f>
        <v>1586.479250970488</v>
      </c>
      <c r="AA176" s="32">
        <f>AA15*AA224</f>
        <v>1612.7753343635393</v>
      </c>
      <c r="AB176" s="53">
        <f>SUM(X176:AA176)</f>
        <v>6117.7070250430115</v>
      </c>
      <c r="AC176" s="51">
        <f>AC15*AC224</f>
        <v>1495.9045221832253</v>
      </c>
      <c r="AD176" s="32">
        <f>AD15*AD224</f>
        <v>1490.7821625440135</v>
      </c>
      <c r="AE176" s="32">
        <f>AE15*AE224</f>
        <v>1607.7062143460207</v>
      </c>
      <c r="AF176" s="32">
        <f>AF15*AF224</f>
        <v>1626.3529068261655</v>
      </c>
      <c r="AG176" s="53">
        <f>SUM(AC176:AF176)</f>
        <v>6220.7458058994252</v>
      </c>
      <c r="AH176" s="51">
        <f>AH15*AH224</f>
        <v>1521.3206780502628</v>
      </c>
      <c r="AI176" s="32">
        <f>AI15*AI224</f>
        <v>1511.4576125630454</v>
      </c>
      <c r="AJ176" s="32">
        <f>AJ15*AJ224</f>
        <v>1626.8405629660376</v>
      </c>
      <c r="AK176" s="32">
        <f>AK15*AK224</f>
        <v>1644.9452398943006</v>
      </c>
      <c r="AL176" s="53">
        <f>SUM(AH176:AK176)</f>
        <v>6304.5640934736457</v>
      </c>
    </row>
    <row r="177" spans="2:38" outlineLevel="1" x14ac:dyDescent="0.3">
      <c r="B177" s="389" t="s">
        <v>26</v>
      </c>
      <c r="C177" s="368"/>
      <c r="D177" s="51">
        <v>1452</v>
      </c>
      <c r="E177" s="32">
        <f>2822-D177</f>
        <v>1370</v>
      </c>
      <c r="F177" s="32">
        <f>4764-E177-D177</f>
        <v>1942</v>
      </c>
      <c r="G177" s="32">
        <f>5966-F177-E177-D177</f>
        <v>1202</v>
      </c>
      <c r="H177" s="53">
        <f t="shared" si="199"/>
        <v>5966</v>
      </c>
      <c r="I177" s="51">
        <v>-33737</v>
      </c>
      <c r="J177" s="32">
        <f>-34235-I177</f>
        <v>-498</v>
      </c>
      <c r="K177" s="32">
        <f>-33109-J177-I177</f>
        <v>1126</v>
      </c>
      <c r="L177" s="32">
        <f>-32590-K177-J177-I177</f>
        <v>519</v>
      </c>
      <c r="M177" s="53">
        <f>SUM(I177:L177)</f>
        <v>-32590</v>
      </c>
      <c r="N177" s="51">
        <v>53</v>
      </c>
      <c r="O177" s="32">
        <f>-124-N177</f>
        <v>-177</v>
      </c>
      <c r="P177" s="32">
        <v>0</v>
      </c>
      <c r="Q177" s="32">
        <v>0</v>
      </c>
      <c r="R177" s="53">
        <f>SUM(N177:Q177)</f>
        <v>-124</v>
      </c>
      <c r="S177" s="51">
        <v>0</v>
      </c>
      <c r="T177" s="32">
        <v>0</v>
      </c>
      <c r="U177" s="32">
        <v>0</v>
      </c>
      <c r="V177" s="32">
        <v>0</v>
      </c>
      <c r="W177" s="53">
        <f>SUM(S177:V177)</f>
        <v>0</v>
      </c>
      <c r="X177" s="51">
        <v>0</v>
      </c>
      <c r="Y177" s="32">
        <v>0</v>
      </c>
      <c r="Z177" s="32">
        <v>0</v>
      </c>
      <c r="AA177" s="32">
        <v>0</v>
      </c>
      <c r="AB177" s="53">
        <f>SUM(X177:AA177)</f>
        <v>0</v>
      </c>
      <c r="AC177" s="51">
        <v>0</v>
      </c>
      <c r="AD177" s="32">
        <v>0</v>
      </c>
      <c r="AE177" s="32">
        <v>0</v>
      </c>
      <c r="AF177" s="32">
        <v>0</v>
      </c>
      <c r="AG177" s="53">
        <f>SUM(AC177:AF177)</f>
        <v>0</v>
      </c>
      <c r="AH177" s="51">
        <v>0</v>
      </c>
      <c r="AI177" s="32">
        <v>0</v>
      </c>
      <c r="AJ177" s="32">
        <v>0</v>
      </c>
      <c r="AK177" s="32">
        <v>0</v>
      </c>
      <c r="AL177" s="53">
        <f>SUM(AH177:AK177)</f>
        <v>0</v>
      </c>
    </row>
    <row r="178" spans="2:38" outlineLevel="1" x14ac:dyDescent="0.3">
      <c r="B178" s="389" t="s">
        <v>27</v>
      </c>
      <c r="C178" s="368"/>
      <c r="D178" s="51">
        <v>-274</v>
      </c>
      <c r="E178" s="32">
        <f>-209-D178</f>
        <v>65</v>
      </c>
      <c r="F178" s="32">
        <f>-142-E178-D178</f>
        <v>67</v>
      </c>
      <c r="G178" s="32">
        <f>-166-F178-E178-D178</f>
        <v>-24</v>
      </c>
      <c r="H178" s="53">
        <f t="shared" si="199"/>
        <v>-166</v>
      </c>
      <c r="I178" s="51">
        <v>-11</v>
      </c>
      <c r="J178" s="32">
        <f>-151-I178</f>
        <v>-140</v>
      </c>
      <c r="K178" s="32">
        <f>-410-J178-I178</f>
        <v>-259</v>
      </c>
      <c r="L178" s="32">
        <f>-444-K178-J178-I178</f>
        <v>-34</v>
      </c>
      <c r="M178" s="53">
        <f t="shared" si="200"/>
        <v>-444</v>
      </c>
      <c r="N178" s="51">
        <v>-54</v>
      </c>
      <c r="O178" s="32">
        <f>-215-N178</f>
        <v>-161</v>
      </c>
      <c r="P178" s="32">
        <v>0</v>
      </c>
      <c r="Q178" s="32">
        <v>0</v>
      </c>
      <c r="R178" s="53">
        <f t="shared" si="195"/>
        <v>-215</v>
      </c>
      <c r="S178" s="51">
        <v>0</v>
      </c>
      <c r="T178" s="32">
        <v>0</v>
      </c>
      <c r="U178" s="32">
        <v>0</v>
      </c>
      <c r="V178" s="32">
        <v>0</v>
      </c>
      <c r="W178" s="53">
        <f>SUM(S178:V178)</f>
        <v>0</v>
      </c>
      <c r="X178" s="51">
        <v>0</v>
      </c>
      <c r="Y178" s="32">
        <v>0</v>
      </c>
      <c r="Z178" s="32">
        <v>0</v>
      </c>
      <c r="AA178" s="32">
        <v>0</v>
      </c>
      <c r="AB178" s="53">
        <f>SUM(X178:AA178)</f>
        <v>0</v>
      </c>
      <c r="AC178" s="51">
        <v>0</v>
      </c>
      <c r="AD178" s="32">
        <v>0</v>
      </c>
      <c r="AE178" s="32">
        <v>0</v>
      </c>
      <c r="AF178" s="32">
        <v>0</v>
      </c>
      <c r="AG178" s="53">
        <f>SUM(AC178:AF178)</f>
        <v>0</v>
      </c>
      <c r="AH178" s="51">
        <v>0</v>
      </c>
      <c r="AI178" s="32">
        <v>0</v>
      </c>
      <c r="AJ178" s="32">
        <v>0</v>
      </c>
      <c r="AK178" s="32">
        <v>0</v>
      </c>
      <c r="AL178" s="53">
        <f>SUM(AH178:AK178)</f>
        <v>0</v>
      </c>
    </row>
    <row r="179" spans="2:38" outlineLevel="1" x14ac:dyDescent="0.3">
      <c r="B179" s="391" t="s">
        <v>36</v>
      </c>
      <c r="C179" s="392"/>
      <c r="D179" s="51"/>
      <c r="E179" s="32"/>
      <c r="F179" s="32"/>
      <c r="G179" s="32"/>
      <c r="H179" s="53"/>
      <c r="I179" s="51"/>
      <c r="J179" s="32"/>
      <c r="K179" s="32"/>
      <c r="L179" s="32"/>
      <c r="M179" s="53"/>
      <c r="N179" s="51"/>
      <c r="O179" s="32"/>
      <c r="P179" s="32"/>
      <c r="Q179" s="32"/>
      <c r="R179" s="53"/>
      <c r="S179" s="51"/>
      <c r="T179" s="32"/>
      <c r="U179" s="32"/>
      <c r="V179" s="32"/>
      <c r="W179" s="53"/>
      <c r="X179" s="51"/>
      <c r="Y179" s="32"/>
      <c r="Z179" s="32"/>
      <c r="AA179" s="32"/>
      <c r="AB179" s="53"/>
      <c r="AC179" s="51"/>
      <c r="AD179" s="32"/>
      <c r="AE179" s="32"/>
      <c r="AF179" s="32"/>
      <c r="AG179" s="53"/>
      <c r="AH179" s="51"/>
      <c r="AI179" s="32"/>
      <c r="AJ179" s="32"/>
      <c r="AK179" s="32"/>
      <c r="AL179" s="53"/>
    </row>
    <row r="180" spans="2:38" outlineLevel="1" x14ac:dyDescent="0.3">
      <c r="B180" s="389" t="s">
        <v>94</v>
      </c>
      <c r="C180" s="368"/>
      <c r="D180" s="51">
        <v>1697</v>
      </c>
      <c r="E180" s="32">
        <f>4183-D180</f>
        <v>2486</v>
      </c>
      <c r="F180" s="32">
        <f>3381-E180-D180</f>
        <v>-802</v>
      </c>
      <c r="G180" s="32">
        <f>-2093-F180-E180-D180</f>
        <v>-5474</v>
      </c>
      <c r="H180" s="53">
        <f t="shared" ref="H180:H186" si="201">SUM(D180:G180)</f>
        <v>-2093</v>
      </c>
      <c r="I180" s="51">
        <v>-5570</v>
      </c>
      <c r="J180" s="32">
        <f>3523-I180</f>
        <v>9093</v>
      </c>
      <c r="K180" s="32">
        <f>3756-J180-I180</f>
        <v>233</v>
      </c>
      <c r="L180" s="32">
        <f>-5322-K180-J180-I180</f>
        <v>-9078</v>
      </c>
      <c r="M180" s="53">
        <f t="shared" si="200"/>
        <v>-5322</v>
      </c>
      <c r="N180" s="51">
        <v>5130</v>
      </c>
      <c r="O180" s="32">
        <f>8094-N180</f>
        <v>2964</v>
      </c>
      <c r="P180" s="32">
        <f>-(P120-O120)</f>
        <v>701.03326731294146</v>
      </c>
      <c r="Q180" s="32">
        <f>-(Q120-P120)</f>
        <v>-7333.2535429637392</v>
      </c>
      <c r="R180" s="53">
        <f t="shared" si="195"/>
        <v>1461.7797243492023</v>
      </c>
      <c r="S180" s="51">
        <f>-(S120-R120)</f>
        <v>1125.7986807795896</v>
      </c>
      <c r="T180" s="32">
        <f>-(T120-S120)</f>
        <v>5481.755850067555</v>
      </c>
      <c r="U180" s="32">
        <f>-(U120-T120)</f>
        <v>51.046254563074399</v>
      </c>
      <c r="V180" s="32">
        <f>-(V120-U120)</f>
        <v>-8284.0317022122963</v>
      </c>
      <c r="W180" s="53">
        <f t="shared" ref="W180:W186" si="202">SUM(S180:V180)</f>
        <v>-1625.4309168020773</v>
      </c>
      <c r="X180" s="51">
        <f>-(X120-W120)</f>
        <v>2808.2797367669518</v>
      </c>
      <c r="Y180" s="32">
        <f>-(Y120-X120)</f>
        <v>4114.969413965242</v>
      </c>
      <c r="Z180" s="32">
        <f>-(Z120-Y120)</f>
        <v>385.15332516069793</v>
      </c>
      <c r="AA180" s="32">
        <f>-(AA120-Z120)</f>
        <v>-8487.8805405012336</v>
      </c>
      <c r="AB180" s="53">
        <f t="shared" ref="AB180:AB186" si="203">SUM(X180:AA180)</f>
        <v>-1179.4780646083418</v>
      </c>
      <c r="AC180" s="51">
        <f>-(AC120-AB120)</f>
        <v>2917.4917696849989</v>
      </c>
      <c r="AD180" s="32">
        <f>-(AD120-AC120)</f>
        <v>5057.8796003865173</v>
      </c>
      <c r="AE180" s="32">
        <f>-(AE120-AD120)</f>
        <v>329.01743921659181</v>
      </c>
      <c r="AF180" s="32">
        <f>-(AF120-AE120)</f>
        <v>-8637.8389760185</v>
      </c>
      <c r="AG180" s="53">
        <f t="shared" ref="AG180:AG186" si="204">SUM(AC180:AF180)</f>
        <v>-333.45016673039208</v>
      </c>
      <c r="AH180" s="51">
        <f>-(AH120-AG120)</f>
        <v>3164.923418266033</v>
      </c>
      <c r="AI180" s="32">
        <f>-(AI120-AH120)</f>
        <v>4803.1054479067716</v>
      </c>
      <c r="AJ180" s="32">
        <f>-(AJ120-AI120)</f>
        <v>461.09998917037592</v>
      </c>
      <c r="AK180" s="32">
        <f>-(AK120-AJ120)</f>
        <v>-8648.8832449830079</v>
      </c>
      <c r="AL180" s="53">
        <f t="shared" ref="AL180:AL186" si="205">SUM(AH180:AK180)</f>
        <v>-219.75438963982742</v>
      </c>
    </row>
    <row r="181" spans="2:38" outlineLevel="1" x14ac:dyDescent="0.3">
      <c r="B181" s="389" t="s">
        <v>9</v>
      </c>
      <c r="C181" s="368"/>
      <c r="D181" s="51">
        <v>-580</v>
      </c>
      <c r="E181" s="32">
        <f>-778-D181</f>
        <v>-198</v>
      </c>
      <c r="F181" s="32">
        <f>-1014-E181-D181</f>
        <v>-236</v>
      </c>
      <c r="G181" s="32">
        <f>-2723-F181-E181-D181</f>
        <v>-1709</v>
      </c>
      <c r="H181" s="53">
        <f t="shared" si="201"/>
        <v>-2723</v>
      </c>
      <c r="I181" s="51">
        <v>434</v>
      </c>
      <c r="J181" s="32">
        <f>-2807-I181</f>
        <v>-3241</v>
      </c>
      <c r="K181" s="32">
        <f>-1114-J181-I181</f>
        <v>1693</v>
      </c>
      <c r="L181" s="32">
        <f>828-K181-J181-I181</f>
        <v>1942</v>
      </c>
      <c r="M181" s="53">
        <f t="shared" si="200"/>
        <v>828</v>
      </c>
      <c r="N181" s="51">
        <v>-1076</v>
      </c>
      <c r="O181" s="32">
        <f>-1006-N181</f>
        <v>70</v>
      </c>
      <c r="P181" s="32">
        <f>-(P121-O121)</f>
        <v>247.0549498102373</v>
      </c>
      <c r="Q181" s="32">
        <f>-(Q121-P121)</f>
        <v>70.330194194692922</v>
      </c>
      <c r="R181" s="53">
        <f t="shared" si="195"/>
        <v>-688.61485599506977</v>
      </c>
      <c r="S181" s="51">
        <f>-(S121-R121)</f>
        <v>-143.30266480331466</v>
      </c>
      <c r="T181" s="32">
        <f>-(T121-S121)</f>
        <v>-1453.8485015105971</v>
      </c>
      <c r="U181" s="32">
        <f>-(U121-T121)</f>
        <v>649.52905726390418</v>
      </c>
      <c r="V181" s="32">
        <f>-(V121-U121)</f>
        <v>1112.6689821243481</v>
      </c>
      <c r="W181" s="53">
        <f t="shared" si="202"/>
        <v>165.04687307434051</v>
      </c>
      <c r="X181" s="51">
        <f>-(X121-W121)</f>
        <v>-744.05923341297057</v>
      </c>
      <c r="Y181" s="32">
        <f>-(Y121-X121)</f>
        <v>-678.85182169059408</v>
      </c>
      <c r="Z181" s="32">
        <f>-(Z121-Y121)</f>
        <v>470.84745462583487</v>
      </c>
      <c r="AA181" s="32">
        <f>-(AA121-Z121)</f>
        <v>445.00939636979547</v>
      </c>
      <c r="AB181" s="53">
        <f t="shared" si="203"/>
        <v>-507.05420410793431</v>
      </c>
      <c r="AC181" s="51">
        <f>-(AC121-AB121)</f>
        <v>-262.4584763313751</v>
      </c>
      <c r="AD181" s="32">
        <f>-(AD121-AC121)</f>
        <v>-1107.7062174627235</v>
      </c>
      <c r="AE181" s="32">
        <f>-(AE121-AD121)</f>
        <v>652.12878926921076</v>
      </c>
      <c r="AF181" s="32">
        <f>-(AF121-AE121)</f>
        <v>778.6333508538537</v>
      </c>
      <c r="AG181" s="53">
        <f t="shared" si="204"/>
        <v>60.597446328965816</v>
      </c>
      <c r="AH181" s="51">
        <f>-(AH121-AG121)</f>
        <v>-490.53122379704564</v>
      </c>
      <c r="AI181" s="32">
        <f>-(AI121-AH121)</f>
        <v>-910.85522653572843</v>
      </c>
      <c r="AJ181" s="32">
        <f>-(AJ121-AI121)</f>
        <v>591.26475163379473</v>
      </c>
      <c r="AK181" s="32">
        <f>-(AK121-AJ121)</f>
        <v>635.73349133875399</v>
      </c>
      <c r="AL181" s="53">
        <f t="shared" si="205"/>
        <v>-174.38820736022535</v>
      </c>
    </row>
    <row r="182" spans="2:38" outlineLevel="1" x14ac:dyDescent="0.3">
      <c r="B182" s="389" t="s">
        <v>95</v>
      </c>
      <c r="C182" s="368"/>
      <c r="D182" s="51">
        <v>-375</v>
      </c>
      <c r="E182" s="32">
        <f>4512-D182</f>
        <v>4887</v>
      </c>
      <c r="F182" s="32">
        <f>3312-E182-D182</f>
        <v>-1200</v>
      </c>
      <c r="G182" s="32">
        <f>-4254-F182-E182-D182</f>
        <v>-7566</v>
      </c>
      <c r="H182" s="53">
        <f t="shared" si="201"/>
        <v>-4254</v>
      </c>
      <c r="I182" s="51">
        <v>-9660</v>
      </c>
      <c r="J182" s="32">
        <f>9715-I182</f>
        <v>19375</v>
      </c>
      <c r="K182" s="32">
        <f>5536-J182-I182</f>
        <v>-4179</v>
      </c>
      <c r="L182" s="32">
        <f>-8010-K182-J182-I182</f>
        <v>-13546</v>
      </c>
      <c r="M182" s="53">
        <f t="shared" si="200"/>
        <v>-8010</v>
      </c>
      <c r="N182" s="51">
        <v>6905</v>
      </c>
      <c r="O182" s="32">
        <f>14616-N182</f>
        <v>7711</v>
      </c>
      <c r="P182" s="32">
        <f>-(P123-O123)</f>
        <v>-1163.4720986618104</v>
      </c>
      <c r="Q182" s="32">
        <f>-(Q123-P123)</f>
        <v>-10265.094050015881</v>
      </c>
      <c r="R182" s="53">
        <f t="shared" si="195"/>
        <v>3187.4338513223083</v>
      </c>
      <c r="S182" s="51">
        <f>-(S123-R123)</f>
        <v>12.931014226756815</v>
      </c>
      <c r="T182" s="32">
        <f>-(T123-S123)</f>
        <v>12984.883217085275</v>
      </c>
      <c r="U182" s="32">
        <f>-(U123-T123)</f>
        <v>-3426.919034275119</v>
      </c>
      <c r="V182" s="32">
        <f>-(V123-U123)</f>
        <v>-12029.396498606227</v>
      </c>
      <c r="W182" s="53">
        <f t="shared" si="202"/>
        <v>-2458.5013015693148</v>
      </c>
      <c r="X182" s="51">
        <f>-(X123-W123)</f>
        <v>3177.8697373095129</v>
      </c>
      <c r="Y182" s="32">
        <f>-(Y123-X123)</f>
        <v>10893.009991649957</v>
      </c>
      <c r="Z182" s="32">
        <f>-(Z123-Y123)</f>
        <v>-2461.0917489547028</v>
      </c>
      <c r="AA182" s="32">
        <f>-(AA123-Z123)</f>
        <v>-12625.897836851931</v>
      </c>
      <c r="AB182" s="53">
        <f t="shared" si="203"/>
        <v>-1016.1098568471643</v>
      </c>
      <c r="AC182" s="51">
        <f>-(AC123-AB123)</f>
        <v>2735.5783945768635</v>
      </c>
      <c r="AD182" s="32">
        <f>-(AD123-AC123)</f>
        <v>12573.976337932432</v>
      </c>
      <c r="AE182" s="32">
        <f>-(AE123-AD123)</f>
        <v>-2950.8573718609059</v>
      </c>
      <c r="AF182" s="32">
        <f>-(AF123-AE123)</f>
        <v>-12949.633739078943</v>
      </c>
      <c r="AG182" s="53">
        <f t="shared" si="204"/>
        <v>-590.9363784305533</v>
      </c>
      <c r="AH182" s="51">
        <f>-(AH123-AG123)</f>
        <v>3280.3971041446312</v>
      </c>
      <c r="AI182" s="32">
        <f>-(AI123-AH123)</f>
        <v>12145.531093712274</v>
      </c>
      <c r="AJ182" s="32">
        <f>-(AJ123-AI123)</f>
        <v>-2764.3513719688726</v>
      </c>
      <c r="AK182" s="32">
        <f>-(AK123-AJ123)</f>
        <v>-13145.549733783153</v>
      </c>
      <c r="AL182" s="53">
        <f t="shared" si="205"/>
        <v>-483.97290789512044</v>
      </c>
    </row>
    <row r="183" spans="2:38" outlineLevel="1" x14ac:dyDescent="0.3">
      <c r="B183" s="389" t="s">
        <v>113</v>
      </c>
      <c r="C183" s="368"/>
      <c r="D183" s="51">
        <v>-1446</v>
      </c>
      <c r="E183" s="32">
        <f>-896-D183</f>
        <v>550</v>
      </c>
      <c r="F183" s="32">
        <f>-3229-E183-D183</f>
        <v>-2333</v>
      </c>
      <c r="G183" s="32">
        <f>-5318-F183-E183-D183</f>
        <v>-2089</v>
      </c>
      <c r="H183" s="53">
        <f t="shared" si="201"/>
        <v>-5318</v>
      </c>
      <c r="I183" s="51">
        <v>-197</v>
      </c>
      <c r="J183" s="32">
        <f>-1053-I183</f>
        <v>-856</v>
      </c>
      <c r="K183" s="32">
        <f>-65-J183-I183</f>
        <v>988</v>
      </c>
      <c r="L183" s="32">
        <f>-423-K183-J183-I183</f>
        <v>-358</v>
      </c>
      <c r="M183" s="53">
        <f t="shared" si="200"/>
        <v>-423</v>
      </c>
      <c r="N183" s="51">
        <v>-886</v>
      </c>
      <c r="O183" s="32">
        <f>-717-N183</f>
        <v>169</v>
      </c>
      <c r="P183" s="32">
        <f>-(P122-O122)-(P124-O124)-(P130-O130)</f>
        <v>-1138.5505953666016</v>
      </c>
      <c r="Q183" s="32">
        <f>-(Q122-P122)-(Q124-P124)-(Q130-P130)</f>
        <v>-302.94322979324352</v>
      </c>
      <c r="R183" s="53">
        <f t="shared" si="195"/>
        <v>-2158.4938251598451</v>
      </c>
      <c r="S183" s="51">
        <f>-(S122-R122)-(S124-R124)-(S130-R130)</f>
        <v>-1066.0900160033198</v>
      </c>
      <c r="T183" s="32">
        <f>-(T122-S122)-(T124-S124)-(T130-S130)</f>
        <v>-392.69664568484404</v>
      </c>
      <c r="U183" s="32">
        <f>-(U122-T122)-(U124-T124)-(U130-T130)</f>
        <v>-1197.3901799580799</v>
      </c>
      <c r="V183" s="32">
        <f>-(V122-U122)-(V124-U124)-(V130-U130)</f>
        <v>-359.46707593484462</v>
      </c>
      <c r="W183" s="53">
        <f t="shared" si="202"/>
        <v>-3015.6439175810883</v>
      </c>
      <c r="X183" s="51">
        <f>-(X122-W122)-(X124-W124)-(X130-W130)</f>
        <v>-1126.8247432991866</v>
      </c>
      <c r="Y183" s="32">
        <f>-(Y122-X122)-(Y124-X124)-(Y130-X130)</f>
        <v>-451.81944265231323</v>
      </c>
      <c r="Z183" s="32">
        <f>-(Z122-Y122)-(Z124-Y124)-(Z130-Y130)</f>
        <v>-1260.9375768877089</v>
      </c>
      <c r="AA183" s="32">
        <f>-(AA122-Z122)-(AA124-Z124)-(AA130-Z130)</f>
        <v>-420.77868041665897</v>
      </c>
      <c r="AB183" s="53">
        <f t="shared" si="203"/>
        <v>-3260.3604432558677</v>
      </c>
      <c r="AC183" s="51">
        <f>-(AC122-AB122)-(AC124-AB124)-(AC130-AB130)</f>
        <v>-1192.4555175079695</v>
      </c>
      <c r="AD183" s="32">
        <f>-(AD122-AC122)-(AD124-AC124)-(AD130-AC130)</f>
        <v>-515.92470663073982</v>
      </c>
      <c r="AE183" s="32">
        <f>-(AE122-AD122)-(AE124-AD124)-(AE130-AD130)</f>
        <v>-1329.580281653778</v>
      </c>
      <c r="AF183" s="32">
        <f>-(AF122-AE122)-(AF124-AE124)-(AF130-AE130)</f>
        <v>-487.273230828956</v>
      </c>
      <c r="AG183" s="53">
        <f t="shared" si="204"/>
        <v>-3525.2337366214433</v>
      </c>
      <c r="AH183" s="51">
        <f>-(AH122-AG122)-(AH124-AG124)-(AH130-AG130)</f>
        <v>-1263.3854809670956</v>
      </c>
      <c r="AI183" s="32">
        <f>-(AI122-AH122)-(AI124-AH124)-(AI130-AH130)</f>
        <v>-585.42359601020507</v>
      </c>
      <c r="AJ183" s="32">
        <f>-(AJ122-AI122)-(AJ124-AI124)-(AJ130-AI130)</f>
        <v>-1403.7377294870748</v>
      </c>
      <c r="AK183" s="32">
        <f>-(AK122-AJ122)-(AK124-AJ124)-(AK130-AJ130)</f>
        <v>-559.37849305390955</v>
      </c>
      <c r="AL183" s="53">
        <f t="shared" si="205"/>
        <v>-3811.9252995182851</v>
      </c>
    </row>
    <row r="184" spans="2:38" outlineLevel="1" x14ac:dyDescent="0.3">
      <c r="B184" s="389" t="s">
        <v>85</v>
      </c>
      <c r="C184" s="368"/>
      <c r="D184" s="51">
        <v>2460</v>
      </c>
      <c r="E184" s="32">
        <f>-6862-D184</f>
        <v>-9322</v>
      </c>
      <c r="F184" s="32">
        <f>-5212-E184-D184</f>
        <v>1650</v>
      </c>
      <c r="G184" s="32">
        <f>9618-F184-E184-D184</f>
        <v>14830</v>
      </c>
      <c r="H184" s="53">
        <f t="shared" si="201"/>
        <v>9618</v>
      </c>
      <c r="I184" s="51">
        <v>14588</v>
      </c>
      <c r="J184" s="32">
        <f>-13220-I184</f>
        <v>-27808</v>
      </c>
      <c r="K184" s="32">
        <f>-11139-J184-I184</f>
        <v>2081</v>
      </c>
      <c r="L184" s="32">
        <f>9175-K184-J184-I184</f>
        <v>20314</v>
      </c>
      <c r="M184" s="53">
        <f t="shared" si="200"/>
        <v>9175</v>
      </c>
      <c r="N184" s="51">
        <v>-8501</v>
      </c>
      <c r="O184" s="32">
        <f>-20024-N184</f>
        <v>-11523</v>
      </c>
      <c r="P184" s="32">
        <f>P133-O133</f>
        <v>8215.5417423741164</v>
      </c>
      <c r="Q184" s="32">
        <f>Q133-P133</f>
        <v>16861.746741301416</v>
      </c>
      <c r="R184" s="53">
        <f t="shared" si="195"/>
        <v>5053.2884836755329</v>
      </c>
      <c r="S184" s="51">
        <f>S133-R133</f>
        <v>-3017.703548823607</v>
      </c>
      <c r="T184" s="32">
        <f>T133-S133</f>
        <v>-19279.608682819075</v>
      </c>
      <c r="U184" s="32">
        <f>U133-T133</f>
        <v>7672.4263035673212</v>
      </c>
      <c r="V184" s="32">
        <f>V133-U133</f>
        <v>16998.375273883525</v>
      </c>
      <c r="W184" s="53">
        <f t="shared" si="202"/>
        <v>2373.4893458081642</v>
      </c>
      <c r="X184" s="51">
        <f>X133-W133</f>
        <v>-6787.3802476825585</v>
      </c>
      <c r="Y184" s="32">
        <f>Y133-X133</f>
        <v>-17209.487927594048</v>
      </c>
      <c r="Z184" s="32">
        <f>Z133-Y133</f>
        <v>8279.7302653494698</v>
      </c>
      <c r="AA184" s="32">
        <f>AA133-Z133</f>
        <v>19956.982315746085</v>
      </c>
      <c r="AB184" s="53">
        <f t="shared" si="203"/>
        <v>4239.8444058189489</v>
      </c>
      <c r="AC184" s="51">
        <f>AC133-AB133</f>
        <v>-7749.6393645658827</v>
      </c>
      <c r="AD184" s="32">
        <f>AD133-AC133</f>
        <v>-19178.98872017234</v>
      </c>
      <c r="AE184" s="32">
        <f>AE133-AD133</f>
        <v>7825.4020929824619</v>
      </c>
      <c r="AF184" s="32">
        <f>AF133-AE133</f>
        <v>19539.063847860059</v>
      </c>
      <c r="AG184" s="53">
        <f t="shared" si="204"/>
        <v>435.83785610429914</v>
      </c>
      <c r="AH184" s="51">
        <f>AH133-AG133</f>
        <v>-8014.121658319571</v>
      </c>
      <c r="AI184" s="32">
        <f>AI133-AH133</f>
        <v>-18847.034598794016</v>
      </c>
      <c r="AJ184" s="32">
        <f>AJ133-AI133</f>
        <v>8215.6329450115809</v>
      </c>
      <c r="AK184" s="32">
        <f>AK133-AJ133</f>
        <v>20273.954133182764</v>
      </c>
      <c r="AL184" s="53">
        <f t="shared" si="205"/>
        <v>1628.4308210807576</v>
      </c>
    </row>
    <row r="185" spans="2:38" outlineLevel="1" x14ac:dyDescent="0.3">
      <c r="B185" s="389" t="s">
        <v>86</v>
      </c>
      <c r="C185" s="368"/>
      <c r="D185" s="51">
        <v>42</v>
      </c>
      <c r="E185" s="32">
        <f>-221-D185</f>
        <v>-263</v>
      </c>
      <c r="F185" s="32">
        <f>-418-E185-D185</f>
        <v>-197</v>
      </c>
      <c r="G185" s="32">
        <f>-626-F185-E185-D185</f>
        <v>-208</v>
      </c>
      <c r="H185" s="53">
        <f t="shared" si="201"/>
        <v>-626</v>
      </c>
      <c r="I185" s="51">
        <v>791</v>
      </c>
      <c r="J185" s="32">
        <f>478-I185</f>
        <v>-313</v>
      </c>
      <c r="K185" s="32">
        <f>-103-J185-I185</f>
        <v>-581</v>
      </c>
      <c r="L185" s="32">
        <f>-44-K185-J185-I185</f>
        <v>59</v>
      </c>
      <c r="M185" s="53">
        <f t="shared" si="200"/>
        <v>-44</v>
      </c>
      <c r="N185" s="51">
        <v>-370</v>
      </c>
      <c r="O185" s="32">
        <f>-540-N185</f>
        <v>-170</v>
      </c>
      <c r="P185" s="32">
        <f>P135-O135</f>
        <v>463.28870620024827</v>
      </c>
      <c r="Q185" s="32">
        <f>Q135-P135</f>
        <v>264.40291961816092</v>
      </c>
      <c r="R185" s="53">
        <f t="shared" si="195"/>
        <v>187.69162581840919</v>
      </c>
      <c r="S185" s="51">
        <f>S135-R135</f>
        <v>-365.10204339864322</v>
      </c>
      <c r="T185" s="32">
        <f>T135-S135</f>
        <v>158.49846145673655</v>
      </c>
      <c r="U185" s="32">
        <f>U135-T135</f>
        <v>153.34869413779415</v>
      </c>
      <c r="V185" s="32">
        <f>V135-U135</f>
        <v>83.059025695369201</v>
      </c>
      <c r="W185" s="53">
        <f t="shared" si="202"/>
        <v>29.804137891256687</v>
      </c>
      <c r="X185" s="51">
        <f>X135-W135</f>
        <v>32.810764287966776</v>
      </c>
      <c r="Y185" s="32">
        <f>Y135-X135</f>
        <v>110.03704587388984</v>
      </c>
      <c r="Z185" s="32">
        <f>Z135-Y135</f>
        <v>92.873398276928128</v>
      </c>
      <c r="AA185" s="32">
        <f>AA135-Z135</f>
        <v>86.230143347877856</v>
      </c>
      <c r="AB185" s="53">
        <f t="shared" si="203"/>
        <v>321.9513517866626</v>
      </c>
      <c r="AC185" s="51">
        <f>AC135-AB135</f>
        <v>44.899699394910385</v>
      </c>
      <c r="AD185" s="32">
        <f>AD135-AC135</f>
        <v>38.546761828856688</v>
      </c>
      <c r="AE185" s="32">
        <f>AE135-AD135</f>
        <v>19.831603653519778</v>
      </c>
      <c r="AF185" s="32">
        <f>AF135-AE135</f>
        <v>11.508757132327446</v>
      </c>
      <c r="AG185" s="53">
        <f t="shared" si="204"/>
        <v>114.7868220096143</v>
      </c>
      <c r="AH185" s="51">
        <f>AH135-AG135</f>
        <v>36.050434925300578</v>
      </c>
      <c r="AI185" s="32">
        <f>AI135-AH135</f>
        <v>22.625940950396398</v>
      </c>
      <c r="AJ185" s="32">
        <f>AJ135-AI135</f>
        <v>16.708381400308099</v>
      </c>
      <c r="AK185" s="32">
        <f>AK135-AJ135</f>
        <v>17.985967630391315</v>
      </c>
      <c r="AL185" s="53">
        <f t="shared" si="205"/>
        <v>93.37072490639639</v>
      </c>
    </row>
    <row r="186" spans="2:38" ht="16.2" outlineLevel="1" x14ac:dyDescent="0.45">
      <c r="B186" s="389" t="s">
        <v>96</v>
      </c>
      <c r="C186" s="368"/>
      <c r="D186" s="56">
        <v>1946</v>
      </c>
      <c r="E186" s="57">
        <f>316-D186</f>
        <v>-1630</v>
      </c>
      <c r="F186" s="57">
        <f>-2476-E186-D186</f>
        <v>-2792</v>
      </c>
      <c r="G186" s="57">
        <f>-154-F186-E186-D186</f>
        <v>2322</v>
      </c>
      <c r="H186" s="59">
        <f t="shared" si="201"/>
        <v>-154</v>
      </c>
      <c r="I186" s="56">
        <v>37549</v>
      </c>
      <c r="J186" s="57">
        <f>39158-I186</f>
        <v>1609</v>
      </c>
      <c r="K186" s="57">
        <f>37009-J186-I186</f>
        <v>-2149</v>
      </c>
      <c r="L186" s="57">
        <f>38490-K186-J186-I186</f>
        <v>1481</v>
      </c>
      <c r="M186" s="59">
        <f t="shared" si="200"/>
        <v>38490</v>
      </c>
      <c r="N186" s="56">
        <v>570</v>
      </c>
      <c r="O186" s="57">
        <f>-3273-N186</f>
        <v>-3843</v>
      </c>
      <c r="P186" s="57">
        <f>(P134-O134)+(P140-O140)</f>
        <v>-11365.529772207803</v>
      </c>
      <c r="Q186" s="57">
        <f>(Q134-P134)+(Q140-P140)</f>
        <v>6040.1607594475718</v>
      </c>
      <c r="R186" s="59">
        <f t="shared" si="195"/>
        <v>-8598.3690127602313</v>
      </c>
      <c r="S186" s="56">
        <f>(S134-R134)+(S140-R140)</f>
        <v>16317.017137538838</v>
      </c>
      <c r="T186" s="57">
        <f>(T134-S134)+(T140-S140)</f>
        <v>-3077.1606858555533</v>
      </c>
      <c r="U186" s="57">
        <f>(U134-T134)+(U140-T140)</f>
        <v>-12124.762258193594</v>
      </c>
      <c r="V186" s="57">
        <f>(V134-U134)+(V140-U140)</f>
        <v>6279.5960091805464</v>
      </c>
      <c r="W186" s="59">
        <f t="shared" si="202"/>
        <v>7394.6902026702373</v>
      </c>
      <c r="X186" s="56">
        <f>(X134-W134)+(X140-W140)</f>
        <v>17705.95324357909</v>
      </c>
      <c r="Y186" s="57">
        <f>(Y134-X134)+(Y140-X140)</f>
        <v>-3096.4077526166584</v>
      </c>
      <c r="Z186" s="57">
        <f>(Z134-Y134)+(Z140-Y140)</f>
        <v>-12849.963077917986</v>
      </c>
      <c r="AA186" s="57">
        <f>(AA134-Z134)+(AA140-Z140)</f>
        <v>6649.1954076696056</v>
      </c>
      <c r="AB186" s="59">
        <f t="shared" si="203"/>
        <v>8408.7778207140509</v>
      </c>
      <c r="AC186" s="56">
        <f>(AC134-AB134)+(AC140-AB140)</f>
        <v>17974.313288132435</v>
      </c>
      <c r="AD186" s="57">
        <f>(AD134-AC134)+(AD140-AC140)</f>
        <v>-3606.6440195934047</v>
      </c>
      <c r="AE186" s="57">
        <f>(AE134-AD134)+(AE140-AD140)</f>
        <v>-13492.06406258477</v>
      </c>
      <c r="AF186" s="57">
        <f>(AF134-AE134)+(AF140-AE140)</f>
        <v>6490.3323636012901</v>
      </c>
      <c r="AG186" s="59">
        <f t="shared" si="204"/>
        <v>7365.93756955555</v>
      </c>
      <c r="AH186" s="56">
        <f>(AH134-AG134)+(AH140-AG140)</f>
        <v>19831.75265336156</v>
      </c>
      <c r="AI186" s="57">
        <f>(AI134-AH134)+(AI140-AH140)</f>
        <v>-4111.7483055067787</v>
      </c>
      <c r="AJ186" s="57">
        <f>(AJ134-AI134)+(AJ140-AI140)</f>
        <v>-13913.01905679873</v>
      </c>
      <c r="AK186" s="57">
        <f>(AK134-AJ134)+(AK140-AJ140)</f>
        <v>6470.5890270662494</v>
      </c>
      <c r="AL186" s="59">
        <f t="shared" si="205"/>
        <v>8277.5743181223006</v>
      </c>
    </row>
    <row r="187" spans="2:38" outlineLevel="1" x14ac:dyDescent="0.3">
      <c r="B187" s="357" t="s">
        <v>28</v>
      </c>
      <c r="C187" s="358"/>
      <c r="D187" s="62">
        <f t="shared" ref="D187:AL187" si="206">D174+SUM(D175:D186)</f>
        <v>27056</v>
      </c>
      <c r="E187" s="63">
        <f t="shared" si="206"/>
        <v>12523</v>
      </c>
      <c r="F187" s="63">
        <f t="shared" si="206"/>
        <v>8363</v>
      </c>
      <c r="G187" s="63">
        <f t="shared" si="206"/>
        <v>15656</v>
      </c>
      <c r="H187" s="64">
        <f t="shared" si="206"/>
        <v>63598</v>
      </c>
      <c r="I187" s="62">
        <f t="shared" si="206"/>
        <v>28293</v>
      </c>
      <c r="J187" s="63">
        <f t="shared" si="206"/>
        <v>15130</v>
      </c>
      <c r="K187" s="63">
        <f t="shared" si="206"/>
        <v>14488</v>
      </c>
      <c r="L187" s="63">
        <f t="shared" si="206"/>
        <v>19523</v>
      </c>
      <c r="M187" s="64">
        <f t="shared" si="206"/>
        <v>77434</v>
      </c>
      <c r="N187" s="62">
        <f t="shared" si="206"/>
        <v>26690</v>
      </c>
      <c r="O187" s="63">
        <f t="shared" si="206"/>
        <v>11155</v>
      </c>
      <c r="P187" s="63">
        <f t="shared" si="206"/>
        <v>10030.492638638634</v>
      </c>
      <c r="Q187" s="63">
        <f t="shared" si="206"/>
        <v>22096.784406473409</v>
      </c>
      <c r="R187" s="64">
        <f t="shared" si="206"/>
        <v>69972.27704511206</v>
      </c>
      <c r="S187" s="62">
        <f t="shared" si="206"/>
        <v>37633.412901028649</v>
      </c>
      <c r="T187" s="63">
        <f t="shared" si="206"/>
        <v>11564.864868907211</v>
      </c>
      <c r="U187" s="63">
        <f t="shared" si="206"/>
        <v>7156.9287633949934</v>
      </c>
      <c r="V187" s="63">
        <f t="shared" si="206"/>
        <v>21996.300496492186</v>
      </c>
      <c r="W187" s="64">
        <f t="shared" si="206"/>
        <v>78351.507029822998</v>
      </c>
      <c r="X187" s="62">
        <f t="shared" si="206"/>
        <v>42274.11715817127</v>
      </c>
      <c r="Y187" s="63">
        <f t="shared" si="206"/>
        <v>12974.77115511434</v>
      </c>
      <c r="Z187" s="63">
        <f t="shared" si="206"/>
        <v>10220.923787366573</v>
      </c>
      <c r="AA187" s="63">
        <f t="shared" si="206"/>
        <v>25162.117273221211</v>
      </c>
      <c r="AB187" s="64">
        <f t="shared" si="206"/>
        <v>90631.92937387334</v>
      </c>
      <c r="AC187" s="62">
        <f t="shared" si="206"/>
        <v>42935.816498157728</v>
      </c>
      <c r="AD187" s="63">
        <f t="shared" si="206"/>
        <v>13306.709229970857</v>
      </c>
      <c r="AE187" s="63">
        <f t="shared" si="206"/>
        <v>9298.4814113042976</v>
      </c>
      <c r="AF187" s="63">
        <f t="shared" si="206"/>
        <v>25155.509151659691</v>
      </c>
      <c r="AG187" s="64">
        <f t="shared" si="206"/>
        <v>90696.516291092572</v>
      </c>
      <c r="AH187" s="62">
        <f t="shared" si="206"/>
        <v>45150.274353534762</v>
      </c>
      <c r="AI187" s="63">
        <f t="shared" si="206"/>
        <v>12590.803491186425</v>
      </c>
      <c r="AJ187" s="63">
        <f t="shared" si="206"/>
        <v>9316.9377570437573</v>
      </c>
      <c r="AK187" s="63">
        <f t="shared" si="206"/>
        <v>25114.016383061513</v>
      </c>
      <c r="AL187" s="64">
        <f t="shared" si="206"/>
        <v>92172.031984826433</v>
      </c>
    </row>
    <row r="188" spans="2:38" outlineLevel="1" x14ac:dyDescent="0.3">
      <c r="B188" s="391" t="s">
        <v>29</v>
      </c>
      <c r="C188" s="392"/>
      <c r="D188" s="51"/>
      <c r="E188" s="32"/>
      <c r="F188" s="32"/>
      <c r="G188" s="32"/>
      <c r="H188" s="53"/>
      <c r="I188" s="51"/>
      <c r="J188" s="32"/>
      <c r="K188" s="32"/>
      <c r="L188" s="32"/>
      <c r="M188" s="53"/>
      <c r="N188" s="51"/>
      <c r="O188" s="32"/>
      <c r="P188" s="32"/>
      <c r="Q188" s="32"/>
      <c r="R188" s="53"/>
      <c r="S188" s="51"/>
      <c r="T188" s="32"/>
      <c r="U188" s="32"/>
      <c r="V188" s="32"/>
      <c r="W188" s="53"/>
      <c r="X188" s="51"/>
      <c r="Y188" s="32"/>
      <c r="Z188" s="32"/>
      <c r="AA188" s="32"/>
      <c r="AB188" s="53"/>
      <c r="AC188" s="51"/>
      <c r="AD188" s="32"/>
      <c r="AE188" s="32"/>
      <c r="AF188" s="32"/>
      <c r="AG188" s="53"/>
      <c r="AH188" s="51"/>
      <c r="AI188" s="32"/>
      <c r="AJ188" s="32"/>
      <c r="AK188" s="32"/>
      <c r="AL188" s="53"/>
    </row>
    <row r="189" spans="2:38" outlineLevel="1" x14ac:dyDescent="0.3">
      <c r="B189" s="389" t="s">
        <v>97</v>
      </c>
      <c r="C189" s="368"/>
      <c r="D189" s="51">
        <v>-54272</v>
      </c>
      <c r="E189" s="32">
        <f>-99821-D189</f>
        <v>-45549</v>
      </c>
      <c r="F189" s="32">
        <f>-123781-E189-D189</f>
        <v>-23960</v>
      </c>
      <c r="G189" s="32">
        <f>-159486-F189-E189-D189</f>
        <v>-35705</v>
      </c>
      <c r="H189" s="53">
        <f t="shared" ref="H189:H195" si="207">SUM(D189:G189)</f>
        <v>-159486</v>
      </c>
      <c r="I189" s="51">
        <v>-41272</v>
      </c>
      <c r="J189" s="32">
        <f>-48449-I189</f>
        <v>-7177</v>
      </c>
      <c r="K189" s="32">
        <f>-56133-J189-I189</f>
        <v>-7684</v>
      </c>
      <c r="L189" s="32">
        <f>-71356-K189-J189-I189</f>
        <v>-15223</v>
      </c>
      <c r="M189" s="53">
        <f t="shared" ref="M189:M195" si="208">SUM(I189:L189)</f>
        <v>-71356</v>
      </c>
      <c r="N189" s="51">
        <v>-7077</v>
      </c>
      <c r="O189" s="32">
        <f>-13854-N189</f>
        <v>-6777</v>
      </c>
      <c r="P189" s="32">
        <f>-(P119-O119)-(P126-O126)</f>
        <v>3824.0463799153149</v>
      </c>
      <c r="Q189" s="32">
        <f>-(Q119-P119)-(Q126-P126)</f>
        <v>-13645.088389690834</v>
      </c>
      <c r="R189" s="53">
        <f t="shared" ref="R189:R195" si="209">SUM(N189:Q189)</f>
        <v>-23675.04200977552</v>
      </c>
      <c r="S189" s="51">
        <f>-(S119-R119)-(S126-R126)</f>
        <v>-20677.137649376476</v>
      </c>
      <c r="T189" s="32">
        <f>-(T119-S119)-(T126-S126)</f>
        <v>5654.8021062202024</v>
      </c>
      <c r="U189" s="32">
        <f>-(U119-T119)-(U126-T126)</f>
        <v>-604.69290284864837</v>
      </c>
      <c r="V189" s="32">
        <f>-(V119-U119)-(V126-U126)</f>
        <v>-19637.714400133744</v>
      </c>
      <c r="W189" s="53">
        <f t="shared" ref="W189:W195" si="210">SUM(S189:V189)</f>
        <v>-35264.742846138666</v>
      </c>
      <c r="X189" s="51">
        <f>-(X119-W119)-(X126-W126)</f>
        <v>-21929.533160320294</v>
      </c>
      <c r="Y189" s="32">
        <f>-(Y119-X119)-(Y126-X126)</f>
        <v>2505.1579500849402</v>
      </c>
      <c r="Z189" s="32">
        <f>-(Z119-Y119)-(Z126-Y126)</f>
        <v>-2532.9802267874693</v>
      </c>
      <c r="AA189" s="32">
        <f>-(AA119-Z119)-(AA126-Z126)</f>
        <v>-22741.959073896047</v>
      </c>
      <c r="AB189" s="53">
        <f t="shared" ref="AB189:AB195" si="211">SUM(X189:AA189)</f>
        <v>-44699.31451091887</v>
      </c>
      <c r="AC189" s="51">
        <f>-(AC119-AB119)-(AC126-AB126)</f>
        <v>-21731.883463416169</v>
      </c>
      <c r="AD189" s="32">
        <f>-(AD119-AC119)-(AD126-AC126)</f>
        <v>4269.9970112596493</v>
      </c>
      <c r="AE189" s="32">
        <f>-(AE119-AD119)-(AE126-AD126)</f>
        <v>-1415.0425105059985</v>
      </c>
      <c r="AF189" s="32">
        <f>-(AF119-AE119)-(AF126-AE126)</f>
        <v>-22022.461151254145</v>
      </c>
      <c r="AG189" s="53">
        <f t="shared" ref="AG189:AG195" si="212">SUM(AC189:AF189)</f>
        <v>-40899.390113916663</v>
      </c>
      <c r="AH189" s="51">
        <f>-(AH119-AG119)-(AH126-AG126)</f>
        <v>-21732.181581700133</v>
      </c>
      <c r="AI189" s="32">
        <f>-(AI119-AH119)-(AI126-AH126)</f>
        <v>5181.0488202260312</v>
      </c>
      <c r="AJ189" s="32">
        <f>-(AJ119-AI119)-(AJ126-AI126)</f>
        <v>-452.33648032350175</v>
      </c>
      <c r="AK189" s="32">
        <f>-(AK119-AJ119)-(AK126-AJ126)</f>
        <v>-21206.915501352632</v>
      </c>
      <c r="AL189" s="53">
        <f t="shared" ref="AL189:AL195" si="213">SUM(AH189:AK189)</f>
        <v>-38210.384743150236</v>
      </c>
    </row>
    <row r="190" spans="2:38" outlineLevel="1" x14ac:dyDescent="0.3">
      <c r="B190" s="389" t="s">
        <v>98</v>
      </c>
      <c r="C190" s="368"/>
      <c r="D190" s="51">
        <v>6525</v>
      </c>
      <c r="E190" s="32">
        <f>12429-D190</f>
        <v>5904</v>
      </c>
      <c r="F190" s="32">
        <f>19347-E190-D190</f>
        <v>6918</v>
      </c>
      <c r="G190" s="32">
        <f>31775-F190-E190-D190</f>
        <v>12428</v>
      </c>
      <c r="H190" s="53">
        <f t="shared" si="207"/>
        <v>31775</v>
      </c>
      <c r="I190" s="51">
        <v>14048</v>
      </c>
      <c r="J190" s="32">
        <f>31884-I190</f>
        <v>17836</v>
      </c>
      <c r="K190" s="32">
        <f>46290-J190-I190</f>
        <v>14406</v>
      </c>
      <c r="L190" s="32">
        <f>55881-K190-J190-I190</f>
        <v>9591</v>
      </c>
      <c r="M190" s="53">
        <f t="shared" si="208"/>
        <v>55881</v>
      </c>
      <c r="N190" s="51">
        <v>7203</v>
      </c>
      <c r="O190" s="32">
        <f>16880-N190</f>
        <v>9677</v>
      </c>
      <c r="P190" s="32"/>
      <c r="Q190" s="32"/>
      <c r="R190" s="53">
        <f t="shared" si="209"/>
        <v>16880</v>
      </c>
      <c r="S190" s="51"/>
      <c r="T190" s="32"/>
      <c r="U190" s="32"/>
      <c r="V190" s="32"/>
      <c r="W190" s="53">
        <f t="shared" si="210"/>
        <v>0</v>
      </c>
      <c r="X190" s="51"/>
      <c r="Y190" s="32"/>
      <c r="Z190" s="32"/>
      <c r="AA190" s="32"/>
      <c r="AB190" s="53">
        <f t="shared" si="211"/>
        <v>0</v>
      </c>
      <c r="AC190" s="51"/>
      <c r="AD190" s="32"/>
      <c r="AE190" s="32"/>
      <c r="AF190" s="32"/>
      <c r="AG190" s="53">
        <f t="shared" si="212"/>
        <v>0</v>
      </c>
      <c r="AH190" s="51"/>
      <c r="AI190" s="32"/>
      <c r="AJ190" s="32"/>
      <c r="AK190" s="32"/>
      <c r="AL190" s="53">
        <f t="shared" si="213"/>
        <v>0</v>
      </c>
    </row>
    <row r="191" spans="2:38" outlineLevel="1" x14ac:dyDescent="0.3">
      <c r="B191" s="389" t="s">
        <v>99</v>
      </c>
      <c r="C191" s="368"/>
      <c r="D191" s="51">
        <v>32166</v>
      </c>
      <c r="E191" s="32">
        <f>60454-D191</f>
        <v>28288</v>
      </c>
      <c r="F191" s="32">
        <f>76747-E191-D191</f>
        <v>16293</v>
      </c>
      <c r="G191" s="32">
        <f>94564-F191-E191-D191</f>
        <v>17817</v>
      </c>
      <c r="H191" s="53">
        <f t="shared" si="207"/>
        <v>94564</v>
      </c>
      <c r="I191" s="51">
        <v>16801</v>
      </c>
      <c r="J191" s="32">
        <f>38942-I191</f>
        <v>22141</v>
      </c>
      <c r="K191" s="32">
        <f>41614-J191-I191</f>
        <v>2672</v>
      </c>
      <c r="L191" s="32">
        <f>47838-K191-J191-I191</f>
        <v>6224</v>
      </c>
      <c r="M191" s="53">
        <f t="shared" si="208"/>
        <v>47838</v>
      </c>
      <c r="N191" s="51">
        <v>9723</v>
      </c>
      <c r="O191" s="32">
        <f>22635-N191</f>
        <v>12912</v>
      </c>
      <c r="P191" s="32"/>
      <c r="Q191" s="32"/>
      <c r="R191" s="53">
        <f t="shared" si="209"/>
        <v>22635</v>
      </c>
      <c r="S191" s="51"/>
      <c r="T191" s="32"/>
      <c r="U191" s="32"/>
      <c r="V191" s="32"/>
      <c r="W191" s="53">
        <f t="shared" si="210"/>
        <v>0</v>
      </c>
      <c r="X191" s="51"/>
      <c r="Y191" s="32"/>
      <c r="Z191" s="32"/>
      <c r="AA191" s="32"/>
      <c r="AB191" s="53">
        <f t="shared" si="211"/>
        <v>0</v>
      </c>
      <c r="AC191" s="51"/>
      <c r="AD191" s="32"/>
      <c r="AE191" s="32"/>
      <c r="AF191" s="32"/>
      <c r="AG191" s="53">
        <f t="shared" si="212"/>
        <v>0</v>
      </c>
      <c r="AH191" s="51"/>
      <c r="AI191" s="32"/>
      <c r="AJ191" s="32"/>
      <c r="AK191" s="32"/>
      <c r="AL191" s="53">
        <f t="shared" si="213"/>
        <v>0</v>
      </c>
    </row>
    <row r="192" spans="2:38" outlineLevel="1" x14ac:dyDescent="0.3">
      <c r="B192" s="389" t="s">
        <v>100</v>
      </c>
      <c r="C192" s="368"/>
      <c r="D192" s="51">
        <v>-17</v>
      </c>
      <c r="E192" s="32">
        <f>-67-D192</f>
        <v>-50</v>
      </c>
      <c r="F192" s="32">
        <f>-248-E192-D192</f>
        <v>-181</v>
      </c>
      <c r="G192" s="52">
        <f>-329-F192-E192-D192</f>
        <v>-81</v>
      </c>
      <c r="H192" s="53">
        <f t="shared" si="207"/>
        <v>-329</v>
      </c>
      <c r="I192" s="51">
        <v>-173</v>
      </c>
      <c r="J192" s="32">
        <f>-305-I192</f>
        <v>-132</v>
      </c>
      <c r="K192" s="32">
        <f>-431-J192-I192</f>
        <v>-126</v>
      </c>
      <c r="L192" s="52">
        <f>-721-K192-J192-I192</f>
        <v>-290</v>
      </c>
      <c r="M192" s="53">
        <f t="shared" si="208"/>
        <v>-721</v>
      </c>
      <c r="N192" s="51">
        <v>-167</v>
      </c>
      <c r="O192" s="32">
        <f>-291-N192</f>
        <v>-124</v>
      </c>
      <c r="P192" s="32"/>
      <c r="Q192" s="52"/>
      <c r="R192" s="53">
        <f t="shared" si="209"/>
        <v>-291</v>
      </c>
      <c r="S192" s="51"/>
      <c r="T192" s="32"/>
      <c r="U192" s="32"/>
      <c r="V192" s="52"/>
      <c r="W192" s="53">
        <f t="shared" si="210"/>
        <v>0</v>
      </c>
      <c r="X192" s="51"/>
      <c r="Y192" s="32"/>
      <c r="Z192" s="32"/>
      <c r="AA192" s="52"/>
      <c r="AB192" s="53">
        <f t="shared" si="211"/>
        <v>0</v>
      </c>
      <c r="AC192" s="51"/>
      <c r="AD192" s="32"/>
      <c r="AE192" s="32"/>
      <c r="AF192" s="52"/>
      <c r="AG192" s="53">
        <f t="shared" si="212"/>
        <v>0</v>
      </c>
      <c r="AH192" s="51"/>
      <c r="AI192" s="32"/>
      <c r="AJ192" s="32"/>
      <c r="AK192" s="52"/>
      <c r="AL192" s="53">
        <f t="shared" si="213"/>
        <v>0</v>
      </c>
    </row>
    <row r="193" spans="2:38" outlineLevel="1" x14ac:dyDescent="0.3">
      <c r="B193" s="389" t="s">
        <v>210</v>
      </c>
      <c r="C193" s="368"/>
      <c r="D193" s="51">
        <v>-3334</v>
      </c>
      <c r="E193" s="32">
        <f>-6309-D193</f>
        <v>-2975</v>
      </c>
      <c r="F193" s="32">
        <f>-8586-E193-D193</f>
        <v>-2277</v>
      </c>
      <c r="G193" s="32">
        <f>-12451-F193-E193-D193</f>
        <v>-3865</v>
      </c>
      <c r="H193" s="53">
        <f t="shared" si="207"/>
        <v>-12451</v>
      </c>
      <c r="I193" s="51">
        <v>-2810</v>
      </c>
      <c r="J193" s="32">
        <f>-7005-I193</f>
        <v>-4195</v>
      </c>
      <c r="K193" s="32">
        <f>-10272-J193-I193</f>
        <v>-3267</v>
      </c>
      <c r="L193" s="32">
        <f>-13313-K193-J193-I193</f>
        <v>-3041</v>
      </c>
      <c r="M193" s="53">
        <f t="shared" si="208"/>
        <v>-13313</v>
      </c>
      <c r="N193" s="51">
        <v>-3355</v>
      </c>
      <c r="O193" s="32">
        <f>-5718-N193</f>
        <v>-2363</v>
      </c>
      <c r="P193" s="32">
        <f>O193*(1+P230)</f>
        <v>-2953.75</v>
      </c>
      <c r="Q193" s="32">
        <f>P193*(1+Q230)</f>
        <v>-3692.1875</v>
      </c>
      <c r="R193" s="53">
        <f t="shared" si="209"/>
        <v>-12363.9375</v>
      </c>
      <c r="S193" s="51">
        <f>Q193*(1+S230)</f>
        <v>-3729.109375</v>
      </c>
      <c r="T193" s="32">
        <f>S193*(1+T230)</f>
        <v>-3356.1984375000002</v>
      </c>
      <c r="U193" s="32">
        <f>T193*(1+U230)</f>
        <v>-3188.3885156249999</v>
      </c>
      <c r="V193" s="32">
        <f>U193*(1+V230)</f>
        <v>-3220.2724007812499</v>
      </c>
      <c r="W193" s="53">
        <f t="shared" si="210"/>
        <v>-13493.968728906249</v>
      </c>
      <c r="X193" s="51">
        <f>V193*(1+X230)</f>
        <v>-3252.4751247890622</v>
      </c>
      <c r="Y193" s="32">
        <f>X193*(1+Y230)</f>
        <v>-3284.9998760369526</v>
      </c>
      <c r="Z193" s="32">
        <f>Y193*(1+Z230)</f>
        <v>-3317.8498747973222</v>
      </c>
      <c r="AA193" s="32">
        <f>Z193*(1+AA230)</f>
        <v>-3351.0283735452954</v>
      </c>
      <c r="AB193" s="53">
        <f t="shared" si="211"/>
        <v>-13206.353249168633</v>
      </c>
      <c r="AC193" s="51">
        <f>AA193*(1+AC230)</f>
        <v>-3384.5386572807483</v>
      </c>
      <c r="AD193" s="32">
        <f>AC193*(1+AD230)</f>
        <v>-3418.3840438535558</v>
      </c>
      <c r="AE193" s="32">
        <f>AD193*(1+AE230)</f>
        <v>-3452.5678842920915</v>
      </c>
      <c r="AF193" s="32">
        <f>AE193*(1+AF230)</f>
        <v>-3487.0935631350126</v>
      </c>
      <c r="AG193" s="53">
        <f t="shared" si="212"/>
        <v>-13742.584148561409</v>
      </c>
      <c r="AH193" s="51">
        <f>AF193*(1+AH230)</f>
        <v>-3521.9644987663628</v>
      </c>
      <c r="AI193" s="32">
        <f>AH193*(1+AI230)</f>
        <v>-3557.1841437540265</v>
      </c>
      <c r="AJ193" s="32">
        <f>AI193*(1+AJ230)</f>
        <v>-3592.7559851915667</v>
      </c>
      <c r="AK193" s="32">
        <f>AJ193*(1+AK230)</f>
        <v>-3628.6835450434824</v>
      </c>
      <c r="AL193" s="53">
        <f t="shared" si="213"/>
        <v>-14300.588172755439</v>
      </c>
    </row>
    <row r="194" spans="2:38" outlineLevel="1" x14ac:dyDescent="0.3">
      <c r="B194" s="389" t="s">
        <v>211</v>
      </c>
      <c r="C194" s="368"/>
      <c r="D194" s="51">
        <v>-86</v>
      </c>
      <c r="E194" s="32">
        <f>-126-D194</f>
        <v>-40</v>
      </c>
      <c r="F194" s="32">
        <f>-209-E194-D194</f>
        <v>-83</v>
      </c>
      <c r="G194" s="32">
        <f>-344-F194-E194-D194</f>
        <v>-135</v>
      </c>
      <c r="H194" s="53">
        <f t="shared" si="207"/>
        <v>-344</v>
      </c>
      <c r="I194" s="32">
        <v>-154</v>
      </c>
      <c r="J194" s="32">
        <f t="shared" ref="J194" si="214">0-I194</f>
        <v>154</v>
      </c>
      <c r="K194" s="32">
        <f t="shared" ref="K194" si="215">0-J194-I194</f>
        <v>0</v>
      </c>
      <c r="L194" s="32">
        <f t="shared" ref="L194" si="216">0-K194-J194-I194</f>
        <v>0</v>
      </c>
      <c r="M194" s="53">
        <f t="shared" si="208"/>
        <v>0</v>
      </c>
      <c r="N194" s="32">
        <v>0</v>
      </c>
      <c r="O194" s="32">
        <f t="shared" ref="O194" si="217">0-N194</f>
        <v>0</v>
      </c>
      <c r="P194" s="32">
        <v>0</v>
      </c>
      <c r="Q194" s="32">
        <v>0</v>
      </c>
      <c r="R194" s="53">
        <f t="shared" ref="R194" si="218">SUM(N194:Q194)</f>
        <v>0</v>
      </c>
      <c r="S194" s="51">
        <v>0</v>
      </c>
      <c r="T194" s="32">
        <v>0</v>
      </c>
      <c r="U194" s="32">
        <v>0</v>
      </c>
      <c r="V194" s="32">
        <v>0</v>
      </c>
      <c r="W194" s="53">
        <f>SUM(S194:V194)</f>
        <v>0</v>
      </c>
      <c r="X194" s="51">
        <v>0</v>
      </c>
      <c r="Y194" s="32">
        <v>0</v>
      </c>
      <c r="Z194" s="32">
        <v>0</v>
      </c>
      <c r="AA194" s="32">
        <v>0</v>
      </c>
      <c r="AB194" s="53">
        <f>SUM(X194:AA194)</f>
        <v>0</v>
      </c>
      <c r="AC194" s="51">
        <v>0</v>
      </c>
      <c r="AD194" s="32">
        <v>0</v>
      </c>
      <c r="AE194" s="32">
        <v>0</v>
      </c>
      <c r="AF194" s="32">
        <v>0</v>
      </c>
      <c r="AG194" s="53">
        <f>SUM(AC194:AF194)</f>
        <v>0</v>
      </c>
      <c r="AH194" s="51">
        <v>0</v>
      </c>
      <c r="AI194" s="32">
        <v>0</v>
      </c>
      <c r="AJ194" s="32">
        <v>0</v>
      </c>
      <c r="AK194" s="32">
        <v>0</v>
      </c>
      <c r="AL194" s="53">
        <f>SUM(AH194:AK194)</f>
        <v>0</v>
      </c>
    </row>
    <row r="195" spans="2:38" ht="16.2" outlineLevel="1" x14ac:dyDescent="0.45">
      <c r="B195" s="389" t="s">
        <v>107</v>
      </c>
      <c r="C195" s="368"/>
      <c r="D195" s="56">
        <v>-104</v>
      </c>
      <c r="E195" s="57">
        <f>116-D195</f>
        <v>220</v>
      </c>
      <c r="F195" s="57">
        <f>-87+313-E195-D195</f>
        <v>110</v>
      </c>
      <c r="G195" s="57">
        <f>220-395-F195-E195-D195</f>
        <v>-401</v>
      </c>
      <c r="H195" s="59">
        <f t="shared" si="207"/>
        <v>-175</v>
      </c>
      <c r="I195" s="56">
        <f>-94+64</f>
        <v>-30</v>
      </c>
      <c r="J195" s="57">
        <f>53-I195</f>
        <v>83</v>
      </c>
      <c r="K195" s="57">
        <f>310-523-1788-J195-I195</f>
        <v>-2054</v>
      </c>
      <c r="L195" s="57">
        <f>-1871+353-745-K195-J195-I195</f>
        <v>-262</v>
      </c>
      <c r="M195" s="59">
        <f t="shared" si="208"/>
        <v>-2263</v>
      </c>
      <c r="N195" s="56">
        <f>-427-56</f>
        <v>-483</v>
      </c>
      <c r="O195" s="57">
        <f>-490+30-N195</f>
        <v>23</v>
      </c>
      <c r="P195" s="57">
        <f>-(P128-O128)</f>
        <v>0</v>
      </c>
      <c r="Q195" s="57">
        <f>-(Q128-P128)</f>
        <v>0</v>
      </c>
      <c r="R195" s="59">
        <f t="shared" si="209"/>
        <v>-460</v>
      </c>
      <c r="S195" s="56">
        <f>-(S128-R128)</f>
        <v>0</v>
      </c>
      <c r="T195" s="57">
        <f>-(T128-S128)</f>
        <v>0</v>
      </c>
      <c r="U195" s="57">
        <f>-(U128-T128)</f>
        <v>0</v>
      </c>
      <c r="V195" s="57">
        <f>-(V128-U128)</f>
        <v>0</v>
      </c>
      <c r="W195" s="59">
        <f t="shared" si="210"/>
        <v>0</v>
      </c>
      <c r="X195" s="56">
        <f>-(X128-W128)</f>
        <v>0</v>
      </c>
      <c r="Y195" s="57">
        <f>-(Y128-X128)</f>
        <v>0</v>
      </c>
      <c r="Z195" s="57">
        <f>-(Z128-Y128)</f>
        <v>0</v>
      </c>
      <c r="AA195" s="57">
        <f>-(AA128-Z128)</f>
        <v>0</v>
      </c>
      <c r="AB195" s="59">
        <f t="shared" si="211"/>
        <v>0</v>
      </c>
      <c r="AC195" s="56">
        <f>-(AC128-AB128)</f>
        <v>0</v>
      </c>
      <c r="AD195" s="57">
        <f>-(AD128-AC128)</f>
        <v>0</v>
      </c>
      <c r="AE195" s="57">
        <f>-(AE128-AD128)</f>
        <v>0</v>
      </c>
      <c r="AF195" s="57">
        <f>-(AF128-AE128)</f>
        <v>0</v>
      </c>
      <c r="AG195" s="59">
        <f t="shared" si="212"/>
        <v>0</v>
      </c>
      <c r="AH195" s="56">
        <f>-(AH128-AG128)</f>
        <v>0</v>
      </c>
      <c r="AI195" s="57">
        <f>-(AI128-AH128)</f>
        <v>0</v>
      </c>
      <c r="AJ195" s="57">
        <f>-(AJ128-AI128)</f>
        <v>0</v>
      </c>
      <c r="AK195" s="57">
        <f>-(AK128-AJ128)</f>
        <v>0</v>
      </c>
      <c r="AL195" s="59">
        <f t="shared" si="213"/>
        <v>0</v>
      </c>
    </row>
    <row r="196" spans="2:38" outlineLevel="1" x14ac:dyDescent="0.3">
      <c r="B196" s="357" t="s">
        <v>30</v>
      </c>
      <c r="C196" s="358"/>
      <c r="D196" s="62">
        <f>SUM(D188:D195)</f>
        <v>-19122</v>
      </c>
      <c r="E196" s="63">
        <f>SUM(E188:E195)</f>
        <v>-14202</v>
      </c>
      <c r="F196" s="63">
        <f>SUM(F188:F195)</f>
        <v>-3180</v>
      </c>
      <c r="G196" s="63">
        <f>SUM(G188:G195)</f>
        <v>-9942</v>
      </c>
      <c r="H196" s="64">
        <f>SUM(H189:H195)</f>
        <v>-46446</v>
      </c>
      <c r="I196" s="62">
        <f>SUM(I188:I195)</f>
        <v>-13590</v>
      </c>
      <c r="J196" s="63">
        <f>SUM(J188:J195)</f>
        <v>28710</v>
      </c>
      <c r="K196" s="63">
        <f>SUM(K188:K195)</f>
        <v>3947</v>
      </c>
      <c r="L196" s="63">
        <f>SUM(L188:L195)</f>
        <v>-3001</v>
      </c>
      <c r="M196" s="64">
        <f>SUM(M189:M195)</f>
        <v>16066</v>
      </c>
      <c r="N196" s="62">
        <f>SUM(N188:N195)</f>
        <v>5844</v>
      </c>
      <c r="O196" s="63">
        <f>SUM(O188:O195)</f>
        <v>13348</v>
      </c>
      <c r="P196" s="63">
        <f>SUM(P188:P195)</f>
        <v>870.2963799153149</v>
      </c>
      <c r="Q196" s="63">
        <f>SUM(Q188:Q195)</f>
        <v>-17337.275889690834</v>
      </c>
      <c r="R196" s="64">
        <f>SUM(R189:R195)</f>
        <v>2725.0204902244805</v>
      </c>
      <c r="S196" s="62">
        <f>SUM(S188:S195)</f>
        <v>-24406.247024376476</v>
      </c>
      <c r="T196" s="63">
        <f>SUM(T188:T195)</f>
        <v>2298.6036687202022</v>
      </c>
      <c r="U196" s="63">
        <f>SUM(U188:U195)</f>
        <v>-3793.0814184736482</v>
      </c>
      <c r="V196" s="63">
        <f>SUM(V188:V195)</f>
        <v>-22857.986800914994</v>
      </c>
      <c r="W196" s="64">
        <f>SUM(W189:W195)</f>
        <v>-48758.711575044916</v>
      </c>
      <c r="X196" s="62">
        <f>SUM(X188:X195)</f>
        <v>-25182.008285109358</v>
      </c>
      <c r="Y196" s="63">
        <f>SUM(Y188:Y195)</f>
        <v>-779.84192595201239</v>
      </c>
      <c r="Z196" s="63">
        <f>SUM(Z188:Z195)</f>
        <v>-5850.8301015847919</v>
      </c>
      <c r="AA196" s="63">
        <f>SUM(AA188:AA195)</f>
        <v>-26092.987447441341</v>
      </c>
      <c r="AB196" s="64">
        <f>SUM(AB189:AB195)</f>
        <v>-57905.667760087505</v>
      </c>
      <c r="AC196" s="62">
        <f>SUM(AC188:AC195)</f>
        <v>-25116.422120696916</v>
      </c>
      <c r="AD196" s="63">
        <f>SUM(AD188:AD195)</f>
        <v>851.6129674060935</v>
      </c>
      <c r="AE196" s="63">
        <f>SUM(AE188:AE195)</f>
        <v>-4867.6103947980901</v>
      </c>
      <c r="AF196" s="63">
        <f>SUM(AF188:AF195)</f>
        <v>-25509.554714389156</v>
      </c>
      <c r="AG196" s="64">
        <f>SUM(AG189:AG195)</f>
        <v>-54641.97426247807</v>
      </c>
      <c r="AH196" s="62">
        <f>SUM(AH188:AH195)</f>
        <v>-25254.146080466497</v>
      </c>
      <c r="AI196" s="63">
        <f>SUM(AI188:AI195)</f>
        <v>1623.8646764720047</v>
      </c>
      <c r="AJ196" s="63">
        <f>SUM(AJ188:AJ195)</f>
        <v>-4045.0924655150684</v>
      </c>
      <c r="AK196" s="63">
        <f>SUM(AK188:AK195)</f>
        <v>-24835.599046396113</v>
      </c>
      <c r="AL196" s="64">
        <f>SUM(AL189:AL195)</f>
        <v>-52510.972915905673</v>
      </c>
    </row>
    <row r="197" spans="2:38" outlineLevel="1" x14ac:dyDescent="0.3">
      <c r="B197" s="391" t="s">
        <v>31</v>
      </c>
      <c r="C197" s="392"/>
      <c r="D197" s="51"/>
      <c r="E197" s="32"/>
      <c r="F197" s="32"/>
      <c r="G197" s="32"/>
      <c r="H197" s="53"/>
      <c r="I197" s="51"/>
      <c r="J197" s="32"/>
      <c r="K197" s="32"/>
      <c r="L197" s="32"/>
      <c r="M197" s="53"/>
      <c r="N197" s="51"/>
      <c r="O197" s="32"/>
      <c r="P197" s="32"/>
      <c r="Q197" s="32"/>
      <c r="R197" s="53"/>
      <c r="S197" s="51"/>
      <c r="T197" s="32"/>
      <c r="U197" s="32"/>
      <c r="V197" s="32"/>
      <c r="W197" s="53"/>
      <c r="X197" s="51"/>
      <c r="Y197" s="32"/>
      <c r="Z197" s="32"/>
      <c r="AA197" s="32"/>
      <c r="AB197" s="53"/>
      <c r="AC197" s="51"/>
      <c r="AD197" s="32"/>
      <c r="AE197" s="32"/>
      <c r="AF197" s="32"/>
      <c r="AG197" s="53"/>
      <c r="AH197" s="51"/>
      <c r="AI197" s="32"/>
      <c r="AJ197" s="32"/>
      <c r="AK197" s="32"/>
      <c r="AL197" s="53"/>
    </row>
    <row r="198" spans="2:38" outlineLevel="1" x14ac:dyDescent="0.3">
      <c r="B198" s="389" t="s">
        <v>101</v>
      </c>
      <c r="C198" s="368"/>
      <c r="D198" s="51">
        <v>0</v>
      </c>
      <c r="E198" s="32">
        <f>273-D198</f>
        <v>273</v>
      </c>
      <c r="F198" s="32">
        <f>274-E198-D198</f>
        <v>1</v>
      </c>
      <c r="G198" s="32">
        <f>555-F198-E198-D198</f>
        <v>281</v>
      </c>
      <c r="H198" s="53">
        <f t="shared" ref="H198:H205" si="219">SUM(D198:G198)</f>
        <v>555</v>
      </c>
      <c r="I198" s="51">
        <v>0</v>
      </c>
      <c r="J198" s="32">
        <f>327-I198</f>
        <v>327</v>
      </c>
      <c r="K198" s="32">
        <f>328-J198-I198</f>
        <v>1</v>
      </c>
      <c r="L198" s="32">
        <f>669-K198-J198-I198</f>
        <v>341</v>
      </c>
      <c r="M198" s="53">
        <f t="shared" ref="M198:M206" si="220">SUM(I198:L198)</f>
        <v>669</v>
      </c>
      <c r="N198" s="51">
        <v>0</v>
      </c>
      <c r="O198" s="32">
        <f>390-N198</f>
        <v>390</v>
      </c>
      <c r="P198" s="32">
        <v>0</v>
      </c>
      <c r="Q198" s="32">
        <v>0</v>
      </c>
      <c r="R198" s="53">
        <f t="shared" ref="R198:R206" si="221">SUM(N198:Q198)</f>
        <v>390</v>
      </c>
      <c r="S198" s="51">
        <v>0</v>
      </c>
      <c r="T198" s="32">
        <v>0</v>
      </c>
      <c r="U198" s="32">
        <v>0</v>
      </c>
      <c r="V198" s="32">
        <v>0</v>
      </c>
      <c r="W198" s="53">
        <f t="shared" ref="W198:W206" si="222">SUM(S198:V198)</f>
        <v>0</v>
      </c>
      <c r="X198" s="51">
        <v>0</v>
      </c>
      <c r="Y198" s="32">
        <v>0</v>
      </c>
      <c r="Z198" s="32">
        <v>0</v>
      </c>
      <c r="AA198" s="32">
        <v>0</v>
      </c>
      <c r="AB198" s="53">
        <f t="shared" ref="AB198:AB206" si="223">SUM(X198:AA198)</f>
        <v>0</v>
      </c>
      <c r="AC198" s="51">
        <v>0</v>
      </c>
      <c r="AD198" s="32">
        <v>0</v>
      </c>
      <c r="AE198" s="32">
        <v>0</v>
      </c>
      <c r="AF198" s="32">
        <v>0</v>
      </c>
      <c r="AG198" s="53">
        <f t="shared" ref="AG198:AG206" si="224">SUM(AC198:AF198)</f>
        <v>0</v>
      </c>
      <c r="AH198" s="51">
        <v>0</v>
      </c>
      <c r="AI198" s="32">
        <v>0</v>
      </c>
      <c r="AJ198" s="32">
        <v>0</v>
      </c>
      <c r="AK198" s="32">
        <v>0</v>
      </c>
      <c r="AL198" s="53">
        <f t="shared" ref="AL198:AL206" si="225">SUM(AH198:AK198)</f>
        <v>0</v>
      </c>
    </row>
    <row r="199" spans="2:38" outlineLevel="1" x14ac:dyDescent="0.3">
      <c r="B199" s="389" t="s">
        <v>102</v>
      </c>
      <c r="C199" s="368"/>
      <c r="D199" s="51">
        <v>178</v>
      </c>
      <c r="E199" s="32">
        <f>225-D199</f>
        <v>47</v>
      </c>
      <c r="F199" s="32">
        <f>534-E199-D199</f>
        <v>309</v>
      </c>
      <c r="G199" s="32">
        <f>627-F199-E199-D199</f>
        <v>93</v>
      </c>
      <c r="H199" s="53">
        <f t="shared" si="219"/>
        <v>627</v>
      </c>
      <c r="I199" s="51">
        <v>0</v>
      </c>
      <c r="J199" s="32">
        <f t="shared" ref="J199:J205" si="226">0-I199</f>
        <v>0</v>
      </c>
      <c r="K199" s="32">
        <f t="shared" ref="K199" si="227">0-J199-I199</f>
        <v>0</v>
      </c>
      <c r="L199" s="32">
        <f t="shared" ref="L199" si="228">0-K199-J199-I199</f>
        <v>0</v>
      </c>
      <c r="M199" s="53">
        <f t="shared" si="220"/>
        <v>0</v>
      </c>
      <c r="N199" s="51">
        <v>0</v>
      </c>
      <c r="O199" s="32">
        <f t="shared" ref="O199:O204" si="229">0-N199</f>
        <v>0</v>
      </c>
      <c r="P199" s="32">
        <v>0</v>
      </c>
      <c r="Q199" s="32">
        <v>0</v>
      </c>
      <c r="R199" s="53">
        <f t="shared" si="221"/>
        <v>0</v>
      </c>
      <c r="S199" s="51">
        <v>0</v>
      </c>
      <c r="T199" s="32">
        <v>0</v>
      </c>
      <c r="U199" s="32">
        <v>0</v>
      </c>
      <c r="V199" s="32">
        <v>0</v>
      </c>
      <c r="W199" s="53">
        <f t="shared" si="222"/>
        <v>0</v>
      </c>
      <c r="X199" s="51">
        <v>0</v>
      </c>
      <c r="Y199" s="32">
        <v>0</v>
      </c>
      <c r="Z199" s="32">
        <v>0</v>
      </c>
      <c r="AA199" s="32">
        <v>0</v>
      </c>
      <c r="AB199" s="53">
        <f t="shared" si="223"/>
        <v>0</v>
      </c>
      <c r="AC199" s="51">
        <v>0</v>
      </c>
      <c r="AD199" s="32">
        <v>0</v>
      </c>
      <c r="AE199" s="32">
        <v>0</v>
      </c>
      <c r="AF199" s="32">
        <v>0</v>
      </c>
      <c r="AG199" s="53">
        <f t="shared" si="224"/>
        <v>0</v>
      </c>
      <c r="AH199" s="51">
        <v>0</v>
      </c>
      <c r="AI199" s="32">
        <v>0</v>
      </c>
      <c r="AJ199" s="32">
        <v>0</v>
      </c>
      <c r="AK199" s="32">
        <v>0</v>
      </c>
      <c r="AL199" s="53">
        <f t="shared" si="225"/>
        <v>0</v>
      </c>
    </row>
    <row r="200" spans="2:38" outlineLevel="1" x14ac:dyDescent="0.3">
      <c r="B200" s="367" t="s">
        <v>103</v>
      </c>
      <c r="C200" s="368"/>
      <c r="D200" s="51">
        <v>-629</v>
      </c>
      <c r="E200" s="32">
        <f>-788-D200</f>
        <v>-159</v>
      </c>
      <c r="F200" s="32">
        <f>-1646-E200-D200</f>
        <v>-858</v>
      </c>
      <c r="G200" s="32">
        <f>-1874-F200-E200-D200</f>
        <v>-228</v>
      </c>
      <c r="H200" s="53">
        <f t="shared" si="219"/>
        <v>-1874</v>
      </c>
      <c r="I200" s="51">
        <v>-1038</v>
      </c>
      <c r="J200" s="32">
        <f>-1190-I200</f>
        <v>-152</v>
      </c>
      <c r="K200" s="32">
        <f>-2267-J200-I200</f>
        <v>-1077</v>
      </c>
      <c r="L200" s="32">
        <f>-2527-K200-J200-I200</f>
        <v>-260</v>
      </c>
      <c r="M200" s="53">
        <f t="shared" si="220"/>
        <v>-2527</v>
      </c>
      <c r="N200" s="51">
        <v>-1318</v>
      </c>
      <c r="O200" s="32">
        <f>-1427-N200</f>
        <v>-109</v>
      </c>
      <c r="P200" s="32">
        <f t="shared" ref="P200:Q200" si="230">-P176*P225</f>
        <v>-1130.2093498151114</v>
      </c>
      <c r="Q200" s="32">
        <f t="shared" si="230"/>
        <v>-278.9245152992541</v>
      </c>
      <c r="R200" s="53">
        <f t="shared" si="221"/>
        <v>-2836.1338651143656</v>
      </c>
      <c r="S200" s="32">
        <f>-S176*S225</f>
        <v>-1174.1117776460517</v>
      </c>
      <c r="T200" s="32">
        <f>-T176*T225</f>
        <v>-99.298875340956812</v>
      </c>
      <c r="U200" s="32">
        <f t="shared" ref="U200:V200" si="231">-U176*U225</f>
        <v>-1192.3145328369517</v>
      </c>
      <c r="V200" s="32">
        <f t="shared" si="231"/>
        <v>-293.735129769119</v>
      </c>
      <c r="W200" s="53">
        <f t="shared" si="222"/>
        <v>-2759.460315593079</v>
      </c>
      <c r="X200" s="32">
        <f>-X176*X225</f>
        <v>-1233.158532389745</v>
      </c>
      <c r="Y200" s="32">
        <f>-Y176*Y225</f>
        <v>-105.09841971941712</v>
      </c>
      <c r="Z200" s="32">
        <f t="shared" ref="Z200:AA200" si="232">-Z176*Z225</f>
        <v>-1264.7210609142971</v>
      </c>
      <c r="AA200" s="32">
        <f t="shared" si="232"/>
        <v>-311.76326166135334</v>
      </c>
      <c r="AB200" s="53">
        <f t="shared" si="223"/>
        <v>-2914.7412746848127</v>
      </c>
      <c r="AC200" s="32">
        <f>-AC176*AC225</f>
        <v>-1264.6582169579801</v>
      </c>
      <c r="AD200" s="32">
        <f>-AD176*AD225</f>
        <v>-107.32843838659015</v>
      </c>
      <c r="AE200" s="32">
        <f t="shared" ref="AE200:AF200" si="233">-AE176*AE225</f>
        <v>-1281.6429258702178</v>
      </c>
      <c r="AF200" s="32">
        <f t="shared" si="233"/>
        <v>-314.38792250914724</v>
      </c>
      <c r="AG200" s="53">
        <f t="shared" si="224"/>
        <v>-2968.0175037239355</v>
      </c>
      <c r="AH200" s="32">
        <f>-AH176*AH225</f>
        <v>-1286.1453840091383</v>
      </c>
      <c r="AI200" s="32">
        <f>-AI176*AI225</f>
        <v>-108.81696153855479</v>
      </c>
      <c r="AJ200" s="32">
        <f t="shared" ref="AJ200:AK200" si="234">-AJ176*AJ225</f>
        <v>-1296.8965849847687</v>
      </c>
      <c r="AK200" s="32">
        <f t="shared" si="234"/>
        <v>-317.98197945912131</v>
      </c>
      <c r="AL200" s="53">
        <f t="shared" si="225"/>
        <v>-3009.840909991583</v>
      </c>
    </row>
    <row r="201" spans="2:38" outlineLevel="1" x14ac:dyDescent="0.3">
      <c r="B201" s="367" t="s">
        <v>215</v>
      </c>
      <c r="C201" s="368"/>
      <c r="D201" s="51">
        <v>-3130</v>
      </c>
      <c r="E201" s="32">
        <f>-6134-D201</f>
        <v>-3004</v>
      </c>
      <c r="F201" s="32">
        <f>-9499-E201-D201</f>
        <v>-3365</v>
      </c>
      <c r="G201" s="32">
        <f>-12769-F201-E201-D201</f>
        <v>-3270</v>
      </c>
      <c r="H201" s="53">
        <f t="shared" si="219"/>
        <v>-12769</v>
      </c>
      <c r="I201" s="51">
        <v>-3339</v>
      </c>
      <c r="J201" s="32">
        <f>-6529-I201</f>
        <v>-3190</v>
      </c>
      <c r="K201" s="32">
        <f>-10182-J201-I201</f>
        <v>-3653</v>
      </c>
      <c r="L201" s="32">
        <f>-13712-K201-J201-I201</f>
        <v>-3530</v>
      </c>
      <c r="M201" s="53">
        <f t="shared" si="220"/>
        <v>-13712</v>
      </c>
      <c r="N201" s="51">
        <v>-3568</v>
      </c>
      <c r="O201" s="32">
        <f>-7011-N201</f>
        <v>-3443</v>
      </c>
      <c r="P201" s="32">
        <f>-P36*P32</f>
        <v>-3530.6953777258332</v>
      </c>
      <c r="Q201" s="32">
        <f>-Q36*Q32</f>
        <v>-3501.4728084523504</v>
      </c>
      <c r="R201" s="53">
        <f t="shared" si="221"/>
        <v>-14043.168186178184</v>
      </c>
      <c r="S201" s="51">
        <f>-S36*S32</f>
        <v>-3488.3135103941754</v>
      </c>
      <c r="T201" s="32">
        <f>-T36*T32</f>
        <v>-3481.1436483631819</v>
      </c>
      <c r="U201" s="32">
        <f>-U36*U32</f>
        <v>-3810.8142587801085</v>
      </c>
      <c r="V201" s="32">
        <f>-V36*V32</f>
        <v>-3797.2054867184756</v>
      </c>
      <c r="W201" s="53">
        <f t="shared" si="222"/>
        <v>-14577.476904255942</v>
      </c>
      <c r="X201" s="51">
        <f>-X36*X32</f>
        <v>-3783.5533610713501</v>
      </c>
      <c r="Y201" s="32">
        <f>-Y36*Y32</f>
        <v>-3770.1029876457169</v>
      </c>
      <c r="Z201" s="32">
        <f>-Z36*Z32</f>
        <v>-4130.8141971040786</v>
      </c>
      <c r="AA201" s="32">
        <f>-AA36*AA32</f>
        <v>-4115.4927437924025</v>
      </c>
      <c r="AB201" s="53">
        <f t="shared" si="223"/>
        <v>-15799.963289613548</v>
      </c>
      <c r="AC201" s="51">
        <f>-AC36*AC32</f>
        <v>-4100.0845207428838</v>
      </c>
      <c r="AD201" s="32">
        <f>-AD36*AD32</f>
        <v>-4084.5799540113303</v>
      </c>
      <c r="AE201" s="32">
        <f>-AE36*AE32</f>
        <v>-4475.7910717300974</v>
      </c>
      <c r="AF201" s="32">
        <f>-AF36*AF32</f>
        <v>-4458.7110559051462</v>
      </c>
      <c r="AG201" s="53">
        <f t="shared" si="224"/>
        <v>-17119.166602389458</v>
      </c>
      <c r="AH201" s="51">
        <f>-AH36*AH32</f>
        <v>-4441.5750308932957</v>
      </c>
      <c r="AI201" s="32">
        <f>-AI36*AI32</f>
        <v>-4424.392676939573</v>
      </c>
      <c r="AJ201" s="32">
        <f>-AJ36*AJ32</f>
        <v>-4847.8964904045861</v>
      </c>
      <c r="AK201" s="32">
        <f>-AK36*AK32</f>
        <v>-4828.9693749637727</v>
      </c>
      <c r="AL201" s="53">
        <f t="shared" si="225"/>
        <v>-18542.833573201227</v>
      </c>
    </row>
    <row r="202" spans="2:38" outlineLevel="1" x14ac:dyDescent="0.3">
      <c r="B202" s="389" t="s">
        <v>104</v>
      </c>
      <c r="C202" s="368"/>
      <c r="D202" s="51">
        <v>-10851</v>
      </c>
      <c r="E202" s="32">
        <f>-18012-D202</f>
        <v>-7161</v>
      </c>
      <c r="F202" s="32">
        <f>-25105-E202-D202</f>
        <v>-7093</v>
      </c>
      <c r="G202" s="32">
        <f>-32900-F202-E202-D202</f>
        <v>-7795</v>
      </c>
      <c r="H202" s="53">
        <f t="shared" si="219"/>
        <v>-32900</v>
      </c>
      <c r="I202" s="51">
        <v>-10095</v>
      </c>
      <c r="J202" s="32">
        <f>-32851-I202</f>
        <v>-22756</v>
      </c>
      <c r="K202" s="32">
        <f>-53634-J202-I202</f>
        <v>-20783</v>
      </c>
      <c r="L202" s="32">
        <f>-72738-K202-J202-I202</f>
        <v>-19104</v>
      </c>
      <c r="M202" s="53">
        <f t="shared" si="220"/>
        <v>-72738</v>
      </c>
      <c r="N202" s="51">
        <v>-8796</v>
      </c>
      <c r="O202" s="32">
        <f>-32498-N202</f>
        <v>-23702</v>
      </c>
      <c r="P202" s="32">
        <f>-P91</f>
        <v>-8000</v>
      </c>
      <c r="Q202" s="32">
        <f>-Q91</f>
        <v>-8000</v>
      </c>
      <c r="R202" s="53">
        <f t="shared" si="221"/>
        <v>-48498</v>
      </c>
      <c r="S202" s="51">
        <f>-S91</f>
        <v>-4000</v>
      </c>
      <c r="T202" s="32">
        <f>-T91</f>
        <v>-4000</v>
      </c>
      <c r="U202" s="32">
        <f>-U91</f>
        <v>-4000</v>
      </c>
      <c r="V202" s="32">
        <f>-V91</f>
        <v>-4000</v>
      </c>
      <c r="W202" s="53">
        <f t="shared" si="222"/>
        <v>-16000</v>
      </c>
      <c r="X202" s="51">
        <f>-X91</f>
        <v>-4000</v>
      </c>
      <c r="Y202" s="32">
        <f>-Y91</f>
        <v>-4000</v>
      </c>
      <c r="Z202" s="32">
        <f>-Z91</f>
        <v>-4000</v>
      </c>
      <c r="AA202" s="32">
        <f>-AA91</f>
        <v>-4000</v>
      </c>
      <c r="AB202" s="53">
        <f t="shared" si="223"/>
        <v>-16000</v>
      </c>
      <c r="AC202" s="51">
        <f>-AC91</f>
        <v>-4000</v>
      </c>
      <c r="AD202" s="32">
        <f>-AD91</f>
        <v>-4000</v>
      </c>
      <c r="AE202" s="32">
        <f>-AE91</f>
        <v>-4000</v>
      </c>
      <c r="AF202" s="32">
        <f>-AF91</f>
        <v>-4000</v>
      </c>
      <c r="AG202" s="53">
        <f t="shared" si="224"/>
        <v>-16000</v>
      </c>
      <c r="AH202" s="51">
        <f>-AH91</f>
        <v>-4000</v>
      </c>
      <c r="AI202" s="32">
        <f>-AI91</f>
        <v>-4000</v>
      </c>
      <c r="AJ202" s="32">
        <f>-AJ91</f>
        <v>-4000</v>
      </c>
      <c r="AK202" s="32">
        <f>-AK91</f>
        <v>-4000</v>
      </c>
      <c r="AL202" s="53">
        <f t="shared" si="225"/>
        <v>-16000</v>
      </c>
    </row>
    <row r="203" spans="2:38" outlineLevel="1" x14ac:dyDescent="0.3">
      <c r="B203" s="389" t="s">
        <v>105</v>
      </c>
      <c r="C203" s="368"/>
      <c r="D203" s="51">
        <v>0</v>
      </c>
      <c r="E203" s="32">
        <f>10975-D203</f>
        <v>10975</v>
      </c>
      <c r="F203" s="32">
        <f>21725-3500-E203-D203</f>
        <v>7250</v>
      </c>
      <c r="G203" s="32">
        <f>28662-3500-F203-E203-D203</f>
        <v>6937</v>
      </c>
      <c r="H203" s="53">
        <f t="shared" si="219"/>
        <v>25162</v>
      </c>
      <c r="I203" s="51">
        <v>6969</v>
      </c>
      <c r="J203" s="32">
        <f>6969-500-I203</f>
        <v>-500</v>
      </c>
      <c r="K203" s="32">
        <f>6969-J203-I203</f>
        <v>500</v>
      </c>
      <c r="L203" s="32">
        <f>6969-K203-J203-I203</f>
        <v>0</v>
      </c>
      <c r="M203" s="53">
        <f t="shared" si="220"/>
        <v>6969</v>
      </c>
      <c r="N203" s="51">
        <v>0</v>
      </c>
      <c r="O203" s="32">
        <f t="shared" si="229"/>
        <v>0</v>
      </c>
      <c r="P203" s="32">
        <f>P139-O139</f>
        <v>-955.07414982559567</v>
      </c>
      <c r="Q203" s="32">
        <f>Q139-P139</f>
        <v>-790.33323636032583</v>
      </c>
      <c r="R203" s="53">
        <f t="shared" si="221"/>
        <v>-1745.4073861859215</v>
      </c>
      <c r="S203" s="51">
        <f>S139-R139</f>
        <v>9657.1191840814136</v>
      </c>
      <c r="T203" s="32">
        <f>T139-S139</f>
        <v>4305.3321720296808</v>
      </c>
      <c r="U203" s="32">
        <f>U139-T139</f>
        <v>1931.8588705796428</v>
      </c>
      <c r="V203" s="32">
        <f>V139-U139</f>
        <v>4329.7760836019734</v>
      </c>
      <c r="W203" s="53">
        <f t="shared" si="222"/>
        <v>20224.086310292711</v>
      </c>
      <c r="X203" s="51">
        <f>X139-W139</f>
        <v>11387.011433729815</v>
      </c>
      <c r="Y203" s="32">
        <f>Y139-X139</f>
        <v>5965.7035965287505</v>
      </c>
      <c r="Z203" s="32">
        <f>Z139-Y139</f>
        <v>3341.4927835991839</v>
      </c>
      <c r="AA203" s="32">
        <f>AA139-Z139</f>
        <v>5519.3104046444787</v>
      </c>
      <c r="AB203" s="53">
        <f t="shared" si="223"/>
        <v>26213.518218502228</v>
      </c>
      <c r="AC203" s="51">
        <f>AC139-AB139</f>
        <v>10935.136589832604</v>
      </c>
      <c r="AD203" s="32">
        <f>AD139-AC139</f>
        <v>5117.0044284133764</v>
      </c>
      <c r="AE203" s="32">
        <f>AE139-AD139</f>
        <v>2402.3762824385194</v>
      </c>
      <c r="AF203" s="32">
        <f>AF139-AE139</f>
        <v>4654.1283767514687</v>
      </c>
      <c r="AG203" s="53">
        <f t="shared" si="224"/>
        <v>23108.645677435969</v>
      </c>
      <c r="AH203" s="51">
        <f>AH139-AG139</f>
        <v>9887.5127969676396</v>
      </c>
      <c r="AI203" s="32">
        <f>AI139-AH139</f>
        <v>4233.7039725970826</v>
      </c>
      <c r="AJ203" s="32">
        <f>AJ139-AI139</f>
        <v>1487.3402536802168</v>
      </c>
      <c r="AK203" s="32">
        <f>AK139-AJ139</f>
        <v>3514.2685984858254</v>
      </c>
      <c r="AL203" s="53">
        <f t="shared" si="225"/>
        <v>19122.825621730764</v>
      </c>
    </row>
    <row r="204" spans="2:38" outlineLevel="1" x14ac:dyDescent="0.3">
      <c r="B204" s="389" t="s">
        <v>106</v>
      </c>
      <c r="C204" s="368"/>
      <c r="D204" s="51">
        <v>2385</v>
      </c>
      <c r="E204" s="32">
        <f>1879-D204</f>
        <v>-506</v>
      </c>
      <c r="F204" s="32">
        <f>3866-E204-D204</f>
        <v>1987</v>
      </c>
      <c r="G204" s="32">
        <f>3852-F204-E204-D204</f>
        <v>-14</v>
      </c>
      <c r="H204" s="53">
        <f t="shared" si="219"/>
        <v>3852</v>
      </c>
      <c r="I204" s="51">
        <v>2</v>
      </c>
      <c r="J204" s="32">
        <f>1-I204</f>
        <v>-1</v>
      </c>
      <c r="K204" s="32">
        <f>-10-J204-I204</f>
        <v>-11</v>
      </c>
      <c r="L204" s="32">
        <f>-37-K204-J204-I204</f>
        <v>-27</v>
      </c>
      <c r="M204" s="53">
        <f t="shared" si="220"/>
        <v>-37</v>
      </c>
      <c r="N204" s="51">
        <v>6</v>
      </c>
      <c r="O204" s="32">
        <f t="shared" si="229"/>
        <v>-6</v>
      </c>
      <c r="P204" s="32">
        <f>P136-O136</f>
        <v>-2761.1042870822275</v>
      </c>
      <c r="Q204" s="32">
        <f>Q136-P136</f>
        <v>760.01571370347665</v>
      </c>
      <c r="R204" s="53">
        <f t="shared" si="221"/>
        <v>-2001.0885733787509</v>
      </c>
      <c r="S204" s="51">
        <f>S136-R136</f>
        <v>2467.809175860104</v>
      </c>
      <c r="T204" s="32">
        <f>T136-S136</f>
        <v>993.42618102585766</v>
      </c>
      <c r="U204" s="32">
        <f>U136-T136</f>
        <v>54.924012019018846</v>
      </c>
      <c r="V204" s="32">
        <f>V136-U136</f>
        <v>1242.5318944662613</v>
      </c>
      <c r="W204" s="53">
        <f t="shared" si="222"/>
        <v>4758.6912633712418</v>
      </c>
      <c r="X204" s="51">
        <f>X136-W136</f>
        <v>2663.3144910188166</v>
      </c>
      <c r="Y204" s="32">
        <f>Y136-X136</f>
        <v>1339.4773493175708</v>
      </c>
      <c r="Z204" s="32">
        <f>Z136-Y136</f>
        <v>720.65123064793806</v>
      </c>
      <c r="AA204" s="32">
        <f>AA136-Z136</f>
        <v>1334.5015911670089</v>
      </c>
      <c r="AB204" s="53">
        <f t="shared" si="223"/>
        <v>6057.9446621513343</v>
      </c>
      <c r="AC204" s="51">
        <f>AC136-AB136</f>
        <v>2528.2338293398861</v>
      </c>
      <c r="AD204" s="32">
        <f>AD136-AC136</f>
        <v>1171.4428225147349</v>
      </c>
      <c r="AE204" s="32">
        <f>AE136-AD136</f>
        <v>552.33003455007565</v>
      </c>
      <c r="AF204" s="32">
        <f>AF136-AE136</f>
        <v>1088.6585399775431</v>
      </c>
      <c r="AG204" s="53">
        <f t="shared" si="224"/>
        <v>5340.6652263822398</v>
      </c>
      <c r="AH204" s="51">
        <f>AH136-AG136</f>
        <v>2286.2962720035066</v>
      </c>
      <c r="AI204" s="32">
        <f>AI136-AH136</f>
        <v>977.55485581086396</v>
      </c>
      <c r="AJ204" s="32">
        <f>AJ136-AI136</f>
        <v>344.88219377480709</v>
      </c>
      <c r="AK204" s="32">
        <f>AK136-AJ136</f>
        <v>815.41112813708605</v>
      </c>
      <c r="AL204" s="53">
        <f t="shared" si="225"/>
        <v>4424.1444497262637</v>
      </c>
    </row>
    <row r="205" spans="2:38" ht="16.2" outlineLevel="1" x14ac:dyDescent="0.45">
      <c r="B205" s="389" t="s">
        <v>108</v>
      </c>
      <c r="C205" s="368"/>
      <c r="D205" s="56">
        <v>0</v>
      </c>
      <c r="E205" s="57">
        <f>0-D205</f>
        <v>0</v>
      </c>
      <c r="F205" s="57">
        <f>0-E205-D205</f>
        <v>0</v>
      </c>
      <c r="G205" s="57">
        <f t="shared" ref="G205" si="235">0-F205-E205-D205</f>
        <v>0</v>
      </c>
      <c r="H205" s="59">
        <f t="shared" si="219"/>
        <v>0</v>
      </c>
      <c r="I205" s="56">
        <v>0</v>
      </c>
      <c r="J205" s="57">
        <f t="shared" si="226"/>
        <v>0</v>
      </c>
      <c r="K205" s="57">
        <f>-6500-J205-I205</f>
        <v>-6500</v>
      </c>
      <c r="L205" s="57">
        <f>-6500-K205-J205-I205</f>
        <v>0</v>
      </c>
      <c r="M205" s="59">
        <f t="shared" si="220"/>
        <v>-6500</v>
      </c>
      <c r="N205" s="56">
        <v>0</v>
      </c>
      <c r="O205" s="57">
        <f>-2500-87</f>
        <v>-2587</v>
      </c>
      <c r="P205" s="57">
        <f>P138-O138</f>
        <v>956.65075854795805</v>
      </c>
      <c r="Q205" s="57">
        <f>Q138-P138</f>
        <v>-245.42148149593163</v>
      </c>
      <c r="R205" s="59">
        <f t="shared" si="221"/>
        <v>-1875.7707229479736</v>
      </c>
      <c r="S205" s="56">
        <f>S138-R138</f>
        <v>-335.58386777407458</v>
      </c>
      <c r="T205" s="57">
        <f>T138-S138</f>
        <v>114.34357249283943</v>
      </c>
      <c r="U205" s="57">
        <f>U138-T138</f>
        <v>150.98544241464731</v>
      </c>
      <c r="V205" s="57">
        <f>V138-U138</f>
        <v>-74.626473008618291</v>
      </c>
      <c r="W205" s="59">
        <f t="shared" si="222"/>
        <v>-144.88132587520613</v>
      </c>
      <c r="X205" s="56">
        <f>X138-W138</f>
        <v>-33.325043787769118</v>
      </c>
      <c r="Y205" s="57">
        <f>Y138-X138</f>
        <v>43.177616398913869</v>
      </c>
      <c r="Z205" s="57">
        <f>Z138-Y138</f>
        <v>22.538458958057504</v>
      </c>
      <c r="AA205" s="57">
        <f>AA138-Z138</f>
        <v>-10.877655161261032</v>
      </c>
      <c r="AB205" s="59">
        <f t="shared" si="223"/>
        <v>21.513376407941223</v>
      </c>
      <c r="AC205" s="56">
        <f>AC138-AB138</f>
        <v>2.1127175057075647</v>
      </c>
      <c r="AD205" s="57">
        <f>AD138-AC138</f>
        <v>10.691526579772358</v>
      </c>
      <c r="AE205" s="57">
        <f>AE138-AD138</f>
        <v>2.0165744025764525</v>
      </c>
      <c r="AF205" s="57">
        <f>AF138-AE138</f>
        <v>-2.3264922818653986</v>
      </c>
      <c r="AG205" s="59">
        <f t="shared" si="224"/>
        <v>12.494326206190976</v>
      </c>
      <c r="AH205" s="56">
        <f>AH138-AG138</f>
        <v>3.7929965057974186</v>
      </c>
      <c r="AI205" s="57">
        <f>AI138-AH138</f>
        <v>3.222652315168375</v>
      </c>
      <c r="AJ205" s="57">
        <f>AJ138-AI138</f>
        <v>1.1522942277370021</v>
      </c>
      <c r="AK205" s="57">
        <f>AK138-AJ138</f>
        <v>1.1186011643692382</v>
      </c>
      <c r="AL205" s="59">
        <f t="shared" si="225"/>
        <v>9.2865442130720339</v>
      </c>
    </row>
    <row r="206" spans="2:38" outlineLevel="1" x14ac:dyDescent="0.3">
      <c r="B206" s="357" t="s">
        <v>32</v>
      </c>
      <c r="C206" s="358"/>
      <c r="D206" s="62">
        <f>SUM(D198:D205)</f>
        <v>-12047</v>
      </c>
      <c r="E206" s="63">
        <f>SUM(E198:E205)</f>
        <v>465</v>
      </c>
      <c r="F206" s="63">
        <f>SUM(F198:F205)</f>
        <v>-1769</v>
      </c>
      <c r="G206" s="63">
        <f>SUM(G198:G205)</f>
        <v>-3996</v>
      </c>
      <c r="H206" s="64">
        <f>SUM(D206:G206)</f>
        <v>-17347</v>
      </c>
      <c r="I206" s="62">
        <f>SUM(I198:I205)</f>
        <v>-7501</v>
      </c>
      <c r="J206" s="63">
        <f>SUM(J198:J205)</f>
        <v>-26272</v>
      </c>
      <c r="K206" s="63">
        <f>SUM(K198:K205)</f>
        <v>-31523</v>
      </c>
      <c r="L206" s="63">
        <f>SUM(L198:L205)</f>
        <v>-22580</v>
      </c>
      <c r="M206" s="53">
        <f t="shared" si="220"/>
        <v>-87876</v>
      </c>
      <c r="N206" s="62">
        <f>SUM(N198:N205)</f>
        <v>-13676</v>
      </c>
      <c r="O206" s="63">
        <f>SUM(O198:O205)</f>
        <v>-29457</v>
      </c>
      <c r="P206" s="63">
        <f>SUM(P198:P205)</f>
        <v>-15420.43240590081</v>
      </c>
      <c r="Q206" s="63">
        <f>SUM(Q198:Q205)</f>
        <v>-12056.136327904385</v>
      </c>
      <c r="R206" s="53">
        <f t="shared" si="221"/>
        <v>-70609.568733805194</v>
      </c>
      <c r="S206" s="62">
        <f>SUM(S198:S205)</f>
        <v>3126.9192041272158</v>
      </c>
      <c r="T206" s="63">
        <f>SUM(T198:T205)</f>
        <v>-2167.3405981557607</v>
      </c>
      <c r="U206" s="63">
        <f>SUM(U198:U205)</f>
        <v>-6865.3604666037518</v>
      </c>
      <c r="V206" s="63">
        <f>SUM(V198:V205)</f>
        <v>-2593.259111427978</v>
      </c>
      <c r="W206" s="53">
        <f t="shared" si="222"/>
        <v>-8499.0409720602747</v>
      </c>
      <c r="X206" s="62">
        <f>SUM(X198:X205)</f>
        <v>5000.2889874997672</v>
      </c>
      <c r="Y206" s="63">
        <f>SUM(Y198:Y205)</f>
        <v>-526.84284511989836</v>
      </c>
      <c r="Z206" s="63">
        <f>SUM(Z198:Z205)</f>
        <v>-5310.8527848131962</v>
      </c>
      <c r="AA206" s="63">
        <f>SUM(AA198:AA205)</f>
        <v>-1584.3216648035304</v>
      </c>
      <c r="AB206" s="53">
        <f t="shared" si="223"/>
        <v>-2421.7283072368573</v>
      </c>
      <c r="AC206" s="62">
        <f>SUM(AC198:AC205)</f>
        <v>4100.7403989773329</v>
      </c>
      <c r="AD206" s="63">
        <f>SUM(AD198:AD205)</f>
        <v>-1892.7696148900368</v>
      </c>
      <c r="AE206" s="63">
        <f>SUM(AE198:AE205)</f>
        <v>-6800.7111062091444</v>
      </c>
      <c r="AF206" s="63">
        <f>SUM(AF198:AF205)</f>
        <v>-3032.6385539671464</v>
      </c>
      <c r="AG206" s="53">
        <f t="shared" si="224"/>
        <v>-7625.3788760889947</v>
      </c>
      <c r="AH206" s="62">
        <f>SUM(AH198:AH205)</f>
        <v>2449.8816505745108</v>
      </c>
      <c r="AI206" s="63">
        <f>SUM(AI198:AI205)</f>
        <v>-3318.7281577550139</v>
      </c>
      <c r="AJ206" s="63">
        <f>SUM(AJ198:AJ205)</f>
        <v>-8311.4183337065933</v>
      </c>
      <c r="AK206" s="63">
        <f>SUM(AK198:AK205)</f>
        <v>-4816.1530266356131</v>
      </c>
      <c r="AL206" s="53">
        <f t="shared" si="225"/>
        <v>-13996.417867522709</v>
      </c>
    </row>
    <row r="207" spans="2:38" outlineLevel="1" x14ac:dyDescent="0.3">
      <c r="B207" s="355" t="s">
        <v>33</v>
      </c>
      <c r="C207" s="356"/>
      <c r="D207" s="51">
        <f t="shared" ref="D207:AL207" si="236">D206+D196+D187</f>
        <v>-4113</v>
      </c>
      <c r="E207" s="32">
        <f t="shared" si="236"/>
        <v>-1214</v>
      </c>
      <c r="F207" s="32">
        <f t="shared" si="236"/>
        <v>3414</v>
      </c>
      <c r="G207" s="32">
        <f t="shared" si="236"/>
        <v>1718</v>
      </c>
      <c r="H207" s="53">
        <f t="shared" si="236"/>
        <v>-195</v>
      </c>
      <c r="I207" s="51">
        <f t="shared" si="236"/>
        <v>7202</v>
      </c>
      <c r="J207" s="32">
        <f t="shared" si="236"/>
        <v>17568</v>
      </c>
      <c r="K207" s="32">
        <f t="shared" si="236"/>
        <v>-13088</v>
      </c>
      <c r="L207" s="32">
        <f t="shared" si="236"/>
        <v>-6058</v>
      </c>
      <c r="M207" s="53">
        <f t="shared" si="236"/>
        <v>5624</v>
      </c>
      <c r="N207" s="51">
        <f t="shared" si="236"/>
        <v>18858</v>
      </c>
      <c r="O207" s="32">
        <f t="shared" si="236"/>
        <v>-4954</v>
      </c>
      <c r="P207" s="32">
        <f t="shared" si="236"/>
        <v>-4519.6433873468613</v>
      </c>
      <c r="Q207" s="32">
        <f t="shared" si="236"/>
        <v>-7296.6278111218126</v>
      </c>
      <c r="R207" s="53">
        <f t="shared" si="236"/>
        <v>2087.7288015313534</v>
      </c>
      <c r="S207" s="51">
        <f t="shared" si="236"/>
        <v>16354.085080779387</v>
      </c>
      <c r="T207" s="32">
        <f t="shared" si="236"/>
        <v>11696.127939471651</v>
      </c>
      <c r="U207" s="32">
        <f t="shared" si="236"/>
        <v>-3501.5131216824066</v>
      </c>
      <c r="V207" s="32">
        <f t="shared" si="236"/>
        <v>-3454.945415850787</v>
      </c>
      <c r="W207" s="53">
        <f t="shared" si="236"/>
        <v>21093.754482717806</v>
      </c>
      <c r="X207" s="51">
        <f t="shared" si="236"/>
        <v>22092.397860561679</v>
      </c>
      <c r="Y207" s="32">
        <f t="shared" si="236"/>
        <v>11668.08638404243</v>
      </c>
      <c r="Z207" s="32">
        <f t="shared" si="236"/>
        <v>-940.75909903141473</v>
      </c>
      <c r="AA207" s="32">
        <f t="shared" si="236"/>
        <v>-2515.1918390236606</v>
      </c>
      <c r="AB207" s="53">
        <f t="shared" si="236"/>
        <v>30304.533306548976</v>
      </c>
      <c r="AC207" s="51">
        <f t="shared" si="236"/>
        <v>21920.134776438146</v>
      </c>
      <c r="AD207" s="32">
        <f t="shared" si="236"/>
        <v>12265.552582486913</v>
      </c>
      <c r="AE207" s="32">
        <f t="shared" si="236"/>
        <v>-2369.8400897029369</v>
      </c>
      <c r="AF207" s="32">
        <f t="shared" si="236"/>
        <v>-3386.6841166966115</v>
      </c>
      <c r="AG207" s="53">
        <f t="shared" si="236"/>
        <v>28429.163152525507</v>
      </c>
      <c r="AH207" s="51">
        <f t="shared" si="236"/>
        <v>22346.009923642778</v>
      </c>
      <c r="AI207" s="32">
        <f t="shared" si="236"/>
        <v>10895.940009903416</v>
      </c>
      <c r="AJ207" s="32">
        <f t="shared" si="236"/>
        <v>-3039.5730421779044</v>
      </c>
      <c r="AK207" s="32">
        <f t="shared" si="236"/>
        <v>-4537.7356899702136</v>
      </c>
      <c r="AL207" s="53">
        <f t="shared" si="236"/>
        <v>25664.641201398044</v>
      </c>
    </row>
    <row r="208" spans="2:38" ht="16.2" outlineLevel="1" x14ac:dyDescent="0.45">
      <c r="B208" s="355" t="s">
        <v>34</v>
      </c>
      <c r="C208" s="356"/>
      <c r="D208" s="56">
        <v>20484</v>
      </c>
      <c r="E208" s="57">
        <f t="shared" ref="E208:Q208" si="237">D209</f>
        <v>16371</v>
      </c>
      <c r="F208" s="57">
        <f t="shared" si="237"/>
        <v>15157</v>
      </c>
      <c r="G208" s="57">
        <f t="shared" si="237"/>
        <v>18571</v>
      </c>
      <c r="H208" s="59">
        <f>D208</f>
        <v>20484</v>
      </c>
      <c r="I208" s="56">
        <f t="shared" si="237"/>
        <v>20289</v>
      </c>
      <c r="J208" s="57">
        <f t="shared" si="237"/>
        <v>27491</v>
      </c>
      <c r="K208" s="57">
        <f t="shared" si="237"/>
        <v>45059</v>
      </c>
      <c r="L208" s="57">
        <f t="shared" si="237"/>
        <v>31971</v>
      </c>
      <c r="M208" s="59">
        <f>H209</f>
        <v>20289</v>
      </c>
      <c r="N208" s="56">
        <f t="shared" si="237"/>
        <v>25913</v>
      </c>
      <c r="O208" s="57">
        <f t="shared" si="237"/>
        <v>44771</v>
      </c>
      <c r="P208" s="57">
        <f t="shared" si="237"/>
        <v>39817</v>
      </c>
      <c r="Q208" s="57">
        <f t="shared" si="237"/>
        <v>35297.356612653137</v>
      </c>
      <c r="R208" s="59">
        <f>M209</f>
        <v>25913</v>
      </c>
      <c r="S208" s="56">
        <f>R209</f>
        <v>28000.728801531353</v>
      </c>
      <c r="T208" s="57">
        <f>S209</f>
        <v>44354.813882310744</v>
      </c>
      <c r="U208" s="57">
        <f>T209</f>
        <v>56050.941821782399</v>
      </c>
      <c r="V208" s="57">
        <f>U209</f>
        <v>52549.42870009999</v>
      </c>
      <c r="W208" s="59">
        <f>R209</f>
        <v>28000.728801531353</v>
      </c>
      <c r="X208" s="56">
        <f>W209</f>
        <v>49094.48328424916</v>
      </c>
      <c r="Y208" s="57">
        <f>X209</f>
        <v>71186.881144810846</v>
      </c>
      <c r="Z208" s="57">
        <f>Y209</f>
        <v>82854.967528853274</v>
      </c>
      <c r="AA208" s="57">
        <f>Z209</f>
        <v>81914.208429821854</v>
      </c>
      <c r="AB208" s="59">
        <f>W209</f>
        <v>49094.48328424916</v>
      </c>
      <c r="AC208" s="56">
        <f>AB209</f>
        <v>79399.016590798128</v>
      </c>
      <c r="AD208" s="57">
        <f>AC209</f>
        <v>101319.15136723628</v>
      </c>
      <c r="AE208" s="57">
        <f>AD209</f>
        <v>113584.70394972319</v>
      </c>
      <c r="AF208" s="57">
        <f>AE209</f>
        <v>111214.86386002025</v>
      </c>
      <c r="AG208" s="59">
        <f>AB209</f>
        <v>79399.016590798128</v>
      </c>
      <c r="AH208" s="56">
        <f>AG209</f>
        <v>107828.17974332364</v>
      </c>
      <c r="AI208" s="57">
        <f>AH209</f>
        <v>130174.18966696641</v>
      </c>
      <c r="AJ208" s="57">
        <f>AI209</f>
        <v>141070.12967686984</v>
      </c>
      <c r="AK208" s="57">
        <f>AJ209</f>
        <v>138030.55663469192</v>
      </c>
      <c r="AL208" s="59">
        <f>AG209</f>
        <v>107828.17974332364</v>
      </c>
    </row>
    <row r="209" spans="2:38" outlineLevel="1" x14ac:dyDescent="0.3">
      <c r="B209" s="357" t="s">
        <v>35</v>
      </c>
      <c r="C209" s="358"/>
      <c r="D209" s="62">
        <f t="shared" ref="D209:AB209" si="238">D208+D207</f>
        <v>16371</v>
      </c>
      <c r="E209" s="63">
        <f t="shared" si="238"/>
        <v>15157</v>
      </c>
      <c r="F209" s="63">
        <f t="shared" si="238"/>
        <v>18571</v>
      </c>
      <c r="G209" s="63">
        <f t="shared" si="238"/>
        <v>20289</v>
      </c>
      <c r="H209" s="64">
        <f>H208+H207</f>
        <v>20289</v>
      </c>
      <c r="I209" s="62">
        <f t="shared" si="238"/>
        <v>27491</v>
      </c>
      <c r="J209" s="63">
        <f t="shared" si="238"/>
        <v>45059</v>
      </c>
      <c r="K209" s="63">
        <f t="shared" si="238"/>
        <v>31971</v>
      </c>
      <c r="L209" s="63">
        <f t="shared" si="238"/>
        <v>25913</v>
      </c>
      <c r="M209" s="64">
        <f t="shared" si="238"/>
        <v>25913</v>
      </c>
      <c r="N209" s="62">
        <f t="shared" si="238"/>
        <v>44771</v>
      </c>
      <c r="O209" s="63">
        <f t="shared" si="238"/>
        <v>39817</v>
      </c>
      <c r="P209" s="63">
        <f t="shared" si="238"/>
        <v>35297.356612653137</v>
      </c>
      <c r="Q209" s="63">
        <f t="shared" si="238"/>
        <v>28000.728801531324</v>
      </c>
      <c r="R209" s="64">
        <f t="shared" si="238"/>
        <v>28000.728801531353</v>
      </c>
      <c r="S209" s="62">
        <f t="shared" si="238"/>
        <v>44354.813882310744</v>
      </c>
      <c r="T209" s="63">
        <f t="shared" si="238"/>
        <v>56050.941821782399</v>
      </c>
      <c r="U209" s="63">
        <f t="shared" si="238"/>
        <v>52549.42870009999</v>
      </c>
      <c r="V209" s="63">
        <f t="shared" si="238"/>
        <v>49094.483284249203</v>
      </c>
      <c r="W209" s="64">
        <f t="shared" si="238"/>
        <v>49094.48328424916</v>
      </c>
      <c r="X209" s="62">
        <f t="shared" si="238"/>
        <v>71186.881144810846</v>
      </c>
      <c r="Y209" s="63">
        <f t="shared" si="238"/>
        <v>82854.967528853274</v>
      </c>
      <c r="Z209" s="63">
        <f t="shared" si="238"/>
        <v>81914.208429821854</v>
      </c>
      <c r="AA209" s="63">
        <f t="shared" si="238"/>
        <v>79399.016590798186</v>
      </c>
      <c r="AB209" s="64">
        <f t="shared" si="238"/>
        <v>79399.016590798128</v>
      </c>
      <c r="AC209" s="62">
        <f t="shared" ref="AC209:AL209" si="239">AC208+AC207</f>
        <v>101319.15136723628</v>
      </c>
      <c r="AD209" s="63">
        <f t="shared" si="239"/>
        <v>113584.70394972319</v>
      </c>
      <c r="AE209" s="63">
        <f t="shared" si="239"/>
        <v>111214.86386002025</v>
      </c>
      <c r="AF209" s="63">
        <f t="shared" si="239"/>
        <v>107828.17974332365</v>
      </c>
      <c r="AG209" s="64">
        <f t="shared" si="239"/>
        <v>107828.17974332364</v>
      </c>
      <c r="AH209" s="62">
        <f t="shared" si="239"/>
        <v>130174.18966696641</v>
      </c>
      <c r="AI209" s="63">
        <f t="shared" si="239"/>
        <v>141070.12967686984</v>
      </c>
      <c r="AJ209" s="63">
        <f t="shared" si="239"/>
        <v>138030.55663469192</v>
      </c>
      <c r="AK209" s="63">
        <f t="shared" si="239"/>
        <v>133492.82094472169</v>
      </c>
      <c r="AL209" s="64">
        <f t="shared" si="239"/>
        <v>133492.82094472169</v>
      </c>
    </row>
    <row r="210" spans="2:38" outlineLevel="1" x14ac:dyDescent="0.3">
      <c r="B210" s="422" t="s">
        <v>387</v>
      </c>
      <c r="C210" s="426"/>
      <c r="D210" s="427"/>
      <c r="E210" s="428"/>
      <c r="F210" s="428"/>
      <c r="G210" s="428"/>
      <c r="H210" s="429"/>
      <c r="I210" s="427"/>
      <c r="J210" s="428"/>
      <c r="K210" s="428"/>
      <c r="L210" s="428"/>
      <c r="M210" s="429"/>
      <c r="N210" s="427"/>
      <c r="O210" s="428">
        <f>341+1488</f>
        <v>1829</v>
      </c>
      <c r="P210" s="430">
        <f>+O210</f>
        <v>1829</v>
      </c>
      <c r="Q210" s="430">
        <f>+P210</f>
        <v>1829</v>
      </c>
      <c r="R210" s="429">
        <f>+Q210</f>
        <v>1829</v>
      </c>
      <c r="S210" s="431">
        <f>+Q210</f>
        <v>1829</v>
      </c>
      <c r="T210" s="430">
        <f>+S210</f>
        <v>1829</v>
      </c>
      <c r="U210" s="430">
        <f>+T210</f>
        <v>1829</v>
      </c>
      <c r="V210" s="430">
        <f>+U210</f>
        <v>1829</v>
      </c>
      <c r="W210" s="429">
        <f>+V210</f>
        <v>1829</v>
      </c>
      <c r="X210" s="431">
        <f>+V210</f>
        <v>1829</v>
      </c>
      <c r="Y210" s="430">
        <f>+X210</f>
        <v>1829</v>
      </c>
      <c r="Z210" s="430">
        <f>+Y210</f>
        <v>1829</v>
      </c>
      <c r="AA210" s="430">
        <f>+Z210</f>
        <v>1829</v>
      </c>
      <c r="AB210" s="429">
        <f>+AA210</f>
        <v>1829</v>
      </c>
      <c r="AC210" s="431">
        <f>+AA210</f>
        <v>1829</v>
      </c>
      <c r="AD210" s="430">
        <f>+AC210</f>
        <v>1829</v>
      </c>
      <c r="AE210" s="430">
        <f>+AD210</f>
        <v>1829</v>
      </c>
      <c r="AF210" s="430">
        <f>+AE210</f>
        <v>1829</v>
      </c>
      <c r="AG210" s="429">
        <f>+AF210</f>
        <v>1829</v>
      </c>
      <c r="AH210" s="431">
        <f>+AF210</f>
        <v>1829</v>
      </c>
      <c r="AI210" s="430">
        <f>+AH210</f>
        <v>1829</v>
      </c>
      <c r="AJ210" s="430">
        <f>+AI210</f>
        <v>1829</v>
      </c>
      <c r="AK210" s="430">
        <f>+AJ210</f>
        <v>1829</v>
      </c>
      <c r="AL210" s="429">
        <f>+AK210</f>
        <v>1829</v>
      </c>
    </row>
    <row r="211" spans="2:38" outlineLevel="1" x14ac:dyDescent="0.3">
      <c r="B211" s="359" t="s">
        <v>388</v>
      </c>
      <c r="C211" s="358"/>
      <c r="D211" s="62"/>
      <c r="E211" s="63"/>
      <c r="F211" s="63"/>
      <c r="G211" s="63"/>
      <c r="H211" s="64"/>
      <c r="I211" s="62"/>
      <c r="J211" s="63"/>
      <c r="K211" s="63"/>
      <c r="L211" s="63"/>
      <c r="M211" s="64"/>
      <c r="N211" s="62"/>
      <c r="O211" s="63">
        <f>+O209-O210</f>
        <v>37988</v>
      </c>
      <c r="P211" s="63">
        <f t="shared" ref="P211:W211" si="240">+P209-P210</f>
        <v>33468.356612653137</v>
      </c>
      <c r="Q211" s="63">
        <f t="shared" si="240"/>
        <v>26171.728801531324</v>
      </c>
      <c r="R211" s="64">
        <f t="shared" si="240"/>
        <v>26171.728801531353</v>
      </c>
      <c r="S211" s="62">
        <f t="shared" si="240"/>
        <v>42525.813882310744</v>
      </c>
      <c r="T211" s="63">
        <f t="shared" si="240"/>
        <v>54221.941821782399</v>
      </c>
      <c r="U211" s="63">
        <f t="shared" si="240"/>
        <v>50720.42870009999</v>
      </c>
      <c r="V211" s="63">
        <f t="shared" si="240"/>
        <v>47265.483284249203</v>
      </c>
      <c r="W211" s="64">
        <f t="shared" si="240"/>
        <v>47265.48328424916</v>
      </c>
      <c r="X211" s="62">
        <f t="shared" ref="X211" si="241">+X209-X210</f>
        <v>69357.881144810846</v>
      </c>
      <c r="Y211" s="63">
        <f t="shared" ref="Y211" si="242">+Y209-Y210</f>
        <v>81025.967528853274</v>
      </c>
      <c r="Z211" s="63">
        <f t="shared" ref="Z211" si="243">+Z209-Z210</f>
        <v>80085.208429821854</v>
      </c>
      <c r="AA211" s="63">
        <f t="shared" ref="AA211" si="244">+AA209-AA210</f>
        <v>77570.016590798186</v>
      </c>
      <c r="AB211" s="64">
        <f t="shared" ref="AB211" si="245">+AB209-AB210</f>
        <v>77570.016590798128</v>
      </c>
      <c r="AC211" s="62">
        <f t="shared" ref="AC211" si="246">+AC209-AC210</f>
        <v>99490.151367236278</v>
      </c>
      <c r="AD211" s="63">
        <f t="shared" ref="AD211" si="247">+AD209-AD210</f>
        <v>111755.70394972319</v>
      </c>
      <c r="AE211" s="63">
        <f t="shared" ref="AE211" si="248">+AE209-AE210</f>
        <v>109385.86386002025</v>
      </c>
      <c r="AF211" s="63">
        <f t="shared" ref="AF211" si="249">+AF209-AF210</f>
        <v>105999.17974332365</v>
      </c>
      <c r="AG211" s="64">
        <f t="shared" ref="AG211" si="250">+AG209-AG210</f>
        <v>105999.17974332364</v>
      </c>
      <c r="AH211" s="62">
        <f t="shared" ref="AH211" si="251">+AH209-AH210</f>
        <v>128345.18966696641</v>
      </c>
      <c r="AI211" s="63">
        <f t="shared" ref="AI211" si="252">+AI209-AI210</f>
        <v>139241.12967686984</v>
      </c>
      <c r="AJ211" s="63">
        <f t="shared" ref="AJ211" si="253">+AJ209-AJ210</f>
        <v>136201.55663469192</v>
      </c>
      <c r="AK211" s="63">
        <f t="shared" ref="AK211" si="254">+AK209-AK210</f>
        <v>131663.82094472169</v>
      </c>
      <c r="AL211" s="64">
        <f t="shared" ref="AL211" si="255">+AL209-AL210</f>
        <v>131663.82094472169</v>
      </c>
    </row>
    <row r="212" spans="2:38" outlineLevel="1" x14ac:dyDescent="0.3">
      <c r="B212" s="344" t="s">
        <v>396</v>
      </c>
      <c r="C212" s="342"/>
      <c r="D212" s="62">
        <f t="shared" ref="D212:AL212" si="256">D187-(-D193)</f>
        <v>23722</v>
      </c>
      <c r="E212" s="63">
        <f t="shared" si="256"/>
        <v>9548</v>
      </c>
      <c r="F212" s="63">
        <f t="shared" si="256"/>
        <v>6086</v>
      </c>
      <c r="G212" s="63">
        <f t="shared" si="256"/>
        <v>11791</v>
      </c>
      <c r="H212" s="64">
        <f t="shared" si="256"/>
        <v>51147</v>
      </c>
      <c r="I212" s="62">
        <f t="shared" si="256"/>
        <v>25483</v>
      </c>
      <c r="J212" s="63">
        <f t="shared" si="256"/>
        <v>10935</v>
      </c>
      <c r="K212" s="63">
        <f t="shared" si="256"/>
        <v>11221</v>
      </c>
      <c r="L212" s="63">
        <f t="shared" si="256"/>
        <v>16482</v>
      </c>
      <c r="M212" s="64">
        <f t="shared" si="256"/>
        <v>64121</v>
      </c>
      <c r="N212" s="62">
        <f t="shared" si="256"/>
        <v>23335</v>
      </c>
      <c r="O212" s="63">
        <f t="shared" si="256"/>
        <v>8792</v>
      </c>
      <c r="P212" s="63">
        <f>P187-(-P193)</f>
        <v>7076.7426386386342</v>
      </c>
      <c r="Q212" s="63">
        <f t="shared" si="256"/>
        <v>18404.596906473409</v>
      </c>
      <c r="R212" s="64">
        <f t="shared" si="256"/>
        <v>57608.33954511206</v>
      </c>
      <c r="S212" s="62">
        <f t="shared" si="256"/>
        <v>33904.303526028649</v>
      </c>
      <c r="T212" s="63">
        <f t="shared" si="256"/>
        <v>8208.6664314072113</v>
      </c>
      <c r="U212" s="63">
        <f t="shared" si="256"/>
        <v>3968.5402477699936</v>
      </c>
      <c r="V212" s="63">
        <f t="shared" si="256"/>
        <v>18776.028095710935</v>
      </c>
      <c r="W212" s="64">
        <f t="shared" si="256"/>
        <v>64857.538300916749</v>
      </c>
      <c r="X212" s="62">
        <f t="shared" si="256"/>
        <v>39021.64203338221</v>
      </c>
      <c r="Y212" s="63">
        <f t="shared" si="256"/>
        <v>9689.7712790773876</v>
      </c>
      <c r="Z212" s="63">
        <f t="shared" si="256"/>
        <v>6903.0739125692508</v>
      </c>
      <c r="AA212" s="63">
        <f t="shared" si="256"/>
        <v>21811.088899675917</v>
      </c>
      <c r="AB212" s="64">
        <f t="shared" si="256"/>
        <v>77425.576124704705</v>
      </c>
      <c r="AC212" s="62">
        <f t="shared" si="256"/>
        <v>39551.277840876981</v>
      </c>
      <c r="AD212" s="63">
        <f t="shared" si="256"/>
        <v>9888.3251861173012</v>
      </c>
      <c r="AE212" s="63">
        <f t="shared" si="256"/>
        <v>5845.913527012206</v>
      </c>
      <c r="AF212" s="63">
        <f t="shared" si="256"/>
        <v>21668.41558852468</v>
      </c>
      <c r="AG212" s="64">
        <f t="shared" si="256"/>
        <v>76953.932142531165</v>
      </c>
      <c r="AH212" s="62">
        <f t="shared" si="256"/>
        <v>41628.309854768399</v>
      </c>
      <c r="AI212" s="63">
        <f t="shared" si="256"/>
        <v>9033.6193474323991</v>
      </c>
      <c r="AJ212" s="63">
        <f t="shared" si="256"/>
        <v>5724.1817718521906</v>
      </c>
      <c r="AK212" s="63">
        <f t="shared" si="256"/>
        <v>21485.332838018032</v>
      </c>
      <c r="AL212" s="64">
        <f t="shared" si="256"/>
        <v>77871.443812070997</v>
      </c>
    </row>
    <row r="213" spans="2:38" s="14" customFormat="1" outlineLevel="1" x14ac:dyDescent="0.3">
      <c r="B213" s="443" t="s">
        <v>50</v>
      </c>
      <c r="C213" s="444"/>
      <c r="D213" s="423">
        <f t="shared" ref="D213:L213" si="257">D187-(-D193)+($C$252*(D139+D136)*(1-$C$253))</f>
        <v>26354.17727820342</v>
      </c>
      <c r="E213" s="424">
        <f t="shared" si="257"/>
        <v>12510.082602921306</v>
      </c>
      <c r="F213" s="424">
        <f t="shared" si="257"/>
        <v>9343.2325685419637</v>
      </c>
      <c r="G213" s="424">
        <f t="shared" si="257"/>
        <v>15268.94112488517</v>
      </c>
      <c r="H213" s="425">
        <f t="shared" si="257"/>
        <v>54624.941124885168</v>
      </c>
      <c r="I213" s="423">
        <f t="shared" si="257"/>
        <v>29162.979198529953</v>
      </c>
      <c r="J213" s="424">
        <f t="shared" si="257"/>
        <v>14598.142692392887</v>
      </c>
      <c r="K213" s="424">
        <f t="shared" si="257"/>
        <v>14666.470720192259</v>
      </c>
      <c r="L213" s="424">
        <f t="shared" si="257"/>
        <v>19923.953093017193</v>
      </c>
      <c r="M213" s="425">
        <f>M187-(-M193)+($C$252*(M139+M136)*(1-$C$253))</f>
        <v>67562.95309301719</v>
      </c>
      <c r="N213" s="423">
        <f>N187-(-N193)+($C$252*(N139+N136)*(1-$C$253))</f>
        <v>26784.379194831221</v>
      </c>
      <c r="O213" s="424">
        <f>O187-(-O193)+($C$252*(O139+O136)*(1-$C$253))</f>
        <v>12178.242296817227</v>
      </c>
      <c r="P213" s="424">
        <f>P187-(-P193)+($C$252*(P139+P136)*(1-$C$253))</f>
        <v>10351.257326421168</v>
      </c>
      <c r="Q213" s="424">
        <f>Q187-(-Q193)+($C$252*(Q139+Q136)*(1-$C$253))</f>
        <v>21678.200092191171</v>
      </c>
      <c r="R213" s="425">
        <f>R187-(-R193)+($C$252*(R139+R136)*(1-$C$253))</f>
        <v>60881.942730829818</v>
      </c>
      <c r="S213" s="423"/>
      <c r="T213" s="424"/>
      <c r="U213" s="424"/>
      <c r="V213" s="424"/>
      <c r="W213" s="425">
        <f>W187-(-W193)+($C$252*(W139+W136)*(1-$C$253))</f>
        <v>68882.253429384378</v>
      </c>
      <c r="X213" s="423"/>
      <c r="Y213" s="424"/>
      <c r="Z213" s="424"/>
      <c r="AA213" s="424"/>
      <c r="AB213" s="425">
        <f>AB187-(-AB193)+($C$252*(AB139+AB136)*(1-$C$253))</f>
        <v>82420.538901104825</v>
      </c>
      <c r="AC213" s="423"/>
      <c r="AD213" s="424"/>
      <c r="AE213" s="424"/>
      <c r="AF213" s="424"/>
      <c r="AG213" s="425">
        <f>AG187-(-AG193)+($C$252*(AG139+AG136)*(1-$C$253))</f>
        <v>82804.228843265941</v>
      </c>
      <c r="AH213" s="423"/>
      <c r="AI213" s="424"/>
      <c r="AJ213" s="424"/>
      <c r="AK213" s="424"/>
      <c r="AL213" s="425">
        <f>AL187-(-AL193)+($C$252*(AL139+AL136)*(1-$C$253))</f>
        <v>84429.684630872522</v>
      </c>
    </row>
    <row r="214" spans="2:38" outlineLevel="1" x14ac:dyDescent="0.3">
      <c r="B214" s="72" t="s">
        <v>126</v>
      </c>
      <c r="C214" s="73"/>
      <c r="D214" s="32"/>
      <c r="E214" s="32"/>
      <c r="F214" s="32"/>
      <c r="G214" s="32"/>
      <c r="H214" s="53">
        <v>0</v>
      </c>
      <c r="I214" s="32"/>
      <c r="J214" s="32"/>
      <c r="K214" s="32"/>
      <c r="L214" s="32"/>
      <c r="M214" s="132">
        <v>0</v>
      </c>
      <c r="N214" s="32"/>
      <c r="O214" s="32"/>
      <c r="P214" s="32"/>
      <c r="Q214" s="32"/>
      <c r="R214" s="132">
        <f>M214+1</f>
        <v>1</v>
      </c>
      <c r="U214" s="29"/>
      <c r="V214" s="29"/>
      <c r="W214" s="132">
        <f>R214+1</f>
        <v>2</v>
      </c>
      <c r="Z214" s="29"/>
      <c r="AA214" s="29"/>
      <c r="AB214" s="132">
        <f>W214+1</f>
        <v>3</v>
      </c>
      <c r="AE214" s="29"/>
      <c r="AF214" s="29"/>
      <c r="AG214" s="132">
        <f>AB214+1</f>
        <v>4</v>
      </c>
      <c r="AJ214" s="29"/>
      <c r="AK214" s="29"/>
      <c r="AL214" s="132">
        <f>AG214+1</f>
        <v>5</v>
      </c>
    </row>
    <row r="215" spans="2:38" outlineLevel="1" x14ac:dyDescent="0.3">
      <c r="B215" s="355" t="s">
        <v>51</v>
      </c>
      <c r="C215" s="356"/>
      <c r="D215" s="32"/>
      <c r="E215" s="32"/>
      <c r="F215" s="32"/>
      <c r="G215" s="32"/>
      <c r="H215" s="53">
        <f>H213/(1+$C$255)^H214</f>
        <v>54624.941124885168</v>
      </c>
      <c r="I215" s="32"/>
      <c r="J215" s="32"/>
      <c r="K215" s="32"/>
      <c r="L215" s="32"/>
      <c r="M215" s="53">
        <f>M213/(1+$C$255)^M214</f>
        <v>67562.95309301719</v>
      </c>
      <c r="N215" s="32"/>
      <c r="O215" s="32"/>
      <c r="P215" s="32"/>
      <c r="Q215" s="32"/>
      <c r="R215" s="53">
        <f>R213/(1+$C$255)^R214</f>
        <v>56010.973891322472</v>
      </c>
      <c r="S215" s="32"/>
      <c r="T215" s="32"/>
      <c r="U215" s="32"/>
      <c r="V215" s="32"/>
      <c r="W215" s="53">
        <f>W213/(1+$C$255)^W214</f>
        <v>58301.078650515716</v>
      </c>
      <c r="X215" s="32"/>
      <c r="Y215" s="32"/>
      <c r="Z215" s="32"/>
      <c r="AA215" s="32"/>
      <c r="AB215" s="53">
        <f>AB213/(1+$C$255)^AB214</f>
        <v>64178.463467721034</v>
      </c>
      <c r="AC215" s="32"/>
      <c r="AD215" s="32"/>
      <c r="AE215" s="32"/>
      <c r="AF215" s="32"/>
      <c r="AG215" s="53">
        <f>AG213/(1+$C$255)^AG214</f>
        <v>59318.615242232394</v>
      </c>
      <c r="AH215" s="32"/>
      <c r="AI215" s="32"/>
      <c r="AJ215" s="32"/>
      <c r="AK215" s="32"/>
      <c r="AL215" s="53">
        <f>AL213/(1+$C$255)^AL214</f>
        <v>55643.991557906542</v>
      </c>
    </row>
    <row r="216" spans="2:38" outlineLevel="1" x14ac:dyDescent="0.3">
      <c r="B216" s="110" t="s">
        <v>176</v>
      </c>
      <c r="C216" s="77"/>
      <c r="D216" s="78"/>
      <c r="E216" s="78"/>
      <c r="F216" s="78"/>
      <c r="G216" s="78"/>
      <c r="H216" s="79"/>
      <c r="I216" s="78"/>
      <c r="J216" s="78"/>
      <c r="K216" s="78"/>
      <c r="L216" s="78"/>
      <c r="M216" s="79"/>
      <c r="N216" s="78"/>
      <c r="O216" s="78"/>
      <c r="P216" s="78"/>
      <c r="Q216" s="78"/>
      <c r="R216" s="79"/>
      <c r="S216" s="78"/>
      <c r="T216" s="78"/>
      <c r="U216" s="78"/>
      <c r="V216" s="78"/>
      <c r="W216" s="79"/>
      <c r="X216" s="78"/>
      <c r="Y216" s="78"/>
      <c r="Z216" s="78"/>
      <c r="AA216" s="78"/>
      <c r="AB216" s="79"/>
      <c r="AC216" s="78"/>
      <c r="AD216" s="78"/>
      <c r="AE216" s="78"/>
      <c r="AF216" s="78"/>
      <c r="AG216" s="79"/>
      <c r="AH216" s="78"/>
      <c r="AI216" s="78"/>
      <c r="AJ216" s="78"/>
      <c r="AK216" s="78"/>
      <c r="AL216" s="79"/>
    </row>
    <row r="217" spans="2:38" outlineLevel="1" x14ac:dyDescent="0.3">
      <c r="B217" s="25" t="s">
        <v>333</v>
      </c>
      <c r="C217" s="73"/>
      <c r="D217" s="32">
        <f t="shared" ref="D217:AL217" si="258">+D118+D119+D126</f>
        <v>246090</v>
      </c>
      <c r="E217" s="32">
        <f t="shared" si="258"/>
        <v>256841</v>
      </c>
      <c r="F217" s="32">
        <f t="shared" si="258"/>
        <v>261516</v>
      </c>
      <c r="G217" s="32">
        <f t="shared" si="258"/>
        <v>268895</v>
      </c>
      <c r="H217" s="53">
        <f t="shared" si="258"/>
        <v>268895</v>
      </c>
      <c r="I217" s="51">
        <f t="shared" si="258"/>
        <v>285097</v>
      </c>
      <c r="J217" s="32">
        <f t="shared" si="258"/>
        <v>267226</v>
      </c>
      <c r="K217" s="32">
        <f t="shared" si="258"/>
        <v>243743</v>
      </c>
      <c r="L217" s="32">
        <f t="shared" si="258"/>
        <v>237100</v>
      </c>
      <c r="M217" s="53">
        <f t="shared" si="258"/>
        <v>237100</v>
      </c>
      <c r="N217" s="51">
        <f t="shared" si="258"/>
        <v>245035</v>
      </c>
      <c r="O217" s="32">
        <f t="shared" si="258"/>
        <v>225411</v>
      </c>
      <c r="P217" s="32">
        <f t="shared" si="258"/>
        <v>217067.31023273783</v>
      </c>
      <c r="Q217" s="32">
        <f t="shared" si="258"/>
        <v>223415.77081130684</v>
      </c>
      <c r="R217" s="53">
        <f t="shared" si="258"/>
        <v>223415.77081130684</v>
      </c>
      <c r="S217" s="51">
        <f t="shared" si="258"/>
        <v>260446.99354146275</v>
      </c>
      <c r="T217" s="32">
        <f t="shared" si="258"/>
        <v>266488.31937471416</v>
      </c>
      <c r="U217" s="32">
        <f t="shared" si="258"/>
        <v>263591.49915588042</v>
      </c>
      <c r="V217" s="32">
        <f t="shared" si="258"/>
        <v>279774.26814016339</v>
      </c>
      <c r="W217" s="53">
        <f t="shared" si="258"/>
        <v>279774.26814016339</v>
      </c>
      <c r="X217" s="51">
        <f t="shared" si="258"/>
        <v>323796.19916104531</v>
      </c>
      <c r="Y217" s="32">
        <f t="shared" si="258"/>
        <v>332959.12759500282</v>
      </c>
      <c r="Z217" s="32">
        <f t="shared" si="258"/>
        <v>334551.34872275882</v>
      </c>
      <c r="AA217" s="32">
        <f t="shared" si="258"/>
        <v>354778.11595763126</v>
      </c>
      <c r="AB217" s="53">
        <f t="shared" si="258"/>
        <v>354778.11595763126</v>
      </c>
      <c r="AC217" s="51">
        <f t="shared" si="258"/>
        <v>398430.13419748552</v>
      </c>
      <c r="AD217" s="32">
        <f t="shared" si="258"/>
        <v>406425.68976871273</v>
      </c>
      <c r="AE217" s="32">
        <f t="shared" si="258"/>
        <v>405470.89218951587</v>
      </c>
      <c r="AF217" s="32">
        <f t="shared" si="258"/>
        <v>424106.66922407335</v>
      </c>
      <c r="AG217" s="53">
        <f t="shared" si="258"/>
        <v>424106.66922407335</v>
      </c>
      <c r="AH217" s="51">
        <f t="shared" si="258"/>
        <v>468184.86072941625</v>
      </c>
      <c r="AI217" s="32">
        <f t="shared" si="258"/>
        <v>473899.75191909366</v>
      </c>
      <c r="AJ217" s="32">
        <f t="shared" si="258"/>
        <v>471312.51535723923</v>
      </c>
      <c r="AK217" s="32">
        <f t="shared" si="258"/>
        <v>487981.69516862166</v>
      </c>
      <c r="AL217" s="53">
        <f t="shared" si="258"/>
        <v>487981.69516862166</v>
      </c>
    </row>
    <row r="218" spans="2:38" outlineLevel="1" x14ac:dyDescent="0.3">
      <c r="B218" s="25" t="s">
        <v>334</v>
      </c>
      <c r="C218" s="73"/>
      <c r="D218" s="51">
        <f t="shared" ref="D218:AL218" si="259">+D136+D139</f>
        <v>87549</v>
      </c>
      <c r="E218" s="32">
        <f t="shared" si="259"/>
        <v>98522</v>
      </c>
      <c r="F218" s="32">
        <f t="shared" si="259"/>
        <v>108339</v>
      </c>
      <c r="G218" s="32">
        <f t="shared" si="259"/>
        <v>115680</v>
      </c>
      <c r="H218" s="53">
        <f t="shared" si="259"/>
        <v>115680</v>
      </c>
      <c r="I218" s="51">
        <f t="shared" si="259"/>
        <v>122400</v>
      </c>
      <c r="J218" s="32">
        <f t="shared" si="259"/>
        <v>121840</v>
      </c>
      <c r="K218" s="32">
        <f t="shared" si="259"/>
        <v>114600</v>
      </c>
      <c r="L218" s="32">
        <f t="shared" si="259"/>
        <v>114483</v>
      </c>
      <c r="M218" s="53">
        <f t="shared" si="259"/>
        <v>114483</v>
      </c>
      <c r="N218" s="51">
        <f t="shared" si="259"/>
        <v>114730</v>
      </c>
      <c r="O218" s="32">
        <f t="shared" si="259"/>
        <v>112630</v>
      </c>
      <c r="P218" s="32">
        <f t="shared" si="259"/>
        <v>108913.82156309218</v>
      </c>
      <c r="Q218" s="32">
        <f t="shared" si="259"/>
        <v>108883.50404043533</v>
      </c>
      <c r="R218" s="53">
        <f t="shared" si="259"/>
        <v>108883.50404043533</v>
      </c>
      <c r="S218" s="51">
        <f t="shared" si="259"/>
        <v>121008.43240037684</v>
      </c>
      <c r="T218" s="32">
        <f t="shared" si="259"/>
        <v>126307.19075343238</v>
      </c>
      <c r="U218" s="32">
        <f t="shared" si="259"/>
        <v>128293.97363603105</v>
      </c>
      <c r="V218" s="32">
        <f t="shared" si="259"/>
        <v>133866.28161409928</v>
      </c>
      <c r="W218" s="53">
        <f t="shared" si="259"/>
        <v>133866.28161409928</v>
      </c>
      <c r="X218" s="51">
        <f t="shared" si="259"/>
        <v>147916.60753884792</v>
      </c>
      <c r="Y218" s="32">
        <f t="shared" si="259"/>
        <v>155221.78848469423</v>
      </c>
      <c r="Z218" s="32">
        <f t="shared" si="259"/>
        <v>159283.93249894134</v>
      </c>
      <c r="AA218" s="32">
        <f t="shared" si="259"/>
        <v>166137.74449475284</v>
      </c>
      <c r="AB218" s="53">
        <f t="shared" si="259"/>
        <v>166137.74449475284</v>
      </c>
      <c r="AC218" s="51">
        <f t="shared" si="259"/>
        <v>179601.11491392532</v>
      </c>
      <c r="AD218" s="32">
        <f t="shared" si="259"/>
        <v>185889.56216485344</v>
      </c>
      <c r="AE218" s="32">
        <f t="shared" si="259"/>
        <v>188844.26848184204</v>
      </c>
      <c r="AF218" s="32">
        <f t="shared" si="259"/>
        <v>194587.05539857104</v>
      </c>
      <c r="AG218" s="53">
        <f t="shared" si="259"/>
        <v>194587.05539857104</v>
      </c>
      <c r="AH218" s="51">
        <f t="shared" si="259"/>
        <v>206760.86446754221</v>
      </c>
      <c r="AI218" s="32">
        <f t="shared" si="259"/>
        <v>211972.12329595015</v>
      </c>
      <c r="AJ218" s="32">
        <f t="shared" si="259"/>
        <v>213804.34574340517</v>
      </c>
      <c r="AK218" s="32">
        <f t="shared" si="259"/>
        <v>218134.02547002808</v>
      </c>
      <c r="AL218" s="53">
        <f t="shared" si="259"/>
        <v>218134.02547002808</v>
      </c>
    </row>
    <row r="219" spans="2:38" outlineLevel="1" x14ac:dyDescent="0.3">
      <c r="B219" s="380" t="s">
        <v>335</v>
      </c>
      <c r="C219" s="381"/>
      <c r="D219" s="279">
        <f t="shared" ref="D219:AL219" si="260">+(D217-D218)/D33</f>
        <v>29.756221618075845</v>
      </c>
      <c r="E219" s="280">
        <f t="shared" si="260"/>
        <v>30.089013259623147</v>
      </c>
      <c r="F219" s="280">
        <f t="shared" si="260"/>
        <v>29.26856391870907</v>
      </c>
      <c r="G219" s="281">
        <f t="shared" si="260"/>
        <v>29.873530129152517</v>
      </c>
      <c r="H219" s="282">
        <f t="shared" si="260"/>
        <v>29.174407029201255</v>
      </c>
      <c r="I219" s="279">
        <f t="shared" si="260"/>
        <v>31.543954800770173</v>
      </c>
      <c r="J219" s="280">
        <f t="shared" si="260"/>
        <v>28.684265717640329</v>
      </c>
      <c r="K219" s="280">
        <f t="shared" si="260"/>
        <v>26.213365014353684</v>
      </c>
      <c r="L219" s="281">
        <f t="shared" si="260"/>
        <v>25.294649025579332</v>
      </c>
      <c r="M219" s="282">
        <f t="shared" si="260"/>
        <v>24.522865401534244</v>
      </c>
      <c r="N219" s="279">
        <f t="shared" si="260"/>
        <v>27.29899867008907</v>
      </c>
      <c r="O219" s="280">
        <f t="shared" si="260"/>
        <v>23.992659732300627</v>
      </c>
      <c r="P219" s="280">
        <f t="shared" si="260"/>
        <v>23.369391291490889</v>
      </c>
      <c r="Q219" s="281">
        <f t="shared" si="260"/>
        <v>24.983328907111865</v>
      </c>
      <c r="R219" s="282">
        <f t="shared" si="260"/>
        <v>24.432316725071395</v>
      </c>
      <c r="S219" s="279">
        <f t="shared" si="260"/>
        <v>30.578687333968908</v>
      </c>
      <c r="T219" s="280">
        <f t="shared" si="260"/>
        <v>30.852121613421001</v>
      </c>
      <c r="U219" s="280">
        <f t="shared" si="260"/>
        <v>29.9613263664932</v>
      </c>
      <c r="V219" s="281">
        <f t="shared" si="260"/>
        <v>32.472869846602649</v>
      </c>
      <c r="W219" s="282">
        <f t="shared" si="260"/>
        <v>32.193215993182193</v>
      </c>
      <c r="X219" s="279">
        <f t="shared" si="260"/>
        <v>39.342682401937694</v>
      </c>
      <c r="Y219" s="280">
        <f t="shared" si="260"/>
        <v>39.958367061911453</v>
      </c>
      <c r="Z219" s="280">
        <f t="shared" si="260"/>
        <v>39.615618586895707</v>
      </c>
      <c r="AA219" s="281">
        <f t="shared" si="260"/>
        <v>42.859940100858253</v>
      </c>
      <c r="AB219" s="282">
        <f t="shared" si="260"/>
        <v>42.481753815867577</v>
      </c>
      <c r="AC219" s="279">
        <f t="shared" si="260"/>
        <v>49.979750853902409</v>
      </c>
      <c r="AD219" s="280">
        <f t="shared" si="260"/>
        <v>50.635814785214812</v>
      </c>
      <c r="AE219" s="280">
        <f t="shared" si="260"/>
        <v>50.004162929944329</v>
      </c>
      <c r="AF219" s="281">
        <f t="shared" si="260"/>
        <v>53.263012914315055</v>
      </c>
      <c r="AG219" s="282">
        <f t="shared" si="260"/>
        <v>52.784089772429724</v>
      </c>
      <c r="AH219" s="279">
        <f t="shared" si="260"/>
        <v>60.992756214602473</v>
      </c>
      <c r="AI219" s="280">
        <f t="shared" si="260"/>
        <v>61.440533153467719</v>
      </c>
      <c r="AJ219" s="280">
        <f t="shared" si="260"/>
        <v>60.732175830993832</v>
      </c>
      <c r="AK219" s="281">
        <f t="shared" si="260"/>
        <v>63.989756875327863</v>
      </c>
      <c r="AL219" s="282">
        <f t="shared" si="260"/>
        <v>63.397772684034919</v>
      </c>
    </row>
    <row r="220" spans="2:38" x14ac:dyDescent="0.3">
      <c r="B220" s="396"/>
      <c r="C220" s="396"/>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row>
    <row r="221" spans="2:38" ht="15.6" x14ac:dyDescent="0.3">
      <c r="B221" s="351" t="s">
        <v>45</v>
      </c>
      <c r="C221" s="352"/>
      <c r="D221" s="47" t="s">
        <v>66</v>
      </c>
      <c r="E221" s="47" t="s">
        <v>67</v>
      </c>
      <c r="F221" s="47" t="s">
        <v>68</v>
      </c>
      <c r="G221" s="47" t="s">
        <v>69</v>
      </c>
      <c r="H221" s="256" t="s">
        <v>69</v>
      </c>
      <c r="I221" s="47" t="s">
        <v>70</v>
      </c>
      <c r="J221" s="47" t="s">
        <v>71</v>
      </c>
      <c r="K221" s="47" t="s">
        <v>72</v>
      </c>
      <c r="L221" s="47" t="s">
        <v>73</v>
      </c>
      <c r="M221" s="256" t="s">
        <v>73</v>
      </c>
      <c r="N221" s="47" t="s">
        <v>74</v>
      </c>
      <c r="O221" s="47" t="s">
        <v>75</v>
      </c>
      <c r="P221" s="48" t="s">
        <v>76</v>
      </c>
      <c r="Q221" s="48" t="s">
        <v>77</v>
      </c>
      <c r="R221" s="254" t="s">
        <v>77</v>
      </c>
      <c r="S221" s="48" t="s">
        <v>136</v>
      </c>
      <c r="T221" s="48" t="s">
        <v>137</v>
      </c>
      <c r="U221" s="48" t="s">
        <v>138</v>
      </c>
      <c r="V221" s="48" t="s">
        <v>139</v>
      </c>
      <c r="W221" s="254" t="s">
        <v>139</v>
      </c>
      <c r="X221" s="48" t="s">
        <v>154</v>
      </c>
      <c r="Y221" s="48" t="s">
        <v>155</v>
      </c>
      <c r="Z221" s="48" t="s">
        <v>156</v>
      </c>
      <c r="AA221" s="48" t="s">
        <v>157</v>
      </c>
      <c r="AB221" s="254" t="s">
        <v>157</v>
      </c>
      <c r="AC221" s="15" t="s">
        <v>277</v>
      </c>
      <c r="AD221" s="15" t="s">
        <v>278</v>
      </c>
      <c r="AE221" s="15" t="s">
        <v>279</v>
      </c>
      <c r="AF221" s="15" t="s">
        <v>280</v>
      </c>
      <c r="AG221" s="252" t="s">
        <v>280</v>
      </c>
      <c r="AH221" s="15" t="s">
        <v>286</v>
      </c>
      <c r="AI221" s="15" t="s">
        <v>287</v>
      </c>
      <c r="AJ221" s="15" t="s">
        <v>288</v>
      </c>
      <c r="AK221" s="15" t="s">
        <v>289</v>
      </c>
      <c r="AL221" s="252" t="s">
        <v>289</v>
      </c>
    </row>
    <row r="222" spans="2:38" ht="16.2" x14ac:dyDescent="0.45">
      <c r="B222" s="353"/>
      <c r="C222" s="354"/>
      <c r="D222" s="49" t="s">
        <v>163</v>
      </c>
      <c r="E222" s="49" t="s">
        <v>196</v>
      </c>
      <c r="F222" s="49" t="s">
        <v>214</v>
      </c>
      <c r="G222" s="10" t="s">
        <v>216</v>
      </c>
      <c r="H222" s="257" t="s">
        <v>217</v>
      </c>
      <c r="I222" s="10" t="s">
        <v>218</v>
      </c>
      <c r="J222" s="10" t="s">
        <v>219</v>
      </c>
      <c r="K222" s="10" t="s">
        <v>220</v>
      </c>
      <c r="L222" s="10" t="s">
        <v>221</v>
      </c>
      <c r="M222" s="257" t="s">
        <v>222</v>
      </c>
      <c r="N222" s="10" t="s">
        <v>223</v>
      </c>
      <c r="O222" s="10" t="s">
        <v>383</v>
      </c>
      <c r="P222" s="50" t="s">
        <v>46</v>
      </c>
      <c r="Q222" s="50" t="s">
        <v>47</v>
      </c>
      <c r="R222" s="255" t="s">
        <v>128</v>
      </c>
      <c r="S222" s="50" t="s">
        <v>135</v>
      </c>
      <c r="T222" s="50" t="s">
        <v>140</v>
      </c>
      <c r="U222" s="50" t="s">
        <v>141</v>
      </c>
      <c r="V222" s="50" t="s">
        <v>142</v>
      </c>
      <c r="W222" s="255" t="s">
        <v>143</v>
      </c>
      <c r="X222" s="50" t="s">
        <v>158</v>
      </c>
      <c r="Y222" s="50" t="s">
        <v>159</v>
      </c>
      <c r="Z222" s="50" t="s">
        <v>160</v>
      </c>
      <c r="AA222" s="50" t="s">
        <v>161</v>
      </c>
      <c r="AB222" s="255" t="s">
        <v>162</v>
      </c>
      <c r="AC222" s="16" t="s">
        <v>281</v>
      </c>
      <c r="AD222" s="16" t="s">
        <v>282</v>
      </c>
      <c r="AE222" s="16" t="s">
        <v>283</v>
      </c>
      <c r="AF222" s="16" t="s">
        <v>284</v>
      </c>
      <c r="AG222" s="253" t="s">
        <v>285</v>
      </c>
      <c r="AH222" s="16" t="s">
        <v>290</v>
      </c>
      <c r="AI222" s="16" t="s">
        <v>291</v>
      </c>
      <c r="AJ222" s="16" t="s">
        <v>292</v>
      </c>
      <c r="AK222" s="16" t="s">
        <v>293</v>
      </c>
      <c r="AL222" s="253" t="s">
        <v>294</v>
      </c>
    </row>
    <row r="223" spans="2:38" ht="16.2" outlineLevel="1" x14ac:dyDescent="0.45">
      <c r="B223" s="371" t="s">
        <v>38</v>
      </c>
      <c r="C223" s="372"/>
      <c r="D223" s="102"/>
      <c r="E223" s="102"/>
      <c r="F223" s="102"/>
      <c r="G223" s="102"/>
      <c r="H223" s="103"/>
      <c r="I223" s="102"/>
      <c r="J223" s="102"/>
      <c r="K223" s="102"/>
      <c r="L223" s="102"/>
      <c r="M223" s="103"/>
      <c r="N223" s="102"/>
      <c r="O223" s="102"/>
      <c r="P223" s="102"/>
      <c r="Q223" s="102"/>
      <c r="R223" s="103"/>
      <c r="S223" s="102"/>
      <c r="T223" s="102"/>
      <c r="U223" s="102"/>
      <c r="V223" s="102"/>
      <c r="W223" s="103"/>
      <c r="X223" s="102"/>
      <c r="Y223" s="102"/>
      <c r="Z223" s="102"/>
      <c r="AA223" s="102"/>
      <c r="AB223" s="103"/>
      <c r="AC223" s="102"/>
      <c r="AD223" s="102"/>
      <c r="AE223" s="102"/>
      <c r="AF223" s="102"/>
      <c r="AG223" s="103"/>
      <c r="AH223" s="102"/>
      <c r="AI223" s="102"/>
      <c r="AJ223" s="102"/>
      <c r="AK223" s="102"/>
      <c r="AL223" s="103"/>
    </row>
    <row r="224" spans="2:38" outlineLevel="1" x14ac:dyDescent="0.3">
      <c r="B224" s="72" t="s">
        <v>212</v>
      </c>
      <c r="C224" s="73"/>
      <c r="D224" s="117">
        <f>D176/D15</f>
        <v>1.6030427180252965E-2</v>
      </c>
      <c r="E224" s="117">
        <f>E176/E15</f>
        <v>2.3007410768300061E-2</v>
      </c>
      <c r="F224" s="117">
        <f>F176/F15</f>
        <v>2.6272903453136012E-2</v>
      </c>
      <c r="G224" s="117">
        <f>G176/G15</f>
        <v>2.2328305977671693E-2</v>
      </c>
      <c r="H224" s="118"/>
      <c r="I224" s="117">
        <f>I176/I15</f>
        <v>1.4678400326186674E-2</v>
      </c>
      <c r="J224" s="117">
        <f>J176/J15</f>
        <v>2.204884112730425E-2</v>
      </c>
      <c r="K224" s="117">
        <f>K176/K15</f>
        <v>2.53637473012297E-2</v>
      </c>
      <c r="L224" s="117">
        <f>L176/L15</f>
        <v>2.138314785373609E-2</v>
      </c>
      <c r="M224" s="118"/>
      <c r="N224" s="117">
        <f>N176/N15</f>
        <v>1.8491282172933221E-2</v>
      </c>
      <c r="O224" s="117">
        <f>O176/O15</f>
        <v>2.6096699129535467E-2</v>
      </c>
      <c r="P224" s="179">
        <v>2.6499999999999999E-2</v>
      </c>
      <c r="Q224" s="179">
        <v>2.35E-2</v>
      </c>
      <c r="R224" s="118"/>
      <c r="S224" s="179">
        <v>1.6E-2</v>
      </c>
      <c r="T224" s="179">
        <v>2.2499999999999999E-2</v>
      </c>
      <c r="U224" s="179">
        <v>2.6499999999999999E-2</v>
      </c>
      <c r="V224" s="179">
        <v>2.35E-2</v>
      </c>
      <c r="W224" s="118"/>
      <c r="X224" s="179">
        <v>1.6E-2</v>
      </c>
      <c r="Y224" s="179">
        <v>2.2499999999999999E-2</v>
      </c>
      <c r="Z224" s="179">
        <v>2.6499999999999999E-2</v>
      </c>
      <c r="AA224" s="179">
        <v>2.35E-2</v>
      </c>
      <c r="AB224" s="118"/>
      <c r="AC224" s="179">
        <v>1.6E-2</v>
      </c>
      <c r="AD224" s="179">
        <v>2.2499999999999999E-2</v>
      </c>
      <c r="AE224" s="179">
        <v>2.6499999999999999E-2</v>
      </c>
      <c r="AF224" s="179">
        <v>2.35E-2</v>
      </c>
      <c r="AG224" s="118"/>
      <c r="AH224" s="179">
        <v>1.6E-2</v>
      </c>
      <c r="AI224" s="179">
        <v>2.2499999999999999E-2</v>
      </c>
      <c r="AJ224" s="179">
        <v>2.6499999999999999E-2</v>
      </c>
      <c r="AK224" s="179">
        <v>2.35E-2</v>
      </c>
      <c r="AL224" s="118"/>
    </row>
    <row r="225" spans="2:38" outlineLevel="1" x14ac:dyDescent="0.3">
      <c r="B225" s="25" t="s">
        <v>341</v>
      </c>
      <c r="C225" s="73"/>
      <c r="D225" s="111"/>
      <c r="E225" s="111"/>
      <c r="F225" s="111"/>
      <c r="G225" s="111"/>
      <c r="H225" s="112"/>
      <c r="I225" s="111">
        <f>-I200/I176</f>
        <v>0.80092592592592593</v>
      </c>
      <c r="J225" s="111">
        <f t="shared" ref="J225:N225" si="261">-J200/J176</f>
        <v>0.11275964391691394</v>
      </c>
      <c r="K225" s="111">
        <f t="shared" si="261"/>
        <v>0.79718726868985934</v>
      </c>
      <c r="L225" s="111">
        <f t="shared" si="261"/>
        <v>0.19330855018587362</v>
      </c>
      <c r="M225" s="112"/>
      <c r="N225" s="111">
        <f t="shared" si="261"/>
        <v>0.84541372674791537</v>
      </c>
      <c r="O225" s="111">
        <f t="shared" ref="O225" si="262">-O200/O176</f>
        <v>7.1994715984147958E-2</v>
      </c>
      <c r="P225" s="114">
        <f>K225</f>
        <v>0.79718726868985934</v>
      </c>
      <c r="Q225" s="114">
        <f>L225</f>
        <v>0.19330855018587362</v>
      </c>
      <c r="R225" s="112"/>
      <c r="S225" s="114">
        <f>N225</f>
        <v>0.84541372674791537</v>
      </c>
      <c r="T225" s="114">
        <f>O225</f>
        <v>7.1994715984147958E-2</v>
      </c>
      <c r="U225" s="114">
        <f t="shared" ref="U225:V225" si="263">P225</f>
        <v>0.79718726868985934</v>
      </c>
      <c r="V225" s="114">
        <f t="shared" si="263"/>
        <v>0.19330855018587362</v>
      </c>
      <c r="W225" s="112"/>
      <c r="X225" s="114">
        <f t="shared" ref="X225:AA225" si="264">S225</f>
        <v>0.84541372674791537</v>
      </c>
      <c r="Y225" s="114">
        <f t="shared" si="264"/>
        <v>7.1994715984147958E-2</v>
      </c>
      <c r="Z225" s="114">
        <f t="shared" si="264"/>
        <v>0.79718726868985934</v>
      </c>
      <c r="AA225" s="114">
        <f t="shared" si="264"/>
        <v>0.19330855018587362</v>
      </c>
      <c r="AB225" s="112"/>
      <c r="AC225" s="114">
        <f t="shared" ref="AC225" si="265">X225</f>
        <v>0.84541372674791537</v>
      </c>
      <c r="AD225" s="114">
        <f t="shared" ref="AD225" si="266">Y225</f>
        <v>7.1994715984147958E-2</v>
      </c>
      <c r="AE225" s="114">
        <f t="shared" ref="AE225" si="267">Z225</f>
        <v>0.79718726868985934</v>
      </c>
      <c r="AF225" s="114">
        <f t="shared" ref="AF225" si="268">AA225</f>
        <v>0.19330855018587362</v>
      </c>
      <c r="AG225" s="112"/>
      <c r="AH225" s="114">
        <f t="shared" ref="AH225" si="269">AC225</f>
        <v>0.84541372674791537</v>
      </c>
      <c r="AI225" s="114">
        <f t="shared" ref="AI225" si="270">AD225</f>
        <v>7.1994715984147958E-2</v>
      </c>
      <c r="AJ225" s="114">
        <f t="shared" ref="AJ225" si="271">AE225</f>
        <v>0.79718726868985934</v>
      </c>
      <c r="AK225" s="114">
        <f t="shared" ref="AK225" si="272">AF225</f>
        <v>0.19330855018587362</v>
      </c>
      <c r="AL225" s="112"/>
    </row>
    <row r="226" spans="2:38" outlineLevel="1" x14ac:dyDescent="0.3">
      <c r="B226" s="25" t="s">
        <v>355</v>
      </c>
      <c r="C226" s="73"/>
      <c r="D226" s="111"/>
      <c r="E226" s="111"/>
      <c r="F226" s="111"/>
      <c r="G226" s="111"/>
      <c r="H226" s="112"/>
      <c r="I226" s="111">
        <f t="shared" ref="I226:L226" si="273">+I15/D15-1</f>
        <v>0.12689053107171566</v>
      </c>
      <c r="J226" s="111">
        <f t="shared" si="273"/>
        <v>0.15579627949183306</v>
      </c>
      <c r="K226" s="111">
        <f t="shared" si="273"/>
        <v>0.17303118393234662</v>
      </c>
      <c r="L226" s="111">
        <f t="shared" si="273"/>
        <v>0.19629509880370488</v>
      </c>
      <c r="M226" s="112">
        <f>+M15/H15-1</f>
        <v>0.15861957650261305</v>
      </c>
      <c r="N226" s="111">
        <f t="shared" ref="N226:AL226" si="274">+N15/I15-1</f>
        <v>-4.5111163965433243E-2</v>
      </c>
      <c r="O226" s="111">
        <f t="shared" si="274"/>
        <v>-5.1065639465462831E-2</v>
      </c>
      <c r="P226" s="111">
        <f t="shared" si="274"/>
        <v>4.4093252114576487E-3</v>
      </c>
      <c r="Q226" s="111">
        <f t="shared" si="274"/>
        <v>-2.3848747843596807E-2</v>
      </c>
      <c r="R226" s="112">
        <f t="shared" si="274"/>
        <v>-3.15149891073776E-2</v>
      </c>
      <c r="S226" s="111">
        <f t="shared" si="274"/>
        <v>2.9534910044450413E-2</v>
      </c>
      <c r="T226" s="111">
        <f t="shared" si="274"/>
        <v>5.6625024943607771E-2</v>
      </c>
      <c r="U226" s="111">
        <f t="shared" si="274"/>
        <v>5.4950158598493282E-2</v>
      </c>
      <c r="V226" s="111">
        <f t="shared" si="274"/>
        <v>5.3099005851009018E-2</v>
      </c>
      <c r="W226" s="112">
        <f t="shared" si="274"/>
        <v>4.6555738421394821E-2</v>
      </c>
      <c r="X226" s="111">
        <f t="shared" si="274"/>
        <v>5.0290573579011788E-2</v>
      </c>
      <c r="Y226" s="111">
        <f t="shared" si="274"/>
        <v>5.84049351872995E-2</v>
      </c>
      <c r="Z226" s="111">
        <f t="shared" si="274"/>
        <v>6.0727707398704478E-2</v>
      </c>
      <c r="AA226" s="111">
        <f t="shared" si="274"/>
        <v>6.1375470841382507E-2</v>
      </c>
      <c r="AB226" s="112">
        <f t="shared" si="274"/>
        <v>5.698905377621899E-2</v>
      </c>
      <c r="AC226" s="111">
        <f t="shared" si="274"/>
        <v>2.5543905135369416E-2</v>
      </c>
      <c r="AD226" s="111">
        <f t="shared" si="274"/>
        <v>2.1218384378438149E-2</v>
      </c>
      <c r="AE226" s="111">
        <f t="shared" si="274"/>
        <v>1.3379918686328596E-2</v>
      </c>
      <c r="AF226" s="111">
        <f t="shared" si="274"/>
        <v>8.4187624731901778E-3</v>
      </c>
      <c r="AG226" s="112">
        <f t="shared" si="274"/>
        <v>1.7867903370474947E-2</v>
      </c>
      <c r="AH226" s="111">
        <f t="shared" si="274"/>
        <v>1.6990493370488302E-2</v>
      </c>
      <c r="AI226" s="111">
        <f t="shared" si="274"/>
        <v>1.3868860614584699E-2</v>
      </c>
      <c r="AJ226" s="111">
        <f t="shared" si="274"/>
        <v>1.1901644995382821E-2</v>
      </c>
      <c r="AK226" s="111">
        <f t="shared" si="274"/>
        <v>1.1431917998915742E-2</v>
      </c>
      <c r="AL226" s="112">
        <f t="shared" si="274"/>
        <v>1.3882168824288277E-2</v>
      </c>
    </row>
    <row r="227" spans="2:38" outlineLevel="1" x14ac:dyDescent="0.3">
      <c r="B227" s="343" t="s">
        <v>395</v>
      </c>
      <c r="C227" s="341"/>
      <c r="D227" s="111"/>
      <c r="E227" s="111"/>
      <c r="F227" s="111"/>
      <c r="G227" s="111"/>
      <c r="H227" s="112"/>
      <c r="I227" s="111">
        <f>I187/D187-1</f>
        <v>4.571998817267886E-2</v>
      </c>
      <c r="J227" s="111">
        <f t="shared" ref="J227:AL227" si="275">J187/E187-1</f>
        <v>0.20817695440389672</v>
      </c>
      <c r="K227" s="111">
        <f t="shared" si="275"/>
        <v>0.73239268205189534</v>
      </c>
      <c r="L227" s="111">
        <f t="shared" si="275"/>
        <v>0.24699795605518649</v>
      </c>
      <c r="M227" s="112">
        <f t="shared" si="275"/>
        <v>0.21755401113242545</v>
      </c>
      <c r="N227" s="111">
        <f t="shared" si="275"/>
        <v>-5.6657123670165732E-2</v>
      </c>
      <c r="O227" s="111">
        <f t="shared" si="275"/>
        <v>-0.26272306675479185</v>
      </c>
      <c r="P227" s="111">
        <f t="shared" si="275"/>
        <v>-0.30766892334078999</v>
      </c>
      <c r="Q227" s="111">
        <f t="shared" si="275"/>
        <v>0.13183344805989905</v>
      </c>
      <c r="R227" s="112">
        <f t="shared" si="275"/>
        <v>-9.6362359620940974E-2</v>
      </c>
      <c r="S227" s="111">
        <f t="shared" si="275"/>
        <v>0.41001921697372223</v>
      </c>
      <c r="T227" s="111">
        <f t="shared" si="275"/>
        <v>3.6742704518799796E-2</v>
      </c>
      <c r="U227" s="111">
        <f t="shared" si="275"/>
        <v>-0.28648282579604667</v>
      </c>
      <c r="V227" s="111">
        <f t="shared" si="275"/>
        <v>-4.5474449192609567E-3</v>
      </c>
      <c r="W227" s="112">
        <f t="shared" si="275"/>
        <v>0.11975071183275543</v>
      </c>
      <c r="X227" s="111">
        <f t="shared" si="275"/>
        <v>0.12331340421734049</v>
      </c>
      <c r="Y227" s="111">
        <f t="shared" si="275"/>
        <v>0.12191290621974682</v>
      </c>
      <c r="Z227" s="111">
        <f t="shared" si="275"/>
        <v>0.42811590352034323</v>
      </c>
      <c r="AA227" s="111">
        <f t="shared" si="275"/>
        <v>0.14392496489279583</v>
      </c>
      <c r="AB227" s="112">
        <f t="shared" si="275"/>
        <v>0.15673498582964118</v>
      </c>
      <c r="AC227" s="111">
        <f t="shared" si="275"/>
        <v>1.5652588024740233E-2</v>
      </c>
      <c r="AD227" s="111">
        <f t="shared" si="275"/>
        <v>2.5583347165678116E-2</v>
      </c>
      <c r="AE227" s="111">
        <f t="shared" si="275"/>
        <v>-9.0250391770110627E-2</v>
      </c>
      <c r="AF227" s="111">
        <f t="shared" si="275"/>
        <v>-2.6262184099079544E-4</v>
      </c>
      <c r="AG227" s="112">
        <f t="shared" si="275"/>
        <v>7.1262873542932148E-4</v>
      </c>
      <c r="AH227" s="111">
        <f t="shared" si="275"/>
        <v>5.1576004277735121E-2</v>
      </c>
      <c r="AI227" s="111">
        <f t="shared" si="275"/>
        <v>-5.3800359383519791E-2</v>
      </c>
      <c r="AJ227" s="111">
        <f t="shared" si="275"/>
        <v>1.9848774141788539E-3</v>
      </c>
      <c r="AK227" s="111">
        <f t="shared" si="275"/>
        <v>-1.6494505576500895E-3</v>
      </c>
      <c r="AL227" s="112">
        <f t="shared" si="275"/>
        <v>1.6268714103617299E-2</v>
      </c>
    </row>
    <row r="228" spans="2:38" outlineLevel="1" x14ac:dyDescent="0.3">
      <c r="B228" s="355" t="s">
        <v>195</v>
      </c>
      <c r="C228" s="356"/>
      <c r="D228" s="111"/>
      <c r="E228" s="111"/>
      <c r="F228" s="111"/>
      <c r="G228" s="111"/>
      <c r="H228" s="112"/>
      <c r="I228" s="111">
        <f>I187/D187-1</f>
        <v>4.571998817267886E-2</v>
      </c>
      <c r="J228" s="111">
        <f>J187/E187-1</f>
        <v>0.20817695440389672</v>
      </c>
      <c r="K228" s="111">
        <f>K187/F187-1</f>
        <v>0.73239268205189534</v>
      </c>
      <c r="L228" s="111">
        <f>L187/G187-1</f>
        <v>0.24699795605518649</v>
      </c>
      <c r="M228" s="112">
        <f>M187/H187-1</f>
        <v>0.21755401113242545</v>
      </c>
      <c r="N228" s="111">
        <f>N187/I187-1</f>
        <v>-5.6657123670165732E-2</v>
      </c>
      <c r="O228" s="111">
        <f>O187/J187-1</f>
        <v>-0.26272306675479185</v>
      </c>
      <c r="P228" s="111">
        <f>P187/K187-1</f>
        <v>-0.30766892334078999</v>
      </c>
      <c r="Q228" s="111">
        <f>Q187/L187-1</f>
        <v>0.13183344805989905</v>
      </c>
      <c r="R228" s="112">
        <f>R187/M187-1</f>
        <v>-9.6362359620940974E-2</v>
      </c>
      <c r="S228" s="111">
        <f>S187/N187-1</f>
        <v>0.41001921697372223</v>
      </c>
      <c r="T228" s="111">
        <f>T187/O187-1</f>
        <v>3.6742704518799796E-2</v>
      </c>
      <c r="U228" s="111">
        <f>U187/P187-1</f>
        <v>-0.28648282579604667</v>
      </c>
      <c r="V228" s="111">
        <f>V187/Q187-1</f>
        <v>-4.5474449192609567E-3</v>
      </c>
      <c r="W228" s="112">
        <f>W187/R187-1</f>
        <v>0.11975071183275543</v>
      </c>
      <c r="X228" s="111">
        <f>X187/S187-1</f>
        <v>0.12331340421734049</v>
      </c>
      <c r="Y228" s="111">
        <f>Y187/T187-1</f>
        <v>0.12191290621974682</v>
      </c>
      <c r="Z228" s="111">
        <f>Z187/U187-1</f>
        <v>0.42811590352034323</v>
      </c>
      <c r="AA228" s="111">
        <f>AA187/V187-1</f>
        <v>0.14392496489279583</v>
      </c>
      <c r="AB228" s="112">
        <f>AB187/W187-1</f>
        <v>0.15673498582964118</v>
      </c>
      <c r="AC228" s="111">
        <f>AC187/X187-1</f>
        <v>1.5652588024740233E-2</v>
      </c>
      <c r="AD228" s="111">
        <f>AD187/Y187-1</f>
        <v>2.5583347165678116E-2</v>
      </c>
      <c r="AE228" s="111">
        <f>AE187/Z187-1</f>
        <v>-9.0250391770110627E-2</v>
      </c>
      <c r="AF228" s="111">
        <f>AF187/AA187-1</f>
        <v>-2.6262184099079544E-4</v>
      </c>
      <c r="AG228" s="112">
        <f>AG187/AB187-1</f>
        <v>7.1262873542932148E-4</v>
      </c>
      <c r="AH228" s="111">
        <f>AH187/AC187-1</f>
        <v>5.1576004277735121E-2</v>
      </c>
      <c r="AI228" s="111">
        <f>AI187/AD187-1</f>
        <v>-5.3800359383519791E-2</v>
      </c>
      <c r="AJ228" s="111">
        <f>AJ187/AE187-1</f>
        <v>1.9848774141788539E-3</v>
      </c>
      <c r="AK228" s="111">
        <f>AK187/AF187-1</f>
        <v>-1.6494505576500895E-3</v>
      </c>
      <c r="AL228" s="112">
        <f>AL187/AG187-1</f>
        <v>1.6268714103617299E-2</v>
      </c>
    </row>
    <row r="229" spans="2:38" outlineLevel="1" x14ac:dyDescent="0.3">
      <c r="B229" s="72" t="s">
        <v>180</v>
      </c>
      <c r="C229" s="73"/>
      <c r="D229" s="117"/>
      <c r="E229" s="117"/>
      <c r="F229" s="117"/>
      <c r="G229" s="117"/>
      <c r="H229" s="112">
        <f>-H193/H15</f>
        <v>5.4315677430049641E-2</v>
      </c>
      <c r="I229" s="117"/>
      <c r="J229" s="117"/>
      <c r="K229" s="117"/>
      <c r="L229" s="117"/>
      <c r="M229" s="112">
        <f>-M193/M15</f>
        <v>5.0125190609762983E-2</v>
      </c>
      <c r="N229" s="117"/>
      <c r="O229" s="117"/>
      <c r="P229" s="117"/>
      <c r="Q229" s="117"/>
      <c r="R229" s="112">
        <f>-R193/R15</f>
        <v>4.806666632106834E-2</v>
      </c>
      <c r="S229" s="117"/>
      <c r="T229" s="117"/>
      <c r="U229" s="117"/>
      <c r="V229" s="117"/>
      <c r="W229" s="112">
        <f>-W193/W15</f>
        <v>5.0126171719003729E-2</v>
      </c>
      <c r="X229" s="117"/>
      <c r="Y229" s="117"/>
      <c r="Z229" s="117"/>
      <c r="AA229" s="117"/>
      <c r="AB229" s="112">
        <f>-AB193/AB15</f>
        <v>4.6412745367423243E-2</v>
      </c>
      <c r="AC229" s="117"/>
      <c r="AD229" s="117"/>
      <c r="AE229" s="117"/>
      <c r="AF229" s="117"/>
      <c r="AG229" s="112">
        <f>-AG193/AG15</f>
        <v>4.7449466462713197E-2</v>
      </c>
      <c r="AH229" s="117"/>
      <c r="AI229" s="117"/>
      <c r="AJ229" s="117"/>
      <c r="AK229" s="117"/>
      <c r="AL229" s="112">
        <f>-AL193/AL15</f>
        <v>4.8700042856772083E-2</v>
      </c>
    </row>
    <row r="230" spans="2:38" ht="16.2" outlineLevel="1" x14ac:dyDescent="0.45">
      <c r="B230" s="395" t="s">
        <v>181</v>
      </c>
      <c r="C230" s="381"/>
      <c r="D230" s="111"/>
      <c r="E230" s="111">
        <f>E193/D193-1</f>
        <v>-0.10767846430713857</v>
      </c>
      <c r="F230" s="111">
        <f>F193/E193-1</f>
        <v>-0.23462184873949576</v>
      </c>
      <c r="G230" s="111">
        <f>G193/F193-1</f>
        <v>0.69740887132191487</v>
      </c>
      <c r="H230" s="180"/>
      <c r="I230" s="111">
        <f>I193/G193-1</f>
        <v>-0.27296248382923671</v>
      </c>
      <c r="J230" s="111">
        <f>J193/I193-1</f>
        <v>0.49288256227758009</v>
      </c>
      <c r="K230" s="111">
        <f>K193/J193-1</f>
        <v>-0.22121573301549469</v>
      </c>
      <c r="L230" s="111">
        <f>L193/K193-1</f>
        <v>-6.9176614631160094E-2</v>
      </c>
      <c r="M230" s="180"/>
      <c r="N230" s="111">
        <f>N193/L193-1</f>
        <v>0.10325550805656025</v>
      </c>
      <c r="O230" s="111">
        <f>O193/N193-1</f>
        <v>-0.2956780923994039</v>
      </c>
      <c r="P230" s="114">
        <v>0.25</v>
      </c>
      <c r="Q230" s="114">
        <v>0.25</v>
      </c>
      <c r="R230" s="180"/>
      <c r="S230" s="114">
        <v>0.01</v>
      </c>
      <c r="T230" s="114">
        <v>-0.1</v>
      </c>
      <c r="U230" s="114">
        <v>-0.05</v>
      </c>
      <c r="V230" s="114">
        <v>0.01</v>
      </c>
      <c r="W230" s="180"/>
      <c r="X230" s="114">
        <v>0.01</v>
      </c>
      <c r="Y230" s="114">
        <v>0.01</v>
      </c>
      <c r="Z230" s="114">
        <v>0.01</v>
      </c>
      <c r="AA230" s="114">
        <v>0.01</v>
      </c>
      <c r="AB230" s="180"/>
      <c r="AC230" s="114">
        <v>0.01</v>
      </c>
      <c r="AD230" s="114">
        <v>0.01</v>
      </c>
      <c r="AE230" s="114">
        <v>0.01</v>
      </c>
      <c r="AF230" s="114">
        <v>0.01</v>
      </c>
      <c r="AG230" s="180"/>
      <c r="AH230" s="114">
        <v>0.01</v>
      </c>
      <c r="AI230" s="114">
        <v>0.01</v>
      </c>
      <c r="AJ230" s="114">
        <v>0.01</v>
      </c>
      <c r="AK230" s="114">
        <v>0.01</v>
      </c>
      <c r="AL230" s="180"/>
    </row>
    <row r="231" spans="2:38" ht="16.2" x14ac:dyDescent="0.45">
      <c r="B231" s="115"/>
      <c r="C231" s="115"/>
      <c r="D231" s="181"/>
      <c r="E231" s="181"/>
      <c r="F231" s="181"/>
      <c r="G231" s="181"/>
      <c r="H231" s="182"/>
      <c r="I231" s="181"/>
      <c r="J231" s="181"/>
      <c r="K231" s="181"/>
      <c r="L231" s="181"/>
      <c r="M231" s="182"/>
      <c r="N231" s="181"/>
      <c r="O231" s="181"/>
      <c r="P231" s="181"/>
      <c r="Q231" s="181"/>
      <c r="R231" s="182"/>
      <c r="S231" s="181"/>
      <c r="T231" s="181"/>
      <c r="U231" s="181"/>
      <c r="V231" s="181"/>
      <c r="W231" s="181"/>
      <c r="X231" s="181"/>
      <c r="Y231" s="181"/>
      <c r="Z231" s="181"/>
      <c r="AA231" s="181"/>
      <c r="AB231" s="182"/>
      <c r="AC231" s="181"/>
      <c r="AD231" s="181"/>
      <c r="AE231" s="181"/>
      <c r="AF231" s="181"/>
      <c r="AG231" s="182"/>
      <c r="AH231" s="181"/>
      <c r="AI231" s="181"/>
      <c r="AJ231" s="181"/>
      <c r="AK231" s="181"/>
      <c r="AL231" s="182"/>
    </row>
    <row r="232" spans="2:38" ht="15.6" x14ac:dyDescent="0.3">
      <c r="B232" s="351" t="s">
        <v>37</v>
      </c>
      <c r="C232" s="401"/>
      <c r="D232" s="183"/>
      <c r="E232" s="183"/>
      <c r="F232" s="183"/>
      <c r="G232" s="183"/>
      <c r="H232" s="183"/>
      <c r="I232" s="183"/>
      <c r="J232" s="453"/>
      <c r="K232" s="453"/>
      <c r="L232" s="453"/>
      <c r="M232" s="453"/>
      <c r="N232" s="183"/>
      <c r="O232" s="183"/>
      <c r="P232" s="183"/>
      <c r="Q232" s="183"/>
      <c r="R232" s="183"/>
      <c r="S232" s="183"/>
      <c r="T232" s="183"/>
      <c r="U232" s="183"/>
      <c r="V232" s="183"/>
      <c r="W232" s="183"/>
      <c r="X232" s="183"/>
      <c r="Y232" s="183"/>
      <c r="Z232" s="183"/>
      <c r="AA232" s="183"/>
      <c r="AB232" s="450"/>
      <c r="AC232" s="183"/>
      <c r="AD232" s="183"/>
      <c r="AE232" s="183"/>
      <c r="AF232" s="183"/>
      <c r="AG232" s="183"/>
      <c r="AH232" s="183"/>
      <c r="AI232" s="183"/>
      <c r="AJ232" s="183"/>
      <c r="AK232" s="183"/>
      <c r="AL232" s="183"/>
    </row>
    <row r="233" spans="2:38" x14ac:dyDescent="0.3">
      <c r="B233" s="311" t="s">
        <v>345</v>
      </c>
      <c r="C233" s="315">
        <v>15.949051888039461</v>
      </c>
      <c r="D233" s="185"/>
      <c r="E233" s="186"/>
      <c r="F233" s="187"/>
      <c r="G233" s="187"/>
      <c r="H233" s="186"/>
      <c r="I233" s="185"/>
      <c r="J233" s="454"/>
      <c r="K233" s="455"/>
      <c r="L233" s="455"/>
      <c r="M233" s="454"/>
      <c r="N233" s="185"/>
      <c r="O233" s="186"/>
      <c r="P233" s="187"/>
      <c r="Q233" s="187"/>
      <c r="R233" s="186"/>
      <c r="S233" s="185"/>
      <c r="T233" s="186"/>
      <c r="U233" s="187"/>
      <c r="V233" s="187"/>
      <c r="W233" s="187"/>
      <c r="X233" s="187"/>
      <c r="Y233" s="186"/>
      <c r="Z233" s="187"/>
      <c r="AA233" s="187"/>
      <c r="AB233" s="186"/>
      <c r="AC233" s="185"/>
      <c r="AD233" s="186"/>
      <c r="AE233" s="187"/>
      <c r="AF233" s="187"/>
      <c r="AG233" s="186"/>
      <c r="AH233" s="185"/>
      <c r="AI233" s="186"/>
      <c r="AJ233" s="187"/>
      <c r="AK233" s="187"/>
      <c r="AL233" s="186"/>
    </row>
    <row r="234" spans="2:38" x14ac:dyDescent="0.3">
      <c r="B234" s="184" t="s">
        <v>124</v>
      </c>
      <c r="C234" s="316">
        <v>17.534304488778055</v>
      </c>
      <c r="J234" s="456"/>
      <c r="K234" s="457"/>
      <c r="L234" s="457"/>
      <c r="M234" s="457"/>
      <c r="X234" s="30"/>
    </row>
    <row r="235" spans="2:38" x14ac:dyDescent="0.3">
      <c r="B235" s="184" t="s">
        <v>125</v>
      </c>
      <c r="C235" s="316">
        <v>14.284144389027432</v>
      </c>
      <c r="J235" s="456"/>
      <c r="K235" s="457"/>
      <c r="L235" s="457"/>
      <c r="M235" s="457"/>
      <c r="X235" s="30"/>
    </row>
    <row r="236" spans="2:38" x14ac:dyDescent="0.3">
      <c r="B236" s="283" t="s">
        <v>61</v>
      </c>
      <c r="C236" s="317">
        <v>15</v>
      </c>
      <c r="J236" s="456"/>
      <c r="K236" s="457"/>
      <c r="L236" s="457"/>
      <c r="M236" s="457"/>
      <c r="X236" s="30"/>
    </row>
    <row r="237" spans="2:38" ht="16.2" x14ac:dyDescent="0.45">
      <c r="B237" s="261" t="s">
        <v>346</v>
      </c>
      <c r="C237" s="312">
        <v>0</v>
      </c>
      <c r="D237" s="188"/>
      <c r="E237" s="188"/>
      <c r="F237" s="188"/>
      <c r="G237" s="188"/>
      <c r="H237" s="188"/>
      <c r="I237" s="188"/>
      <c r="J237" s="458"/>
      <c r="K237" s="458"/>
      <c r="L237" s="458"/>
      <c r="M237" s="45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row>
    <row r="238" spans="2:38" x14ac:dyDescent="0.3">
      <c r="B238" s="310" t="s">
        <v>130</v>
      </c>
      <c r="C238" s="313">
        <f>(C236*(P35+Q35+S35+T35))</f>
        <v>180.403906913398</v>
      </c>
      <c r="J238" s="456"/>
      <c r="K238" s="457"/>
      <c r="L238" s="457"/>
      <c r="M238" s="457"/>
      <c r="X238" s="30"/>
    </row>
    <row r="239" spans="2:38" x14ac:dyDescent="0.3">
      <c r="B239" s="318" t="s">
        <v>347</v>
      </c>
      <c r="C239" s="461">
        <f>C242-C265</f>
        <v>-1.1486187645459722E-7</v>
      </c>
      <c r="J239" s="456"/>
      <c r="K239" s="457"/>
      <c r="L239" s="457"/>
      <c r="M239" s="457"/>
      <c r="X239" s="30"/>
    </row>
    <row r="240" spans="2:38" ht="15.6" x14ac:dyDescent="0.3">
      <c r="B240" s="351" t="s">
        <v>52</v>
      </c>
      <c r="C240" s="352"/>
      <c r="J240" s="456"/>
      <c r="K240" s="457"/>
      <c r="L240" s="457"/>
      <c r="M240" s="457"/>
      <c r="X240" s="30"/>
    </row>
    <row r="241" spans="2:24" outlineLevel="1" x14ac:dyDescent="0.3">
      <c r="B241" s="189" t="s">
        <v>60</v>
      </c>
      <c r="C241" s="190"/>
      <c r="J241" s="456"/>
      <c r="K241" s="457"/>
      <c r="L241" s="457"/>
      <c r="M241" s="457"/>
      <c r="X241" s="30"/>
    </row>
    <row r="242" spans="2:24" outlineLevel="1" x14ac:dyDescent="0.3">
      <c r="B242" s="311" t="s">
        <v>348</v>
      </c>
      <c r="C242" s="191">
        <v>198.40997194163643</v>
      </c>
      <c r="J242" s="456"/>
      <c r="K242" s="457"/>
      <c r="L242" s="457"/>
      <c r="M242" s="457"/>
    </row>
    <row r="243" spans="2:24" ht="16.2" outlineLevel="1" x14ac:dyDescent="0.45">
      <c r="B243" s="184" t="s">
        <v>53</v>
      </c>
      <c r="C243" s="58">
        <f>O33</f>
        <v>4700.6459999999997</v>
      </c>
      <c r="J243" s="456"/>
      <c r="K243" s="457"/>
      <c r="L243" s="457"/>
      <c r="M243" s="457"/>
    </row>
    <row r="244" spans="2:24" outlineLevel="1" x14ac:dyDescent="0.3">
      <c r="B244" s="319" t="s">
        <v>54</v>
      </c>
      <c r="C244" s="192">
        <f>C243*C242</f>
        <v>932655.0409675655</v>
      </c>
      <c r="J244" s="456"/>
      <c r="K244" s="457"/>
      <c r="L244" s="457"/>
      <c r="M244" s="457"/>
    </row>
    <row r="245" spans="2:24" outlineLevel="1" x14ac:dyDescent="0.3">
      <c r="B245" s="184" t="s">
        <v>114</v>
      </c>
      <c r="C245" s="193">
        <v>1.1599999999999999</v>
      </c>
      <c r="J245" s="456"/>
      <c r="K245" s="457"/>
      <c r="L245" s="457"/>
      <c r="M245" s="457"/>
    </row>
    <row r="246" spans="2:24" outlineLevel="1" x14ac:dyDescent="0.3">
      <c r="B246" s="311" t="s">
        <v>352</v>
      </c>
      <c r="C246" s="177">
        <v>0.31900000000000001</v>
      </c>
      <c r="J246" s="456"/>
      <c r="K246" s="457"/>
      <c r="L246" s="457"/>
      <c r="M246" s="457"/>
    </row>
    <row r="247" spans="2:24" outlineLevel="1" x14ac:dyDescent="0.3">
      <c r="B247" s="311" t="s">
        <v>353</v>
      </c>
      <c r="C247" s="194">
        <v>0.17169999999999999</v>
      </c>
      <c r="J247" s="456"/>
      <c r="K247" s="457"/>
      <c r="L247" s="457"/>
      <c r="M247" s="457"/>
    </row>
    <row r="248" spans="2:24" outlineLevel="1" x14ac:dyDescent="0.3">
      <c r="B248" s="211" t="s">
        <v>55</v>
      </c>
      <c r="C248" s="195">
        <f>C246*C247</f>
        <v>5.4772299999999996E-2</v>
      </c>
      <c r="J248" s="456"/>
      <c r="K248" s="457"/>
      <c r="L248" s="457"/>
      <c r="M248" s="457"/>
    </row>
    <row r="249" spans="2:24" outlineLevel="1" x14ac:dyDescent="0.3">
      <c r="B249" s="184" t="s">
        <v>153</v>
      </c>
      <c r="C249" s="196">
        <v>3.0300000000000001E-2</v>
      </c>
      <c r="J249" s="456"/>
      <c r="K249" s="457"/>
      <c r="L249" s="457"/>
      <c r="M249" s="457"/>
    </row>
    <row r="250" spans="2:24" outlineLevel="1" x14ac:dyDescent="0.3">
      <c r="B250" s="211" t="s">
        <v>56</v>
      </c>
      <c r="C250" s="195">
        <f>C249+(C245*C248)</f>
        <v>9.3835867999999989E-2</v>
      </c>
      <c r="J250" s="456"/>
      <c r="K250" s="457"/>
      <c r="L250" s="457"/>
      <c r="M250" s="457"/>
    </row>
    <row r="251" spans="2:24" outlineLevel="1" x14ac:dyDescent="0.3">
      <c r="B251" s="184" t="s">
        <v>57</v>
      </c>
      <c r="C251" s="197">
        <f>C244/(C244+O136+O139)</f>
        <v>0.8922494864216709</v>
      </c>
      <c r="J251" s="456"/>
      <c r="K251" s="457"/>
      <c r="L251" s="457"/>
      <c r="M251" s="457"/>
    </row>
    <row r="252" spans="2:24" outlineLevel="1" x14ac:dyDescent="0.3">
      <c r="B252" s="184" t="s">
        <v>58</v>
      </c>
      <c r="C252" s="197">
        <f>-O86*4</f>
        <v>3.5869661724229777E-2</v>
      </c>
      <c r="J252" s="456"/>
      <c r="K252" s="457"/>
      <c r="L252" s="457"/>
      <c r="M252" s="457"/>
    </row>
    <row r="253" spans="2:24" outlineLevel="1" x14ac:dyDescent="0.3">
      <c r="B253" s="184" t="s">
        <v>7</v>
      </c>
      <c r="C253" s="122">
        <f>O82</f>
        <v>0.16182121365910243</v>
      </c>
      <c r="J253" s="456"/>
      <c r="K253" s="457"/>
      <c r="L253" s="457"/>
      <c r="M253" s="457"/>
    </row>
    <row r="254" spans="2:24" outlineLevel="1" x14ac:dyDescent="0.3">
      <c r="B254" s="184" t="s">
        <v>59</v>
      </c>
      <c r="C254" s="197">
        <f>C252*(1-C253)</f>
        <v>3.0065189530473463E-2</v>
      </c>
      <c r="J254" s="456"/>
      <c r="K254" s="457"/>
      <c r="L254" s="457"/>
      <c r="M254" s="457"/>
    </row>
    <row r="255" spans="2:24" outlineLevel="1" x14ac:dyDescent="0.3">
      <c r="B255" s="320" t="s">
        <v>349</v>
      </c>
      <c r="C255" s="198">
        <f>(C251*C250)+((1-C251)*C254)</f>
        <v>8.6964544643670011E-2</v>
      </c>
      <c r="J255" s="456"/>
      <c r="K255" s="457"/>
      <c r="L255" s="457"/>
      <c r="M255" s="457"/>
    </row>
    <row r="256" spans="2:24" outlineLevel="1" x14ac:dyDescent="0.3">
      <c r="B256" s="321" t="s">
        <v>350</v>
      </c>
      <c r="C256" s="190"/>
      <c r="J256" s="456"/>
      <c r="K256" s="457"/>
      <c r="L256" s="457"/>
      <c r="M256" s="457"/>
    </row>
    <row r="257" spans="2:17" outlineLevel="1" x14ac:dyDescent="0.3">
      <c r="B257" s="184" t="s">
        <v>115</v>
      </c>
      <c r="C257" s="324">
        <v>0.04</v>
      </c>
      <c r="J257" s="456"/>
      <c r="K257" s="457"/>
      <c r="L257" s="457"/>
      <c r="M257" s="457"/>
    </row>
    <row r="258" spans="2:17" outlineLevel="1" x14ac:dyDescent="0.3">
      <c r="B258" s="184" t="s">
        <v>117</v>
      </c>
      <c r="C258" s="324">
        <v>0.04</v>
      </c>
      <c r="J258" s="456"/>
      <c r="K258" s="457"/>
      <c r="L258" s="457"/>
      <c r="M258" s="457"/>
    </row>
    <row r="259" spans="2:17" outlineLevel="1" x14ac:dyDescent="0.3">
      <c r="B259" s="460" t="s">
        <v>404</v>
      </c>
      <c r="C259" s="324">
        <v>0.08</v>
      </c>
      <c r="J259" s="456"/>
      <c r="K259" s="457"/>
      <c r="L259" s="457"/>
      <c r="M259" s="457"/>
    </row>
    <row r="260" spans="2:17" outlineLevel="1" x14ac:dyDescent="0.3">
      <c r="B260" s="311" t="s">
        <v>351</v>
      </c>
      <c r="C260" s="199">
        <f>(C251*(0.0623+(1.25*(0.312*0.1843))))+((1-C251)*C254)</f>
        <v>0.12295889895233884</v>
      </c>
      <c r="J260" s="456"/>
      <c r="K260" s="457"/>
      <c r="L260" s="457"/>
      <c r="M260" s="457"/>
    </row>
    <row r="261" spans="2:17" outlineLevel="1" x14ac:dyDescent="0.3">
      <c r="B261" s="189" t="s">
        <v>118</v>
      </c>
      <c r="C261" s="190"/>
      <c r="J261" s="456"/>
      <c r="K261" s="457"/>
      <c r="L261" s="457"/>
      <c r="M261" s="457"/>
    </row>
    <row r="262" spans="2:17" outlineLevel="1" x14ac:dyDescent="0.3">
      <c r="B262" s="184" t="s">
        <v>119</v>
      </c>
      <c r="C262" s="52">
        <f>((((AL187*(1+C258))-(C259*AL15*(1+C257))+(C254*(AL136+AL139))))/(C260-C257))/(1+$C$260)^5</f>
        <v>526420.91869779222</v>
      </c>
      <c r="J262" s="456"/>
      <c r="K262" s="457"/>
      <c r="L262" s="457"/>
      <c r="M262" s="457"/>
    </row>
    <row r="263" spans="2:17" outlineLevel="1" x14ac:dyDescent="0.3">
      <c r="B263" s="184" t="s">
        <v>116</v>
      </c>
      <c r="C263" s="52">
        <f>R215+W215+AB215+AG215+AL215</f>
        <v>293453.12280969816</v>
      </c>
      <c r="J263" s="456"/>
      <c r="K263" s="457"/>
      <c r="L263" s="457"/>
      <c r="M263" s="457"/>
    </row>
    <row r="264" spans="2:17" ht="16.2" outlineLevel="1" x14ac:dyDescent="0.45">
      <c r="B264" s="184" t="s">
        <v>129</v>
      </c>
      <c r="C264" s="200">
        <f>O219</f>
        <v>23.992659732300627</v>
      </c>
      <c r="J264" s="456"/>
      <c r="K264" s="457"/>
      <c r="L264" s="457"/>
      <c r="M264" s="457"/>
    </row>
    <row r="265" spans="2:17" outlineLevel="1" x14ac:dyDescent="0.3">
      <c r="B265" s="212" t="s">
        <v>131</v>
      </c>
      <c r="C265" s="313">
        <f>(C262+C263)/C243+C264</f>
        <v>198.4099720564983</v>
      </c>
      <c r="J265" s="456"/>
      <c r="K265" s="457"/>
      <c r="L265" s="457"/>
      <c r="M265" s="457"/>
      <c r="Q265" s="323"/>
    </row>
    <row r="266" spans="2:17" x14ac:dyDescent="0.3">
      <c r="C266" s="201"/>
      <c r="J266" s="456"/>
      <c r="K266" s="457"/>
      <c r="L266" s="457"/>
      <c r="M266" s="457"/>
    </row>
    <row r="267" spans="2:17" ht="15.6" x14ac:dyDescent="0.3">
      <c r="B267" s="399" t="s">
        <v>354</v>
      </c>
      <c r="C267" s="400"/>
      <c r="J267" s="456"/>
      <c r="K267" s="457"/>
      <c r="L267" s="457"/>
      <c r="M267" s="457"/>
    </row>
    <row r="268" spans="2:17" x14ac:dyDescent="0.3">
      <c r="B268" s="202" t="s">
        <v>201</v>
      </c>
      <c r="C268" s="459">
        <f>'Std Dev'!I17</f>
        <v>1.9352106961284994E-3</v>
      </c>
      <c r="J268" s="456"/>
      <c r="K268" s="457"/>
      <c r="L268" s="457"/>
      <c r="M268" s="457"/>
    </row>
    <row r="269" spans="2:17" x14ac:dyDescent="0.3">
      <c r="B269" s="184" t="s">
        <v>202</v>
      </c>
      <c r="C269" s="199">
        <f>'Std Dev'!K20</f>
        <v>9.9448198921642958E-2</v>
      </c>
      <c r="J269" s="456"/>
      <c r="K269" s="457"/>
      <c r="L269" s="457"/>
      <c r="M269" s="457"/>
    </row>
    <row r="270" spans="2:17" x14ac:dyDescent="0.3">
      <c r="B270" s="184" t="s">
        <v>205</v>
      </c>
      <c r="C270" s="191">
        <f>C8</f>
        <v>189.40693948494817</v>
      </c>
      <c r="J270" s="456"/>
      <c r="K270" s="457"/>
      <c r="L270" s="457"/>
      <c r="M270" s="457"/>
    </row>
    <row r="271" spans="2:17" x14ac:dyDescent="0.3">
      <c r="B271" s="184" t="s">
        <v>203</v>
      </c>
      <c r="C271" s="191">
        <f>C270*(1+(C268+(2*C269)))</f>
        <v>227.44583981023783</v>
      </c>
      <c r="J271" s="456"/>
      <c r="K271" s="457"/>
      <c r="L271" s="457"/>
      <c r="M271" s="457"/>
    </row>
    <row r="272" spans="2:17" x14ac:dyDescent="0.3">
      <c r="B272" s="322" t="s">
        <v>204</v>
      </c>
      <c r="C272" s="325">
        <f>C270*(1+(C268-(2*C269)))</f>
        <v>152.10112383008297</v>
      </c>
      <c r="J272" s="456"/>
      <c r="K272" s="457"/>
      <c r="L272" s="457"/>
      <c r="M272" s="457"/>
    </row>
  </sheetData>
  <dataConsolidate/>
  <mergeCells count="184">
    <mergeCell ref="B267:C267"/>
    <mergeCell ref="B208:C208"/>
    <mergeCell ref="B232:C232"/>
    <mergeCell ref="B240:C240"/>
    <mergeCell ref="B189:C189"/>
    <mergeCell ref="B188:C188"/>
    <mergeCell ref="B204:C204"/>
    <mergeCell ref="B203:C203"/>
    <mergeCell ref="B202:C202"/>
    <mergeCell ref="B201:C201"/>
    <mergeCell ref="B200:C200"/>
    <mergeCell ref="B199:C199"/>
    <mergeCell ref="B198:C198"/>
    <mergeCell ref="B197:C197"/>
    <mergeCell ref="B196:C196"/>
    <mergeCell ref="B195:C195"/>
    <mergeCell ref="B194:C194"/>
    <mergeCell ref="B193:C193"/>
    <mergeCell ref="B192:C192"/>
    <mergeCell ref="B191:C191"/>
    <mergeCell ref="B211:C211"/>
    <mergeCell ref="B2:C2"/>
    <mergeCell ref="B207:C207"/>
    <mergeCell ref="B206:C206"/>
    <mergeCell ref="B205:C205"/>
    <mergeCell ref="B230:C230"/>
    <mergeCell ref="B228:C228"/>
    <mergeCell ref="B166:C166"/>
    <mergeCell ref="B223:C223"/>
    <mergeCell ref="B222:C222"/>
    <mergeCell ref="B221:C221"/>
    <mergeCell ref="B220:C220"/>
    <mergeCell ref="B215:C215"/>
    <mergeCell ref="B213:C213"/>
    <mergeCell ref="B219:C219"/>
    <mergeCell ref="B209:C209"/>
    <mergeCell ref="B13:C13"/>
    <mergeCell ref="B14:C14"/>
    <mergeCell ref="B69:C69"/>
    <mergeCell ref="B78:C78"/>
    <mergeCell ref="B79:C79"/>
    <mergeCell ref="B48:C48"/>
    <mergeCell ref="B52:C52"/>
    <mergeCell ref="B56:C56"/>
    <mergeCell ref="B70:C70"/>
    <mergeCell ref="B173:C173"/>
    <mergeCell ref="B174:C174"/>
    <mergeCell ref="B175:C175"/>
    <mergeCell ref="B176:C176"/>
    <mergeCell ref="B177:C177"/>
    <mergeCell ref="B157:C157"/>
    <mergeCell ref="B156:C156"/>
    <mergeCell ref="B155:C155"/>
    <mergeCell ref="B190:C190"/>
    <mergeCell ref="B178:C178"/>
    <mergeCell ref="B187:C187"/>
    <mergeCell ref="B186:C186"/>
    <mergeCell ref="B185:C185"/>
    <mergeCell ref="B184:C184"/>
    <mergeCell ref="B183:C183"/>
    <mergeCell ref="B182:C182"/>
    <mergeCell ref="B181:C181"/>
    <mergeCell ref="B180:C180"/>
    <mergeCell ref="B179:C179"/>
    <mergeCell ref="B151:C151"/>
    <mergeCell ref="B150:C150"/>
    <mergeCell ref="B171:C171"/>
    <mergeCell ref="B142:C142"/>
    <mergeCell ref="B167:C167"/>
    <mergeCell ref="B162:C162"/>
    <mergeCell ref="B161:C161"/>
    <mergeCell ref="B160:C160"/>
    <mergeCell ref="B159:C159"/>
    <mergeCell ref="B158:C158"/>
    <mergeCell ref="B148:C148"/>
    <mergeCell ref="B147:C147"/>
    <mergeCell ref="B146:C146"/>
    <mergeCell ref="B145:C145"/>
    <mergeCell ref="B144:C144"/>
    <mergeCell ref="B143:C143"/>
    <mergeCell ref="B152:C152"/>
    <mergeCell ref="B132:C132"/>
    <mergeCell ref="B131:C131"/>
    <mergeCell ref="B130:C130"/>
    <mergeCell ref="B141:C141"/>
    <mergeCell ref="B140:C140"/>
    <mergeCell ref="B139:C139"/>
    <mergeCell ref="B138:C138"/>
    <mergeCell ref="B137:C137"/>
    <mergeCell ref="B136:C136"/>
    <mergeCell ref="B135:C135"/>
    <mergeCell ref="B134:C134"/>
    <mergeCell ref="B133:C133"/>
    <mergeCell ref="B126:C126"/>
    <mergeCell ref="B125:C125"/>
    <mergeCell ref="B124:C124"/>
    <mergeCell ref="B123:C123"/>
    <mergeCell ref="B122:C122"/>
    <mergeCell ref="B121:C121"/>
    <mergeCell ref="B120:C120"/>
    <mergeCell ref="B119:C119"/>
    <mergeCell ref="B129:C129"/>
    <mergeCell ref="B128:C128"/>
    <mergeCell ref="B127:C127"/>
    <mergeCell ref="B118:C118"/>
    <mergeCell ref="B117:C117"/>
    <mergeCell ref="B115:C115"/>
    <mergeCell ref="B94:C94"/>
    <mergeCell ref="B95:C95"/>
    <mergeCell ref="B99:C99"/>
    <mergeCell ref="B100:C100"/>
    <mergeCell ref="B101:C101"/>
    <mergeCell ref="B92:C92"/>
    <mergeCell ref="B110:C110"/>
    <mergeCell ref="B98:C98"/>
    <mergeCell ref="B102:C102"/>
    <mergeCell ref="B103:C103"/>
    <mergeCell ref="B105:C105"/>
    <mergeCell ref="B106:C106"/>
    <mergeCell ref="B107:C107"/>
    <mergeCell ref="B96:C96"/>
    <mergeCell ref="B97:C97"/>
    <mergeCell ref="B109:C109"/>
    <mergeCell ref="B111:C111"/>
    <mergeCell ref="B112:C112"/>
    <mergeCell ref="B113:C113"/>
    <mergeCell ref="B39:C39"/>
    <mergeCell ref="B65:C65"/>
    <mergeCell ref="B57:C57"/>
    <mergeCell ref="B53:C53"/>
    <mergeCell ref="B49:C49"/>
    <mergeCell ref="B47:C47"/>
    <mergeCell ref="B46:C46"/>
    <mergeCell ref="B45:C45"/>
    <mergeCell ref="B44:C44"/>
    <mergeCell ref="B43:C43"/>
    <mergeCell ref="B42:C42"/>
    <mergeCell ref="B64:C64"/>
    <mergeCell ref="B50:C50"/>
    <mergeCell ref="B54:C54"/>
    <mergeCell ref="B58:C58"/>
    <mergeCell ref="B60:C60"/>
    <mergeCell ref="B61:C61"/>
    <mergeCell ref="B62:C62"/>
    <mergeCell ref="B77:C77"/>
    <mergeCell ref="B93:C93"/>
    <mergeCell ref="B108:C108"/>
    <mergeCell ref="B40:C40"/>
    <mergeCell ref="B80:C80"/>
    <mergeCell ref="B89:C89"/>
    <mergeCell ref="B88:C88"/>
    <mergeCell ref="B84:C84"/>
    <mergeCell ref="B83:C83"/>
    <mergeCell ref="B82:C82"/>
    <mergeCell ref="B85:C85"/>
    <mergeCell ref="B87:C87"/>
    <mergeCell ref="B91:C91"/>
    <mergeCell ref="B90:C90"/>
    <mergeCell ref="B81:C81"/>
    <mergeCell ref="B73:C73"/>
    <mergeCell ref="B75:C75"/>
    <mergeCell ref="B74:C74"/>
    <mergeCell ref="B41:C41"/>
    <mergeCell ref="B104:C104"/>
    <mergeCell ref="B3:C3"/>
    <mergeCell ref="B4:C4"/>
    <mergeCell ref="B5:C5"/>
    <mergeCell ref="B11:C11"/>
    <mergeCell ref="B12:C12"/>
    <mergeCell ref="B36:C36"/>
    <mergeCell ref="B35:C35"/>
    <mergeCell ref="B34:C34"/>
    <mergeCell ref="B33:C33"/>
    <mergeCell ref="B32:C32"/>
    <mergeCell ref="B31:C31"/>
    <mergeCell ref="B15:C15"/>
    <mergeCell ref="B18:C18"/>
    <mergeCell ref="B19:C19"/>
    <mergeCell ref="B20:C20"/>
    <mergeCell ref="B30:C30"/>
    <mergeCell ref="B29:C29"/>
    <mergeCell ref="B28:C28"/>
    <mergeCell ref="B23:C23"/>
    <mergeCell ref="B21:C21"/>
  </mergeCells>
  <pageMargins left="0.7" right="0.7" top="0.75" bottom="0.75" header="0.3" footer="0.3"/>
  <pageSetup scale="4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BB4CD-61B9-4BAD-8C39-C4A95B6C36FD}">
  <dimension ref="B1:N50"/>
  <sheetViews>
    <sheetView showGridLines="0" zoomScaleNormal="100" workbookViewId="0">
      <selection activeCell="G47" sqref="G47"/>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14" t="s">
        <v>399</v>
      </c>
    </row>
    <row r="2" spans="2:14" x14ac:dyDescent="0.3">
      <c r="B2" s="14"/>
    </row>
    <row r="3" spans="2:14" x14ac:dyDescent="0.3">
      <c r="B3" s="14"/>
    </row>
    <row r="4" spans="2:14" x14ac:dyDescent="0.3">
      <c r="B4" s="8"/>
      <c r="G4" t="s">
        <v>356</v>
      </c>
      <c r="I4" s="8"/>
      <c r="L4" s="8"/>
    </row>
    <row r="5" spans="2:14" ht="12.6" customHeight="1" x14ac:dyDescent="0.3">
      <c r="B5" s="8"/>
      <c r="G5" t="s">
        <v>402</v>
      </c>
    </row>
    <row r="6" spans="2:14" ht="21" customHeight="1" x14ac:dyDescent="0.3">
      <c r="C6" s="22"/>
      <c r="D6" s="23"/>
      <c r="E6" s="23"/>
      <c r="F6" s="23"/>
      <c r="H6" s="8"/>
    </row>
    <row r="7" spans="2:14" s="13" customFormat="1" ht="21" customHeight="1" x14ac:dyDescent="0.3">
      <c r="C7" s="23"/>
      <c r="D7" s="23"/>
      <c r="E7" s="23"/>
      <c r="F7" s="23"/>
      <c r="H7" s="402"/>
      <c r="I7" s="402"/>
      <c r="J7" s="402"/>
      <c r="K7" s="402"/>
      <c r="L7" s="402"/>
      <c r="M7" s="402"/>
      <c r="N7" s="402"/>
    </row>
    <row r="8" spans="2:14" ht="21" customHeight="1" x14ac:dyDescent="0.3">
      <c r="D8" s="6"/>
      <c r="E8" s="6"/>
      <c r="F8" s="6"/>
      <c r="G8" s="21"/>
    </row>
    <row r="9" spans="2:14" ht="21" customHeight="1" x14ac:dyDescent="0.3">
      <c r="D9" s="6"/>
      <c r="E9" s="6"/>
      <c r="F9" s="6"/>
      <c r="G9" s="21"/>
    </row>
    <row r="10" spans="2:14" ht="21" customHeight="1" x14ac:dyDescent="0.3">
      <c r="D10" s="6"/>
      <c r="E10" s="6"/>
      <c r="F10" s="6"/>
      <c r="G10" s="21"/>
    </row>
    <row r="11" spans="2:14" ht="21" customHeight="1" x14ac:dyDescent="0.3">
      <c r="D11" s="6"/>
      <c r="E11" s="6"/>
      <c r="F11" s="6"/>
      <c r="G11" s="21"/>
    </row>
    <row r="12" spans="2:14" ht="21" customHeight="1" x14ac:dyDescent="0.3">
      <c r="D12" s="6"/>
      <c r="E12" s="6"/>
      <c r="F12" s="24"/>
      <c r="G12" s="21"/>
    </row>
    <row r="13" spans="2:14" ht="21" customHeight="1" x14ac:dyDescent="0.3">
      <c r="D13" s="6"/>
      <c r="E13" s="7"/>
      <c r="F13" s="7"/>
      <c r="G13" t="s">
        <v>357</v>
      </c>
    </row>
    <row r="14" spans="2:14" ht="21" customHeight="1" x14ac:dyDescent="0.3">
      <c r="B14" s="14"/>
      <c r="D14" s="6"/>
      <c r="E14" s="7"/>
      <c r="F14" s="7"/>
      <c r="G14" t="s">
        <v>402</v>
      </c>
    </row>
    <row r="15" spans="2:14" ht="21" customHeight="1" x14ac:dyDescent="0.3">
      <c r="D15" s="6"/>
      <c r="E15" s="7"/>
      <c r="F15" s="7"/>
      <c r="G15" s="21"/>
    </row>
    <row r="16" spans="2:14" ht="21" customHeight="1" x14ac:dyDescent="0.3">
      <c r="D16" s="6"/>
      <c r="E16" s="7"/>
      <c r="F16" s="7"/>
      <c r="G16" s="21"/>
    </row>
    <row r="24" spans="2:7" x14ac:dyDescent="0.3">
      <c r="G24" t="s">
        <v>358</v>
      </c>
    </row>
    <row r="25" spans="2:7" x14ac:dyDescent="0.3">
      <c r="G25" t="s">
        <v>402</v>
      </c>
    </row>
    <row r="27" spans="2:7" x14ac:dyDescent="0.3">
      <c r="B27" s="14"/>
    </row>
    <row r="37" spans="2:7" x14ac:dyDescent="0.3">
      <c r="G37" t="s">
        <v>359</v>
      </c>
    </row>
    <row r="38" spans="2:7" x14ac:dyDescent="0.3">
      <c r="G38" t="s">
        <v>402</v>
      </c>
    </row>
    <row r="41" spans="2:7" x14ac:dyDescent="0.3">
      <c r="B41" s="14"/>
    </row>
    <row r="49" spans="7:7" x14ac:dyDescent="0.3">
      <c r="G49" t="s">
        <v>360</v>
      </c>
    </row>
    <row r="50" spans="7:7" x14ac:dyDescent="0.3">
      <c r="G50" t="s">
        <v>402</v>
      </c>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00CA1-2DB2-4D50-AFBB-56D6D6460E75}">
  <dimension ref="B1:K22"/>
  <sheetViews>
    <sheetView showGridLines="0" workbookViewId="0">
      <selection activeCell="F50" sqref="F50"/>
    </sheetView>
  </sheetViews>
  <sheetFormatPr defaultRowHeight="14.4" x14ac:dyDescent="0.3"/>
  <cols>
    <col min="1" max="1" width="1.33203125" customWidth="1"/>
    <col min="2" max="2" width="12.33203125" customWidth="1"/>
    <col min="8" max="8" width="15.33203125" bestFit="1" customWidth="1"/>
    <col min="11" max="11" width="9.5546875" bestFit="1" customWidth="1"/>
  </cols>
  <sheetData>
    <row r="1" spans="2:11" x14ac:dyDescent="0.3">
      <c r="B1" s="225" t="s">
        <v>403</v>
      </c>
      <c r="C1" s="225"/>
    </row>
    <row r="2" spans="2:11" x14ac:dyDescent="0.3">
      <c r="B2" t="s">
        <v>260</v>
      </c>
    </row>
    <row r="3" spans="2:11" ht="43.2" x14ac:dyDescent="0.3">
      <c r="B3" s="226" t="s">
        <v>261</v>
      </c>
      <c r="C3" s="226" t="s">
        <v>262</v>
      </c>
      <c r="D3" s="226" t="s">
        <v>263</v>
      </c>
      <c r="E3" s="226" t="s">
        <v>264</v>
      </c>
      <c r="F3" s="226" t="s">
        <v>265</v>
      </c>
      <c r="G3" s="226" t="s">
        <v>266</v>
      </c>
      <c r="H3" s="226" t="s">
        <v>267</v>
      </c>
      <c r="I3" s="226" t="s">
        <v>268</v>
      </c>
      <c r="J3" s="226" t="s">
        <v>269</v>
      </c>
      <c r="K3" s="226" t="s">
        <v>270</v>
      </c>
    </row>
    <row r="4" spans="2:11" x14ac:dyDescent="0.3">
      <c r="B4" s="227">
        <v>43221</v>
      </c>
      <c r="C4" s="228">
        <v>166.41000399999999</v>
      </c>
      <c r="D4" s="228">
        <v>190.36999499999999</v>
      </c>
      <c r="E4" s="228">
        <v>165.270004</v>
      </c>
      <c r="F4" s="228">
        <v>186.86999499999999</v>
      </c>
      <c r="G4" s="228">
        <v>183.36103800000001</v>
      </c>
      <c r="H4" s="228">
        <v>620976300</v>
      </c>
      <c r="I4" s="229"/>
      <c r="J4" s="230"/>
      <c r="K4" s="231"/>
    </row>
    <row r="5" spans="2:11" x14ac:dyDescent="0.3">
      <c r="B5" s="232">
        <v>43252</v>
      </c>
      <c r="C5">
        <v>187.990005</v>
      </c>
      <c r="D5">
        <v>194.199997</v>
      </c>
      <c r="E5">
        <v>180.729996</v>
      </c>
      <c r="F5">
        <v>185.11000100000001</v>
      </c>
      <c r="G5">
        <v>182.33448799999999</v>
      </c>
      <c r="H5">
        <v>527624500</v>
      </c>
      <c r="I5" s="216">
        <f>+G5/G4-1</f>
        <v>-5.5985176087409716E-3</v>
      </c>
      <c r="J5" s="314">
        <f t="shared" ref="J5:J16" si="0">I5-$I$17</f>
        <v>-7.5337283048694708E-3</v>
      </c>
      <c r="K5" s="233">
        <f>J5^2</f>
        <v>5.6757062171591428E-5</v>
      </c>
    </row>
    <row r="6" spans="2:11" x14ac:dyDescent="0.3">
      <c r="B6" s="232">
        <v>43282</v>
      </c>
      <c r="C6">
        <v>183.820007</v>
      </c>
      <c r="D6">
        <v>195.96000699999999</v>
      </c>
      <c r="E6">
        <v>183.41999799999999</v>
      </c>
      <c r="F6">
        <v>190.28999300000001</v>
      </c>
      <c r="G6">
        <v>187.43682899999999</v>
      </c>
      <c r="H6">
        <v>393691400</v>
      </c>
      <c r="I6" s="216">
        <f>+G6/G5-1</f>
        <v>2.7983411454227891E-2</v>
      </c>
      <c r="J6" s="314">
        <f t="shared" si="0"/>
        <v>2.6048200758099393E-2</v>
      </c>
      <c r="K6" s="233">
        <f>J6^2</f>
        <v>6.7850876273424976E-4</v>
      </c>
    </row>
    <row r="7" spans="2:11" x14ac:dyDescent="0.3">
      <c r="B7" s="232">
        <v>43313</v>
      </c>
      <c r="C7">
        <v>199.13000500000001</v>
      </c>
      <c r="D7">
        <v>228.86999499999999</v>
      </c>
      <c r="E7">
        <v>197.30999800000001</v>
      </c>
      <c r="F7">
        <v>227.63000500000001</v>
      </c>
      <c r="G7">
        <v>224.21698000000001</v>
      </c>
      <c r="H7">
        <v>700273700</v>
      </c>
      <c r="I7" s="216">
        <f t="shared" ref="I7:I16" si="1">+G7/G6-1</f>
        <v>0.19622691653623758</v>
      </c>
      <c r="J7" s="314">
        <f t="shared" si="0"/>
        <v>0.19429170584010907</v>
      </c>
      <c r="K7" s="233">
        <f t="shared" ref="K7:K15" si="2">J7^2</f>
        <v>3.7749266958259475E-2</v>
      </c>
    </row>
    <row r="8" spans="2:11" x14ac:dyDescent="0.3">
      <c r="B8" s="232">
        <v>43344</v>
      </c>
      <c r="C8">
        <v>228.41000399999999</v>
      </c>
      <c r="D8">
        <v>229.66999799999999</v>
      </c>
      <c r="E8">
        <v>215.300003</v>
      </c>
      <c r="F8">
        <v>225.740005</v>
      </c>
      <c r="G8">
        <v>223.13514699999999</v>
      </c>
      <c r="H8">
        <v>678972000</v>
      </c>
      <c r="I8" s="216">
        <f t="shared" si="1"/>
        <v>-4.8249378793703279E-3</v>
      </c>
      <c r="J8" s="314">
        <f t="shared" si="0"/>
        <v>-6.7601485754988271E-3</v>
      </c>
      <c r="K8" s="233">
        <f t="shared" si="2"/>
        <v>4.5699608762818818E-5</v>
      </c>
    </row>
    <row r="9" spans="2:11" x14ac:dyDescent="0.3">
      <c r="B9" s="232">
        <v>43374</v>
      </c>
      <c r="C9">
        <v>227.949997</v>
      </c>
      <c r="D9">
        <v>233.470001</v>
      </c>
      <c r="E9">
        <v>206.08999600000001</v>
      </c>
      <c r="F9">
        <v>218.86000100000001</v>
      </c>
      <c r="G9">
        <v>216.334518</v>
      </c>
      <c r="H9">
        <v>789748500</v>
      </c>
      <c r="I9" s="216">
        <f t="shared" si="1"/>
        <v>-3.0477623500523632E-2</v>
      </c>
      <c r="J9" s="314">
        <f t="shared" si="0"/>
        <v>-3.2412834196652134E-2</v>
      </c>
      <c r="K9" s="233">
        <f t="shared" si="2"/>
        <v>1.050591820659662E-3</v>
      </c>
    </row>
    <row r="10" spans="2:11" x14ac:dyDescent="0.3">
      <c r="B10" s="232">
        <v>43405</v>
      </c>
      <c r="C10">
        <v>219.050003</v>
      </c>
      <c r="D10">
        <v>222.36000100000001</v>
      </c>
      <c r="E10">
        <v>170.259995</v>
      </c>
      <c r="F10">
        <v>178.58000200000001</v>
      </c>
      <c r="G10">
        <v>176.519318</v>
      </c>
      <c r="H10">
        <v>961326400</v>
      </c>
      <c r="I10" s="216">
        <f t="shared" si="1"/>
        <v>-0.18404460077887341</v>
      </c>
      <c r="J10" s="314">
        <f t="shared" si="0"/>
        <v>-0.18597981147500192</v>
      </c>
      <c r="K10" s="233">
        <f t="shared" si="2"/>
        <v>3.4588490276277258E-2</v>
      </c>
    </row>
    <row r="11" spans="2:11" x14ac:dyDescent="0.3">
      <c r="B11" s="232">
        <v>43435</v>
      </c>
      <c r="C11">
        <v>184.46000699999999</v>
      </c>
      <c r="D11">
        <v>184.94000199999999</v>
      </c>
      <c r="E11">
        <v>146.58999600000001</v>
      </c>
      <c r="F11">
        <v>157.740005</v>
      </c>
      <c r="G11">
        <v>156.46383700000001</v>
      </c>
      <c r="H11">
        <v>898922500</v>
      </c>
      <c r="I11" s="216">
        <f t="shared" si="1"/>
        <v>-0.11361635217738597</v>
      </c>
      <c r="J11" s="314">
        <f t="shared" si="0"/>
        <v>-0.11555156287351447</v>
      </c>
      <c r="K11" s="233">
        <f t="shared" si="2"/>
        <v>1.3352163682511766E-2</v>
      </c>
    </row>
    <row r="12" spans="2:11" x14ac:dyDescent="0.3">
      <c r="B12" s="232">
        <v>43466</v>
      </c>
      <c r="C12">
        <v>154.88999899999999</v>
      </c>
      <c r="D12">
        <v>169</v>
      </c>
      <c r="E12">
        <v>142</v>
      </c>
      <c r="F12">
        <v>166.44000199999999</v>
      </c>
      <c r="G12">
        <v>165.093445</v>
      </c>
      <c r="H12">
        <v>828019300</v>
      </c>
      <c r="I12" s="216">
        <f t="shared" si="1"/>
        <v>5.5154009804834203E-2</v>
      </c>
      <c r="J12" s="314">
        <f t="shared" si="0"/>
        <v>5.3218799108705701E-2</v>
      </c>
      <c r="K12" s="233">
        <f t="shared" si="2"/>
        <v>2.832240578572775E-3</v>
      </c>
    </row>
    <row r="13" spans="2:11" x14ac:dyDescent="0.3">
      <c r="B13" s="232">
        <v>43497</v>
      </c>
      <c r="C13">
        <v>166.96000699999999</v>
      </c>
      <c r="D13">
        <v>175.86999499999999</v>
      </c>
      <c r="E13">
        <v>165.929993</v>
      </c>
      <c r="F13">
        <v>173.14999399999999</v>
      </c>
      <c r="G13">
        <v>171.749146</v>
      </c>
      <c r="H13">
        <v>472540600</v>
      </c>
      <c r="I13" s="216">
        <f t="shared" si="1"/>
        <v>4.0314750231300822E-2</v>
      </c>
      <c r="J13" s="314">
        <f t="shared" si="0"/>
        <v>3.837953953517232E-2</v>
      </c>
      <c r="K13" s="233">
        <f t="shared" si="2"/>
        <v>1.4729890549318551E-3</v>
      </c>
    </row>
    <row r="14" spans="2:11" x14ac:dyDescent="0.3">
      <c r="B14" s="232">
        <v>43525</v>
      </c>
      <c r="C14">
        <v>174.279999</v>
      </c>
      <c r="D14">
        <v>197.69000199999999</v>
      </c>
      <c r="E14">
        <v>169.5</v>
      </c>
      <c r="F14">
        <v>189.949997</v>
      </c>
      <c r="G14">
        <v>189.22131300000001</v>
      </c>
      <c r="H14">
        <v>650945900</v>
      </c>
      <c r="I14" s="216">
        <f t="shared" si="1"/>
        <v>0.10173073582560943</v>
      </c>
      <c r="J14" s="314">
        <f t="shared" si="0"/>
        <v>9.9795525129480936E-2</v>
      </c>
      <c r="K14" s="233">
        <f t="shared" si="2"/>
        <v>9.9591468358688606E-3</v>
      </c>
    </row>
    <row r="15" spans="2:11" x14ac:dyDescent="0.3">
      <c r="B15" s="232">
        <v>43556</v>
      </c>
      <c r="C15">
        <v>191.63999899999999</v>
      </c>
      <c r="D15">
        <v>208.479996</v>
      </c>
      <c r="E15">
        <v>188.38000500000001</v>
      </c>
      <c r="F15">
        <v>200.66999799999999</v>
      </c>
      <c r="G15">
        <v>199.900192</v>
      </c>
      <c r="H15">
        <v>506117700</v>
      </c>
      <c r="I15" s="216">
        <f t="shared" si="1"/>
        <v>5.6435920619576363E-2</v>
      </c>
      <c r="J15" s="314">
        <f t="shared" si="0"/>
        <v>5.4500709923447861E-2</v>
      </c>
      <c r="K15" s="233">
        <f t="shared" si="2"/>
        <v>2.9703273821598082E-3</v>
      </c>
    </row>
    <row r="16" spans="2:11" x14ac:dyDescent="0.3">
      <c r="B16" s="234">
        <v>43586</v>
      </c>
      <c r="C16" s="235">
        <v>209.88000500000001</v>
      </c>
      <c r="D16" s="235">
        <v>215.30999800000001</v>
      </c>
      <c r="E16" s="235">
        <v>176</v>
      </c>
      <c r="F16" s="235">
        <v>177.38000500000001</v>
      </c>
      <c r="G16" s="235">
        <v>176.69953899999999</v>
      </c>
      <c r="H16" s="235">
        <v>691165400</v>
      </c>
      <c r="I16" s="236">
        <f t="shared" si="1"/>
        <v>-0.11606118417334998</v>
      </c>
      <c r="J16" s="237">
        <f t="shared" si="0"/>
        <v>-0.11799639486947848</v>
      </c>
      <c r="K16" s="238">
        <f>J16^2</f>
        <v>1.3923149202193888E-2</v>
      </c>
    </row>
    <row r="17" spans="7:11" x14ac:dyDescent="0.3">
      <c r="G17" s="239"/>
      <c r="H17" s="240" t="s">
        <v>271</v>
      </c>
      <c r="I17" s="241">
        <f>AVERAGE(I5:I16)</f>
        <v>1.9352106961284994E-3</v>
      </c>
      <c r="K17" s="242"/>
    </row>
    <row r="18" spans="7:11" x14ac:dyDescent="0.3">
      <c r="G18" s="239"/>
      <c r="J18" s="243" t="s">
        <v>272</v>
      </c>
      <c r="K18" s="244">
        <f>SUM(K5:K16)</f>
        <v>0.11867933122510402</v>
      </c>
    </row>
    <row r="19" spans="7:11" x14ac:dyDescent="0.3">
      <c r="G19" s="239"/>
      <c r="J19" s="243" t="s">
        <v>273</v>
      </c>
      <c r="K19" s="245">
        <f>K18/12</f>
        <v>9.8899442687586676E-3</v>
      </c>
    </row>
    <row r="20" spans="7:11" x14ac:dyDescent="0.3">
      <c r="G20" s="239"/>
      <c r="I20" s="225"/>
      <c r="J20" s="240" t="s">
        <v>274</v>
      </c>
      <c r="K20" s="246">
        <f>SQRT(K19)</f>
        <v>9.9448198921642958E-2</v>
      </c>
    </row>
    <row r="21" spans="7:11" x14ac:dyDescent="0.3">
      <c r="G21" s="239"/>
      <c r="J21" s="247" t="s">
        <v>275</v>
      </c>
      <c r="K21" s="248">
        <f>_xlfn.STDEV.P(I5:I16)-K20</f>
        <v>0</v>
      </c>
    </row>
    <row r="22" spans="7:11" x14ac:dyDescent="0.3">
      <c r="G22" s="249"/>
      <c r="H22" s="235"/>
      <c r="I22" s="235"/>
      <c r="J22" s="250" t="s">
        <v>276</v>
      </c>
      <c r="K22" s="251">
        <f>ABS(I17)</f>
        <v>1.9352106961284994E-3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00108-6754-4297-A30F-FF46C6DA6231}">
  <dimension ref="A1:E1313"/>
  <sheetViews>
    <sheetView workbookViewId="0">
      <pane xSplit="2" ySplit="12" topLeftCell="C1256" activePane="bottomRight" state="frozen"/>
      <selection activeCell="I17" sqref="I17"/>
      <selection pane="topRight" activeCell="I17" sqref="I17"/>
      <selection pane="bottomLeft" activeCell="I17" sqref="I17"/>
      <selection pane="bottomRight" activeCell="F1275" sqref="F1275"/>
    </sheetView>
  </sheetViews>
  <sheetFormatPr defaultRowHeight="14.4" x14ac:dyDescent="0.3"/>
  <cols>
    <col min="1" max="1" width="14.33203125" customWidth="1"/>
    <col min="4" max="4" width="20.33203125" customWidth="1"/>
    <col min="5" max="5" width="30.109375" customWidth="1"/>
  </cols>
  <sheetData>
    <row r="1" spans="1:5" x14ac:dyDescent="0.3">
      <c r="A1" s="273" t="s">
        <v>317</v>
      </c>
    </row>
    <row r="2" spans="1:5" x14ac:dyDescent="0.3">
      <c r="A2" t="s">
        <v>166</v>
      </c>
    </row>
    <row r="3" spans="1:5" x14ac:dyDescent="0.3">
      <c r="A3" t="s">
        <v>167</v>
      </c>
    </row>
    <row r="4" spans="1:5" x14ac:dyDescent="0.3">
      <c r="A4" t="s">
        <v>168</v>
      </c>
    </row>
    <row r="5" spans="1:5" x14ac:dyDescent="0.3">
      <c r="A5" t="s">
        <v>169</v>
      </c>
    </row>
    <row r="6" spans="1:5" x14ac:dyDescent="0.3">
      <c r="A6" t="s">
        <v>170</v>
      </c>
    </row>
    <row r="7" spans="1:5" x14ac:dyDescent="0.3">
      <c r="A7" t="s">
        <v>171</v>
      </c>
    </row>
    <row r="9" spans="1:5" x14ac:dyDescent="0.3">
      <c r="A9" t="s">
        <v>172</v>
      </c>
      <c r="B9" t="s">
        <v>316</v>
      </c>
    </row>
    <row r="11" spans="1:5" x14ac:dyDescent="0.3">
      <c r="A11" s="14" t="s">
        <v>173</v>
      </c>
      <c r="B11" s="14"/>
      <c r="C11" s="14"/>
      <c r="D11" s="14"/>
      <c r="E11" s="14"/>
    </row>
    <row r="12" spans="1:5" x14ac:dyDescent="0.3">
      <c r="A12" s="274" t="s">
        <v>174</v>
      </c>
      <c r="B12" s="14" t="s">
        <v>172</v>
      </c>
      <c r="C12" s="14" t="s">
        <v>175</v>
      </c>
      <c r="D12" s="14" t="s">
        <v>318</v>
      </c>
      <c r="E12" s="14"/>
    </row>
    <row r="13" spans="1:5" x14ac:dyDescent="0.3">
      <c r="A13" s="18">
        <v>41702</v>
      </c>
      <c r="B13" s="19">
        <v>103.0021</v>
      </c>
    </row>
    <row r="14" spans="1:5" x14ac:dyDescent="0.3">
      <c r="A14" s="18">
        <v>41703</v>
      </c>
      <c r="B14" s="19">
        <v>102.80800000000001</v>
      </c>
    </row>
    <row r="15" spans="1:5" x14ac:dyDescent="0.3">
      <c r="A15" s="18">
        <v>41704</v>
      </c>
      <c r="B15" s="19">
        <v>102.3192</v>
      </c>
    </row>
    <row r="16" spans="1:5" x14ac:dyDescent="0.3">
      <c r="A16" s="18">
        <v>41705</v>
      </c>
      <c r="B16" s="19">
        <v>102.58759999999999</v>
      </c>
    </row>
    <row r="17" spans="1:2" x14ac:dyDescent="0.3">
      <c r="A17" s="18">
        <v>41708</v>
      </c>
      <c r="B17" s="19">
        <v>102.71639999999999</v>
      </c>
    </row>
    <row r="18" spans="1:2" x14ac:dyDescent="0.3">
      <c r="A18" s="18">
        <v>41709</v>
      </c>
      <c r="B18" s="19">
        <v>102.73560000000001</v>
      </c>
    </row>
    <row r="19" spans="1:2" x14ac:dyDescent="0.3">
      <c r="A19" s="18">
        <v>41710</v>
      </c>
      <c r="B19" s="19">
        <v>102.81489999999999</v>
      </c>
    </row>
    <row r="20" spans="1:2" x14ac:dyDescent="0.3">
      <c r="A20" s="18">
        <v>41711</v>
      </c>
      <c r="B20" s="19">
        <v>102.5381</v>
      </c>
    </row>
    <row r="21" spans="1:2" x14ac:dyDescent="0.3">
      <c r="A21" s="18">
        <v>41712</v>
      </c>
      <c r="B21" s="19">
        <v>102.6056</v>
      </c>
    </row>
    <row r="22" spans="1:2" x14ac:dyDescent="0.3">
      <c r="A22" s="18">
        <v>41716</v>
      </c>
      <c r="B22" s="19">
        <v>102.6583</v>
      </c>
    </row>
    <row r="23" spans="1:2" x14ac:dyDescent="0.3">
      <c r="A23" s="18">
        <v>41717</v>
      </c>
      <c r="B23" s="19">
        <v>102.7651</v>
      </c>
    </row>
    <row r="24" spans="1:2" x14ac:dyDescent="0.3">
      <c r="A24" s="18">
        <v>41718</v>
      </c>
      <c r="B24" s="19">
        <v>103.4348</v>
      </c>
    </row>
    <row r="25" spans="1:2" x14ac:dyDescent="0.3">
      <c r="A25" s="18">
        <v>41719</v>
      </c>
      <c r="B25" s="19">
        <v>103.2975</v>
      </c>
    </row>
    <row r="26" spans="1:2" x14ac:dyDescent="0.3">
      <c r="A26" s="18">
        <v>41722</v>
      </c>
      <c r="B26" s="19">
        <v>103.1579</v>
      </c>
    </row>
    <row r="27" spans="1:2" x14ac:dyDescent="0.3">
      <c r="A27" s="18">
        <v>41723</v>
      </c>
      <c r="B27" s="19">
        <v>103.0401</v>
      </c>
    </row>
    <row r="28" spans="1:2" x14ac:dyDescent="0.3">
      <c r="A28" s="18">
        <v>41724</v>
      </c>
      <c r="B28" s="19">
        <v>102.9436</v>
      </c>
    </row>
    <row r="29" spans="1:2" x14ac:dyDescent="0.3">
      <c r="A29" s="18">
        <v>41725</v>
      </c>
      <c r="B29" s="19">
        <v>102.7649</v>
      </c>
    </row>
    <row r="30" spans="1:2" x14ac:dyDescent="0.3">
      <c r="A30" s="18">
        <v>41726</v>
      </c>
      <c r="B30" s="19">
        <v>102.7968</v>
      </c>
    </row>
    <row r="31" spans="1:2" x14ac:dyDescent="0.3">
      <c r="A31" s="18">
        <v>41729</v>
      </c>
      <c r="B31" s="19">
        <v>102.6653</v>
      </c>
    </row>
    <row r="32" spans="1:2" x14ac:dyDescent="0.3">
      <c r="A32" s="18">
        <v>41730</v>
      </c>
      <c r="B32" s="19">
        <v>102.5222</v>
      </c>
    </row>
    <row r="33" spans="1:2" x14ac:dyDescent="0.3">
      <c r="A33" s="18">
        <v>41731</v>
      </c>
      <c r="B33" s="19">
        <v>102.7169</v>
      </c>
    </row>
    <row r="34" spans="1:2" x14ac:dyDescent="0.3">
      <c r="A34" s="18">
        <v>41732</v>
      </c>
      <c r="B34" s="19">
        <v>102.92700000000001</v>
      </c>
    </row>
    <row r="35" spans="1:2" x14ac:dyDescent="0.3">
      <c r="A35" s="18">
        <v>41733</v>
      </c>
      <c r="B35" s="19">
        <v>102.6318</v>
      </c>
    </row>
    <row r="36" spans="1:2" x14ac:dyDescent="0.3">
      <c r="A36" s="18">
        <v>41736</v>
      </c>
      <c r="B36" s="19">
        <v>102.5091</v>
      </c>
    </row>
    <row r="37" spans="1:2" x14ac:dyDescent="0.3">
      <c r="A37" s="18">
        <v>41737</v>
      </c>
      <c r="B37" s="19">
        <v>102.0625</v>
      </c>
    </row>
    <row r="38" spans="1:2" x14ac:dyDescent="0.3">
      <c r="A38" s="18">
        <v>41738</v>
      </c>
      <c r="B38" s="19">
        <v>102.0719</v>
      </c>
    </row>
    <row r="39" spans="1:2" x14ac:dyDescent="0.3">
      <c r="A39" s="18">
        <v>41739</v>
      </c>
      <c r="B39" s="19">
        <v>101.9259</v>
      </c>
    </row>
    <row r="40" spans="1:2" x14ac:dyDescent="0.3">
      <c r="A40" s="18">
        <v>41740</v>
      </c>
      <c r="B40" s="19">
        <v>102.04819999999999</v>
      </c>
    </row>
    <row r="41" spans="1:2" x14ac:dyDescent="0.3">
      <c r="A41" s="18">
        <v>41743</v>
      </c>
      <c r="B41" s="19">
        <v>102.2362</v>
      </c>
    </row>
    <row r="42" spans="1:2" x14ac:dyDescent="0.3">
      <c r="A42" s="18">
        <v>41744</v>
      </c>
      <c r="B42" s="19">
        <v>102.3873</v>
      </c>
    </row>
    <row r="43" spans="1:2" x14ac:dyDescent="0.3">
      <c r="A43" s="18">
        <v>41745</v>
      </c>
      <c r="B43" s="19">
        <v>102.37730000000001</v>
      </c>
    </row>
    <row r="44" spans="1:2" x14ac:dyDescent="0.3">
      <c r="A44" s="18">
        <v>41746</v>
      </c>
      <c r="B44" s="19">
        <v>102.31619999999999</v>
      </c>
    </row>
    <row r="45" spans="1:2" x14ac:dyDescent="0.3">
      <c r="A45" s="18">
        <v>41747</v>
      </c>
      <c r="B45" s="19">
        <v>102.38720000000001</v>
      </c>
    </row>
    <row r="46" spans="1:2" x14ac:dyDescent="0.3">
      <c r="A46" s="18">
        <v>41750</v>
      </c>
      <c r="B46" s="19">
        <v>102.4699</v>
      </c>
    </row>
    <row r="47" spans="1:2" x14ac:dyDescent="0.3">
      <c r="A47" s="18">
        <v>41751</v>
      </c>
      <c r="B47" s="19">
        <v>102.53870000000001</v>
      </c>
    </row>
    <row r="48" spans="1:2" x14ac:dyDescent="0.3">
      <c r="A48" s="18">
        <v>41752</v>
      </c>
      <c r="B48" s="19">
        <v>102.60380000000001</v>
      </c>
    </row>
    <row r="49" spans="1:2" x14ac:dyDescent="0.3">
      <c r="A49" s="18">
        <v>41753</v>
      </c>
      <c r="B49" s="19">
        <v>102.60169999999999</v>
      </c>
    </row>
    <row r="50" spans="1:2" x14ac:dyDescent="0.3">
      <c r="A50" s="18">
        <v>41754</v>
      </c>
      <c r="B50" s="19">
        <v>102.64660000000001</v>
      </c>
    </row>
    <row r="51" spans="1:2" x14ac:dyDescent="0.3">
      <c r="A51" s="18">
        <v>41757</v>
      </c>
      <c r="B51" s="19">
        <v>102.6126</v>
      </c>
    </row>
    <row r="52" spans="1:2" x14ac:dyDescent="0.3">
      <c r="A52" s="18">
        <v>41758</v>
      </c>
      <c r="B52" s="19">
        <v>102.5102</v>
      </c>
    </row>
    <row r="53" spans="1:2" x14ac:dyDescent="0.3">
      <c r="A53" s="18">
        <v>41759</v>
      </c>
      <c r="B53" s="19">
        <v>102.3811</v>
      </c>
    </row>
    <row r="54" spans="1:2" x14ac:dyDescent="0.3">
      <c r="A54" s="18">
        <v>41760</v>
      </c>
      <c r="B54" s="19">
        <v>102.3614</v>
      </c>
    </row>
    <row r="55" spans="1:2" x14ac:dyDescent="0.3">
      <c r="A55" s="18">
        <v>41761</v>
      </c>
      <c r="B55" s="19">
        <v>102.30549999999999</v>
      </c>
    </row>
    <row r="56" spans="1:2" x14ac:dyDescent="0.3">
      <c r="A56" s="18">
        <v>41764</v>
      </c>
      <c r="B56" s="19">
        <v>102.2011</v>
      </c>
    </row>
    <row r="57" spans="1:2" x14ac:dyDescent="0.3">
      <c r="A57" s="18">
        <v>41765</v>
      </c>
      <c r="B57" s="19">
        <v>101.8847</v>
      </c>
    </row>
    <row r="58" spans="1:2" x14ac:dyDescent="0.3">
      <c r="A58" s="18">
        <v>41766</v>
      </c>
      <c r="B58" s="19">
        <v>101.8819</v>
      </c>
    </row>
    <row r="59" spans="1:2" x14ac:dyDescent="0.3">
      <c r="A59" s="18">
        <v>41767</v>
      </c>
      <c r="B59" s="19">
        <v>101.8083</v>
      </c>
    </row>
    <row r="60" spans="1:2" x14ac:dyDescent="0.3">
      <c r="A60" s="18">
        <v>41768</v>
      </c>
      <c r="B60" s="19">
        <v>102.0938</v>
      </c>
    </row>
    <row r="61" spans="1:2" x14ac:dyDescent="0.3">
      <c r="A61" s="18">
        <v>41771</v>
      </c>
      <c r="B61" s="19">
        <v>102.1003</v>
      </c>
    </row>
    <row r="62" spans="1:2" x14ac:dyDescent="0.3">
      <c r="A62" s="18">
        <v>41772</v>
      </c>
      <c r="B62" s="19">
        <v>102.1018</v>
      </c>
    </row>
    <row r="63" spans="1:2" x14ac:dyDescent="0.3">
      <c r="A63" s="18">
        <v>41773</v>
      </c>
      <c r="B63" s="19">
        <v>102.0091</v>
      </c>
    </row>
    <row r="64" spans="1:2" x14ac:dyDescent="0.3">
      <c r="A64" s="18">
        <v>41774</v>
      </c>
      <c r="B64" s="19">
        <v>102.1253</v>
      </c>
    </row>
    <row r="65" spans="1:2" x14ac:dyDescent="0.3">
      <c r="A65" s="18">
        <v>41775</v>
      </c>
      <c r="B65" s="19">
        <v>102.0303</v>
      </c>
    </row>
    <row r="66" spans="1:2" x14ac:dyDescent="0.3">
      <c r="A66" s="18">
        <v>41778</v>
      </c>
      <c r="B66" s="19">
        <v>101.92230000000001</v>
      </c>
    </row>
    <row r="67" spans="1:2" x14ac:dyDescent="0.3">
      <c r="A67" s="18">
        <v>41779</v>
      </c>
      <c r="B67" s="19">
        <v>102.09480000000001</v>
      </c>
    </row>
    <row r="68" spans="1:2" x14ac:dyDescent="0.3">
      <c r="A68" s="18">
        <v>41780</v>
      </c>
      <c r="B68" s="19">
        <v>102.1768</v>
      </c>
    </row>
    <row r="69" spans="1:2" x14ac:dyDescent="0.3">
      <c r="A69" s="18">
        <v>41781</v>
      </c>
      <c r="B69" s="19">
        <v>102.1123</v>
      </c>
    </row>
    <row r="70" spans="1:2" x14ac:dyDescent="0.3">
      <c r="A70" s="18">
        <v>41782</v>
      </c>
      <c r="B70" s="19">
        <v>102.12350000000001</v>
      </c>
    </row>
    <row r="71" spans="1:2" x14ac:dyDescent="0.3">
      <c r="A71" s="18">
        <v>41786</v>
      </c>
      <c r="B71" s="19">
        <v>102.277</v>
      </c>
    </row>
    <row r="72" spans="1:2" x14ac:dyDescent="0.3">
      <c r="A72" s="18">
        <v>41787</v>
      </c>
      <c r="B72" s="19">
        <v>102.31570000000001</v>
      </c>
    </row>
    <row r="73" spans="1:2" x14ac:dyDescent="0.3">
      <c r="A73" s="18">
        <v>41788</v>
      </c>
      <c r="B73" s="19">
        <v>102.1187</v>
      </c>
    </row>
    <row r="74" spans="1:2" x14ac:dyDescent="0.3">
      <c r="A74" s="18">
        <v>41789</v>
      </c>
      <c r="B74" s="19">
        <v>102.2024</v>
      </c>
    </row>
    <row r="75" spans="1:2" x14ac:dyDescent="0.3">
      <c r="A75" s="18">
        <v>41792</v>
      </c>
      <c r="B75" s="19">
        <v>102.4469</v>
      </c>
    </row>
    <row r="76" spans="1:2" x14ac:dyDescent="0.3">
      <c r="A76" s="18">
        <v>41793</v>
      </c>
      <c r="B76" s="19">
        <v>102.50409999999999</v>
      </c>
    </row>
    <row r="77" spans="1:2" x14ac:dyDescent="0.3">
      <c r="A77" s="18">
        <v>41794</v>
      </c>
      <c r="B77" s="19">
        <v>102.5715</v>
      </c>
    </row>
    <row r="78" spans="1:2" x14ac:dyDescent="0.3">
      <c r="A78" s="18">
        <v>41795</v>
      </c>
      <c r="B78" s="19">
        <v>102.4196</v>
      </c>
    </row>
    <row r="79" spans="1:2" x14ac:dyDescent="0.3">
      <c r="A79" s="18">
        <v>41796</v>
      </c>
      <c r="B79" s="19">
        <v>102.336</v>
      </c>
    </row>
    <row r="80" spans="1:2" x14ac:dyDescent="0.3">
      <c r="A80" s="18">
        <v>41799</v>
      </c>
      <c r="B80" s="19">
        <v>102.3771</v>
      </c>
    </row>
    <row r="81" spans="1:2" x14ac:dyDescent="0.3">
      <c r="A81" s="18">
        <v>41800</v>
      </c>
      <c r="B81" s="19">
        <v>102.4618</v>
      </c>
    </row>
    <row r="82" spans="1:2" x14ac:dyDescent="0.3">
      <c r="A82" s="18">
        <v>41801</v>
      </c>
      <c r="B82" s="19">
        <v>102.3843</v>
      </c>
    </row>
    <row r="83" spans="1:2" x14ac:dyDescent="0.3">
      <c r="A83" s="18">
        <v>41802</v>
      </c>
      <c r="B83" s="19">
        <v>102.2183</v>
      </c>
    </row>
    <row r="84" spans="1:2" x14ac:dyDescent="0.3">
      <c r="A84" s="18">
        <v>41803</v>
      </c>
      <c r="B84" s="19">
        <v>102.31959999999999</v>
      </c>
    </row>
    <row r="85" spans="1:2" x14ac:dyDescent="0.3">
      <c r="A85" s="18">
        <v>41806</v>
      </c>
      <c r="B85" s="19">
        <v>102.297</v>
      </c>
    </row>
    <row r="86" spans="1:2" x14ac:dyDescent="0.3">
      <c r="A86" s="18">
        <v>41807</v>
      </c>
      <c r="B86" s="19">
        <v>102.5265</v>
      </c>
    </row>
    <row r="87" spans="1:2" x14ac:dyDescent="0.3">
      <c r="A87" s="18">
        <v>41808</v>
      </c>
      <c r="B87" s="19">
        <v>102.495</v>
      </c>
    </row>
    <row r="88" spans="1:2" x14ac:dyDescent="0.3">
      <c r="A88" s="18">
        <v>41809</v>
      </c>
      <c r="B88" s="19">
        <v>102.18940000000001</v>
      </c>
    </row>
    <row r="89" spans="1:2" x14ac:dyDescent="0.3">
      <c r="A89" s="18">
        <v>41810</v>
      </c>
      <c r="B89" s="19">
        <v>102.20350000000001</v>
      </c>
    </row>
    <row r="90" spans="1:2" x14ac:dyDescent="0.3">
      <c r="A90" s="18">
        <v>41813</v>
      </c>
      <c r="B90" s="19">
        <v>102.06610000000001</v>
      </c>
    </row>
    <row r="91" spans="1:2" x14ac:dyDescent="0.3">
      <c r="A91" s="18">
        <v>41814</v>
      </c>
      <c r="B91" s="19">
        <v>102.13979999999999</v>
      </c>
    </row>
    <row r="92" spans="1:2" x14ac:dyDescent="0.3">
      <c r="A92" s="18">
        <v>41815</v>
      </c>
      <c r="B92" s="19">
        <v>102.02979999999999</v>
      </c>
    </row>
    <row r="93" spans="1:2" x14ac:dyDescent="0.3">
      <c r="A93" s="18">
        <v>41816</v>
      </c>
      <c r="B93" s="19">
        <v>101.9789</v>
      </c>
    </row>
    <row r="94" spans="1:2" x14ac:dyDescent="0.3">
      <c r="A94" s="18">
        <v>41817</v>
      </c>
      <c r="B94" s="19">
        <v>101.8206</v>
      </c>
    </row>
    <row r="95" spans="1:2" x14ac:dyDescent="0.3">
      <c r="A95" s="18">
        <v>41820</v>
      </c>
      <c r="B95" s="19">
        <v>101.6172</v>
      </c>
    </row>
    <row r="96" spans="1:2" x14ac:dyDescent="0.3">
      <c r="A96" s="18">
        <v>41821</v>
      </c>
      <c r="B96" s="19">
        <v>101.5561</v>
      </c>
    </row>
    <row r="97" spans="1:2" x14ac:dyDescent="0.3">
      <c r="A97" s="18">
        <v>41822</v>
      </c>
      <c r="B97" s="19">
        <v>101.68</v>
      </c>
    </row>
    <row r="98" spans="1:2" x14ac:dyDescent="0.3">
      <c r="A98" s="18">
        <v>41823</v>
      </c>
      <c r="B98" s="19">
        <v>101.748</v>
      </c>
    </row>
    <row r="99" spans="1:2" x14ac:dyDescent="0.3">
      <c r="A99" s="18">
        <v>41827</v>
      </c>
      <c r="B99" s="19">
        <v>101.8005</v>
      </c>
    </row>
    <row r="100" spans="1:2" x14ac:dyDescent="0.3">
      <c r="A100" s="18">
        <v>41828</v>
      </c>
      <c r="B100" s="19">
        <v>101.7315</v>
      </c>
    </row>
    <row r="101" spans="1:2" x14ac:dyDescent="0.3">
      <c r="A101" s="18">
        <v>41829</v>
      </c>
      <c r="B101" s="19">
        <v>101.629</v>
      </c>
    </row>
    <row r="102" spans="1:2" x14ac:dyDescent="0.3">
      <c r="A102" s="18">
        <v>41830</v>
      </c>
      <c r="B102" s="19">
        <v>101.71810000000001</v>
      </c>
    </row>
    <row r="103" spans="1:2" x14ac:dyDescent="0.3">
      <c r="A103" s="18">
        <v>41831</v>
      </c>
      <c r="B103" s="19">
        <v>101.824</v>
      </c>
    </row>
    <row r="104" spans="1:2" x14ac:dyDescent="0.3">
      <c r="A104" s="18">
        <v>41834</v>
      </c>
      <c r="B104" s="19">
        <v>101.8228</v>
      </c>
    </row>
    <row r="105" spans="1:2" x14ac:dyDescent="0.3">
      <c r="A105" s="18">
        <v>41835</v>
      </c>
      <c r="B105" s="19">
        <v>102.0063</v>
      </c>
    </row>
    <row r="106" spans="1:2" x14ac:dyDescent="0.3">
      <c r="A106" s="18">
        <v>41836</v>
      </c>
      <c r="B106" s="19">
        <v>102.0249</v>
      </c>
    </row>
    <row r="107" spans="1:2" x14ac:dyDescent="0.3">
      <c r="A107" s="18">
        <v>41837</v>
      </c>
      <c r="B107" s="19">
        <v>102.0941</v>
      </c>
    </row>
    <row r="108" spans="1:2" x14ac:dyDescent="0.3">
      <c r="A108" s="18">
        <v>41838</v>
      </c>
      <c r="B108" s="19">
        <v>102.0989</v>
      </c>
    </row>
    <row r="109" spans="1:2" x14ac:dyDescent="0.3">
      <c r="A109" s="18">
        <v>41841</v>
      </c>
      <c r="B109" s="19">
        <v>102.0393</v>
      </c>
    </row>
    <row r="110" spans="1:2" x14ac:dyDescent="0.3">
      <c r="A110" s="18">
        <v>41842</v>
      </c>
      <c r="B110" s="19">
        <v>102.04640000000001</v>
      </c>
    </row>
    <row r="111" spans="1:2" x14ac:dyDescent="0.3">
      <c r="A111" s="18">
        <v>41843</v>
      </c>
      <c r="B111" s="19">
        <v>101.9971</v>
      </c>
    </row>
    <row r="112" spans="1:2" x14ac:dyDescent="0.3">
      <c r="A112" s="18">
        <v>41844</v>
      </c>
      <c r="B112" s="19">
        <v>102.0873</v>
      </c>
    </row>
    <row r="113" spans="1:2" x14ac:dyDescent="0.3">
      <c r="A113" s="18">
        <v>41845</v>
      </c>
      <c r="B113" s="19">
        <v>102.2204</v>
      </c>
    </row>
    <row r="114" spans="1:2" x14ac:dyDescent="0.3">
      <c r="A114" s="18">
        <v>41848</v>
      </c>
      <c r="B114" s="19">
        <v>102.2276</v>
      </c>
    </row>
    <row r="115" spans="1:2" x14ac:dyDescent="0.3">
      <c r="A115" s="18">
        <v>41849</v>
      </c>
      <c r="B115" s="19">
        <v>102.4268</v>
      </c>
    </row>
    <row r="116" spans="1:2" x14ac:dyDescent="0.3">
      <c r="A116" s="18">
        <v>41850</v>
      </c>
      <c r="B116" s="19">
        <v>102.7184</v>
      </c>
    </row>
    <row r="117" spans="1:2" x14ac:dyDescent="0.3">
      <c r="A117" s="18">
        <v>41851</v>
      </c>
      <c r="B117" s="19">
        <v>102.833</v>
      </c>
    </row>
    <row r="118" spans="1:2" x14ac:dyDescent="0.3">
      <c r="A118" s="18">
        <v>41852</v>
      </c>
      <c r="B118" s="19">
        <v>102.87430000000001</v>
      </c>
    </row>
    <row r="119" spans="1:2" x14ac:dyDescent="0.3">
      <c r="A119" s="18">
        <v>41855</v>
      </c>
      <c r="B119" s="19">
        <v>102.8425</v>
      </c>
    </row>
    <row r="120" spans="1:2" x14ac:dyDescent="0.3">
      <c r="A120" s="18">
        <v>41856</v>
      </c>
      <c r="B120" s="19">
        <v>103.0578</v>
      </c>
    </row>
    <row r="121" spans="1:2" x14ac:dyDescent="0.3">
      <c r="A121" s="18">
        <v>41857</v>
      </c>
      <c r="B121" s="19">
        <v>102.994</v>
      </c>
    </row>
    <row r="122" spans="1:2" x14ac:dyDescent="0.3">
      <c r="A122" s="18">
        <v>41858</v>
      </c>
      <c r="B122" s="19">
        <v>103.02809999999999</v>
      </c>
    </row>
    <row r="123" spans="1:2" x14ac:dyDescent="0.3">
      <c r="A123" s="18">
        <v>41859</v>
      </c>
      <c r="B123" s="19">
        <v>102.9669</v>
      </c>
    </row>
    <row r="124" spans="1:2" x14ac:dyDescent="0.3">
      <c r="A124" s="18">
        <v>41862</v>
      </c>
      <c r="B124" s="19">
        <v>102.82859999999999</v>
      </c>
    </row>
    <row r="125" spans="1:2" x14ac:dyDescent="0.3">
      <c r="A125" s="18">
        <v>41863</v>
      </c>
      <c r="B125" s="19">
        <v>102.88209999999999</v>
      </c>
    </row>
    <row r="126" spans="1:2" x14ac:dyDescent="0.3">
      <c r="A126" s="18">
        <v>41864</v>
      </c>
      <c r="B126" s="19">
        <v>102.8112</v>
      </c>
    </row>
    <row r="127" spans="1:2" x14ac:dyDescent="0.3">
      <c r="A127" s="18">
        <v>41865</v>
      </c>
      <c r="B127" s="19">
        <v>102.6968</v>
      </c>
    </row>
    <row r="128" spans="1:2" x14ac:dyDescent="0.3">
      <c r="A128" s="18">
        <v>41866</v>
      </c>
      <c r="B128" s="19">
        <v>102.621</v>
      </c>
    </row>
    <row r="129" spans="1:2" x14ac:dyDescent="0.3">
      <c r="A129" s="18">
        <v>41869</v>
      </c>
      <c r="B129" s="19">
        <v>102.5741</v>
      </c>
    </row>
    <row r="130" spans="1:2" x14ac:dyDescent="0.3">
      <c r="A130" s="18">
        <v>41870</v>
      </c>
      <c r="B130" s="19">
        <v>102.7503</v>
      </c>
    </row>
    <row r="131" spans="1:2" x14ac:dyDescent="0.3">
      <c r="A131" s="18">
        <v>41871</v>
      </c>
      <c r="B131" s="19">
        <v>102.919</v>
      </c>
    </row>
    <row r="132" spans="1:2" x14ac:dyDescent="0.3">
      <c r="A132" s="18">
        <v>41872</v>
      </c>
      <c r="B132" s="19">
        <v>103.0052</v>
      </c>
    </row>
    <row r="133" spans="1:2" x14ac:dyDescent="0.3">
      <c r="A133" s="18">
        <v>41873</v>
      </c>
      <c r="B133" s="19">
        <v>103.12690000000001</v>
      </c>
    </row>
    <row r="134" spans="1:2" x14ac:dyDescent="0.3">
      <c r="A134" s="18">
        <v>41876</v>
      </c>
      <c r="B134" s="19">
        <v>103.2458</v>
      </c>
    </row>
    <row r="135" spans="1:2" x14ac:dyDescent="0.3">
      <c r="A135" s="18">
        <v>41877</v>
      </c>
      <c r="B135" s="19">
        <v>103.1897</v>
      </c>
    </row>
    <row r="136" spans="1:2" x14ac:dyDescent="0.3">
      <c r="A136" s="18">
        <v>41878</v>
      </c>
      <c r="B136" s="19">
        <v>103.0064</v>
      </c>
    </row>
    <row r="137" spans="1:2" x14ac:dyDescent="0.3">
      <c r="A137" s="18">
        <v>41879</v>
      </c>
      <c r="B137" s="19">
        <v>103.03489999999999</v>
      </c>
    </row>
    <row r="138" spans="1:2" x14ac:dyDescent="0.3">
      <c r="A138" s="18">
        <v>41880</v>
      </c>
      <c r="B138" s="19">
        <v>103.0684</v>
      </c>
    </row>
    <row r="139" spans="1:2" x14ac:dyDescent="0.3">
      <c r="A139" s="18">
        <v>41884</v>
      </c>
      <c r="B139" s="19">
        <v>103.42270000000001</v>
      </c>
    </row>
    <row r="140" spans="1:2" x14ac:dyDescent="0.3">
      <c r="A140" s="18">
        <v>41885</v>
      </c>
      <c r="B140" s="19">
        <v>103.2116</v>
      </c>
    </row>
    <row r="141" spans="1:2" x14ac:dyDescent="0.3">
      <c r="A141" s="18">
        <v>41886</v>
      </c>
      <c r="B141" s="19">
        <v>103.6003</v>
      </c>
    </row>
    <row r="142" spans="1:2" x14ac:dyDescent="0.3">
      <c r="A142" s="18">
        <v>41887</v>
      </c>
      <c r="B142" s="19">
        <v>103.5531</v>
      </c>
    </row>
    <row r="143" spans="1:2" x14ac:dyDescent="0.3">
      <c r="A143" s="18">
        <v>41890</v>
      </c>
      <c r="B143" s="19">
        <v>103.7259</v>
      </c>
    </row>
    <row r="144" spans="1:2" x14ac:dyDescent="0.3">
      <c r="A144" s="18">
        <v>41891</v>
      </c>
      <c r="B144" s="19">
        <v>104.1884</v>
      </c>
    </row>
    <row r="145" spans="1:2" x14ac:dyDescent="0.3">
      <c r="A145" s="18">
        <v>41892</v>
      </c>
      <c r="B145" s="19">
        <v>104.17919999999999</v>
      </c>
    </row>
    <row r="146" spans="1:2" x14ac:dyDescent="0.3">
      <c r="A146" s="18">
        <v>41893</v>
      </c>
      <c r="B146" s="19">
        <v>104.2405</v>
      </c>
    </row>
    <row r="147" spans="1:2" x14ac:dyDescent="0.3">
      <c r="A147" s="18">
        <v>41894</v>
      </c>
      <c r="B147" s="19">
        <v>104.4033</v>
      </c>
    </row>
    <row r="148" spans="1:2" x14ac:dyDescent="0.3">
      <c r="A148" s="18">
        <v>41897</v>
      </c>
      <c r="B148" s="19">
        <v>104.48260000000001</v>
      </c>
    </row>
    <row r="149" spans="1:2" x14ac:dyDescent="0.3">
      <c r="A149" s="18">
        <v>41898</v>
      </c>
      <c r="B149" s="19">
        <v>104.2234</v>
      </c>
    </row>
    <row r="150" spans="1:2" x14ac:dyDescent="0.3">
      <c r="A150" s="18">
        <v>41899</v>
      </c>
      <c r="B150" s="19">
        <v>104.2869</v>
      </c>
    </row>
    <row r="151" spans="1:2" x14ac:dyDescent="0.3">
      <c r="A151" s="18">
        <v>41900</v>
      </c>
      <c r="B151" s="19">
        <v>104.5271</v>
      </c>
    </row>
    <row r="152" spans="1:2" x14ac:dyDescent="0.3">
      <c r="A152" s="18">
        <v>41901</v>
      </c>
      <c r="B152" s="19">
        <v>104.7282</v>
      </c>
    </row>
    <row r="153" spans="1:2" x14ac:dyDescent="0.3">
      <c r="A153" s="18">
        <v>41904</v>
      </c>
      <c r="B153" s="19">
        <v>104.85299999999999</v>
      </c>
    </row>
    <row r="154" spans="1:2" x14ac:dyDescent="0.3">
      <c r="A154" s="18">
        <v>41905</v>
      </c>
      <c r="B154" s="19">
        <v>104.8877</v>
      </c>
    </row>
    <row r="155" spans="1:2" x14ac:dyDescent="0.3">
      <c r="A155" s="18">
        <v>41906</v>
      </c>
      <c r="B155" s="19">
        <v>105.0177</v>
      </c>
    </row>
    <row r="156" spans="1:2" x14ac:dyDescent="0.3">
      <c r="A156" s="18">
        <v>41907</v>
      </c>
      <c r="B156" s="19">
        <v>105.2662</v>
      </c>
    </row>
    <row r="157" spans="1:2" x14ac:dyDescent="0.3">
      <c r="A157" s="18">
        <v>41908</v>
      </c>
      <c r="B157" s="19">
        <v>105.5741</v>
      </c>
    </row>
    <row r="158" spans="1:2" x14ac:dyDescent="0.3">
      <c r="A158" s="18">
        <v>41911</v>
      </c>
      <c r="B158" s="19">
        <v>105.7702</v>
      </c>
    </row>
    <row r="159" spans="1:2" x14ac:dyDescent="0.3">
      <c r="A159" s="18">
        <v>41912</v>
      </c>
      <c r="B159" s="19">
        <v>105.9187</v>
      </c>
    </row>
    <row r="160" spans="1:2" x14ac:dyDescent="0.3">
      <c r="A160" s="18">
        <v>41913</v>
      </c>
      <c r="B160" s="19">
        <v>105.938</v>
      </c>
    </row>
    <row r="161" spans="1:2" x14ac:dyDescent="0.3">
      <c r="A161" s="18">
        <v>41914</v>
      </c>
      <c r="B161" s="19">
        <v>105.6909</v>
      </c>
    </row>
    <row r="162" spans="1:2" x14ac:dyDescent="0.3">
      <c r="A162" s="18">
        <v>41915</v>
      </c>
      <c r="B162" s="19">
        <v>106.3541</v>
      </c>
    </row>
    <row r="163" spans="1:2" x14ac:dyDescent="0.3">
      <c r="A163" s="18">
        <v>41918</v>
      </c>
      <c r="B163" s="19">
        <v>105.9432</v>
      </c>
    </row>
    <row r="164" spans="1:2" x14ac:dyDescent="0.3">
      <c r="A164" s="18">
        <v>41919</v>
      </c>
      <c r="B164" s="19">
        <v>105.8436</v>
      </c>
    </row>
    <row r="165" spans="1:2" x14ac:dyDescent="0.3">
      <c r="A165" s="18">
        <v>41920</v>
      </c>
      <c r="B165" s="19">
        <v>105.9041</v>
      </c>
    </row>
    <row r="166" spans="1:2" x14ac:dyDescent="0.3">
      <c r="A166" s="18">
        <v>41921</v>
      </c>
      <c r="B166" s="19">
        <v>105.5605</v>
      </c>
    </row>
    <row r="167" spans="1:2" x14ac:dyDescent="0.3">
      <c r="A167" s="18">
        <v>41922</v>
      </c>
      <c r="B167" s="19">
        <v>105.8078</v>
      </c>
    </row>
    <row r="168" spans="1:2" x14ac:dyDescent="0.3">
      <c r="A168" s="18">
        <v>41926</v>
      </c>
      <c r="B168" s="19">
        <v>105.7662</v>
      </c>
    </row>
    <row r="169" spans="1:2" x14ac:dyDescent="0.3">
      <c r="A169" s="18">
        <v>41927</v>
      </c>
      <c r="B169" s="19">
        <v>105.7127</v>
      </c>
    </row>
    <row r="170" spans="1:2" x14ac:dyDescent="0.3">
      <c r="A170" s="18">
        <v>41928</v>
      </c>
      <c r="B170" s="19">
        <v>105.65989999999999</v>
      </c>
    </row>
    <row r="171" spans="1:2" x14ac:dyDescent="0.3">
      <c r="A171" s="18">
        <v>41929</v>
      </c>
      <c r="B171" s="19">
        <v>105.6812</v>
      </c>
    </row>
    <row r="172" spans="1:2" x14ac:dyDescent="0.3">
      <c r="A172" s="18">
        <v>41932</v>
      </c>
      <c r="B172" s="19">
        <v>105.658</v>
      </c>
    </row>
    <row r="173" spans="1:2" x14ac:dyDescent="0.3">
      <c r="A173" s="18">
        <v>41933</v>
      </c>
      <c r="B173" s="19">
        <v>105.6143</v>
      </c>
    </row>
    <row r="174" spans="1:2" x14ac:dyDescent="0.3">
      <c r="A174" s="18">
        <v>41934</v>
      </c>
      <c r="B174" s="19">
        <v>105.8265</v>
      </c>
    </row>
    <row r="175" spans="1:2" x14ac:dyDescent="0.3">
      <c r="A175" s="18">
        <v>41935</v>
      </c>
      <c r="B175" s="19">
        <v>105.9812</v>
      </c>
    </row>
    <row r="176" spans="1:2" x14ac:dyDescent="0.3">
      <c r="A176" s="18">
        <v>41936</v>
      </c>
      <c r="B176" s="19">
        <v>105.86409999999999</v>
      </c>
    </row>
    <row r="177" spans="1:2" x14ac:dyDescent="0.3">
      <c r="A177" s="18">
        <v>41939</v>
      </c>
      <c r="B177" s="19">
        <v>105.9288</v>
      </c>
    </row>
    <row r="178" spans="1:2" x14ac:dyDescent="0.3">
      <c r="A178" s="18">
        <v>41940</v>
      </c>
      <c r="B178" s="19">
        <v>105.6156</v>
      </c>
    </row>
    <row r="179" spans="1:2" x14ac:dyDescent="0.3">
      <c r="A179" s="18">
        <v>41941</v>
      </c>
      <c r="B179" s="19">
        <v>105.4152</v>
      </c>
    </row>
    <row r="180" spans="1:2" x14ac:dyDescent="0.3">
      <c r="A180" s="18">
        <v>41942</v>
      </c>
      <c r="B180" s="19">
        <v>105.8359</v>
      </c>
    </row>
    <row r="181" spans="1:2" x14ac:dyDescent="0.3">
      <c r="A181" s="18">
        <v>41943</v>
      </c>
      <c r="B181" s="19">
        <v>106.5307</v>
      </c>
    </row>
    <row r="182" spans="1:2" x14ac:dyDescent="0.3">
      <c r="A182" s="18">
        <v>41946</v>
      </c>
      <c r="B182" s="19">
        <v>106.96899999999999</v>
      </c>
    </row>
    <row r="183" spans="1:2" x14ac:dyDescent="0.3">
      <c r="A183" s="18">
        <v>41947</v>
      </c>
      <c r="B183" s="19">
        <v>106.9872</v>
      </c>
    </row>
    <row r="184" spans="1:2" x14ac:dyDescent="0.3">
      <c r="A184" s="18">
        <v>41948</v>
      </c>
      <c r="B184" s="19">
        <v>107.27549999999999</v>
      </c>
    </row>
    <row r="185" spans="1:2" x14ac:dyDescent="0.3">
      <c r="A185" s="18">
        <v>41949</v>
      </c>
      <c r="B185" s="19">
        <v>107.60169999999999</v>
      </c>
    </row>
    <row r="186" spans="1:2" x14ac:dyDescent="0.3">
      <c r="A186" s="18">
        <v>41950</v>
      </c>
      <c r="B186" s="19">
        <v>107.51430000000001</v>
      </c>
    </row>
    <row r="187" spans="1:2" x14ac:dyDescent="0.3">
      <c r="A187" s="18">
        <v>41953</v>
      </c>
      <c r="B187" s="19">
        <v>107.40349999999999</v>
      </c>
    </row>
    <row r="188" spans="1:2" x14ac:dyDescent="0.3">
      <c r="A188" s="18">
        <v>41955</v>
      </c>
      <c r="B188" s="19">
        <v>107.3853</v>
      </c>
    </row>
    <row r="189" spans="1:2" x14ac:dyDescent="0.3">
      <c r="A189" s="18">
        <v>41956</v>
      </c>
      <c r="B189" s="19">
        <v>107.5954</v>
      </c>
    </row>
    <row r="190" spans="1:2" x14ac:dyDescent="0.3">
      <c r="A190" s="18">
        <v>41957</v>
      </c>
      <c r="B190" s="19">
        <v>107.6151</v>
      </c>
    </row>
    <row r="191" spans="1:2" x14ac:dyDescent="0.3">
      <c r="A191" s="18">
        <v>41960</v>
      </c>
      <c r="B191" s="19">
        <v>107.7255</v>
      </c>
    </row>
    <row r="192" spans="1:2" x14ac:dyDescent="0.3">
      <c r="A192" s="18">
        <v>41961</v>
      </c>
      <c r="B192" s="19">
        <v>107.5125</v>
      </c>
    </row>
    <row r="193" spans="1:2" x14ac:dyDescent="0.3">
      <c r="A193" s="18">
        <v>41962</v>
      </c>
      <c r="B193" s="19">
        <v>107.75190000000001</v>
      </c>
    </row>
    <row r="194" spans="1:2" x14ac:dyDescent="0.3">
      <c r="A194" s="18">
        <v>41963</v>
      </c>
      <c r="B194" s="19">
        <v>107.7698</v>
      </c>
    </row>
    <row r="195" spans="1:2" x14ac:dyDescent="0.3">
      <c r="A195" s="18">
        <v>41964</v>
      </c>
      <c r="B195" s="19">
        <v>107.8031</v>
      </c>
    </row>
    <row r="196" spans="1:2" x14ac:dyDescent="0.3">
      <c r="A196" s="18">
        <v>41967</v>
      </c>
      <c r="B196" s="19">
        <v>107.9431</v>
      </c>
    </row>
    <row r="197" spans="1:2" x14ac:dyDescent="0.3">
      <c r="A197" s="18">
        <v>41968</v>
      </c>
      <c r="B197" s="19">
        <v>107.81359999999999</v>
      </c>
    </row>
    <row r="198" spans="1:2" x14ac:dyDescent="0.3">
      <c r="A198" s="18">
        <v>41969</v>
      </c>
      <c r="B198" s="19">
        <v>107.7466</v>
      </c>
    </row>
    <row r="199" spans="1:2" x14ac:dyDescent="0.3">
      <c r="A199" s="18">
        <v>41971</v>
      </c>
      <c r="B199" s="19">
        <v>108.6566</v>
      </c>
    </row>
    <row r="200" spans="1:2" x14ac:dyDescent="0.3">
      <c r="A200" s="18">
        <v>41974</v>
      </c>
      <c r="B200" s="19">
        <v>108.554</v>
      </c>
    </row>
    <row r="201" spans="1:2" x14ac:dyDescent="0.3">
      <c r="A201" s="18">
        <v>41975</v>
      </c>
      <c r="B201" s="19">
        <v>109.1314</v>
      </c>
    </row>
    <row r="202" spans="1:2" x14ac:dyDescent="0.3">
      <c r="A202" s="18">
        <v>41976</v>
      </c>
      <c r="B202" s="19">
        <v>109.2572</v>
      </c>
    </row>
    <row r="203" spans="1:2" x14ac:dyDescent="0.3">
      <c r="A203" s="18">
        <v>41977</v>
      </c>
      <c r="B203" s="19">
        <v>109.1007</v>
      </c>
    </row>
    <row r="204" spans="1:2" x14ac:dyDescent="0.3">
      <c r="A204" s="18">
        <v>41978</v>
      </c>
      <c r="B204" s="19">
        <v>109.78279999999999</v>
      </c>
    </row>
    <row r="205" spans="1:2" x14ac:dyDescent="0.3">
      <c r="A205" s="18">
        <v>41981</v>
      </c>
      <c r="B205" s="19">
        <v>110.0316</v>
      </c>
    </row>
    <row r="206" spans="1:2" x14ac:dyDescent="0.3">
      <c r="A206" s="18">
        <v>41982</v>
      </c>
      <c r="B206" s="19">
        <v>109.55070000000001</v>
      </c>
    </row>
    <row r="207" spans="1:2" x14ac:dyDescent="0.3">
      <c r="A207" s="18">
        <v>41983</v>
      </c>
      <c r="B207" s="19">
        <v>109.7534</v>
      </c>
    </row>
    <row r="208" spans="1:2" x14ac:dyDescent="0.3">
      <c r="A208" s="18">
        <v>41984</v>
      </c>
      <c r="B208" s="19">
        <v>110.20399999999999</v>
      </c>
    </row>
    <row r="209" spans="1:2" x14ac:dyDescent="0.3">
      <c r="A209" s="18">
        <v>41985</v>
      </c>
      <c r="B209" s="19">
        <v>110.17149999999999</v>
      </c>
    </row>
    <row r="210" spans="1:2" x14ac:dyDescent="0.3">
      <c r="A210" s="18">
        <v>41988</v>
      </c>
      <c r="B210" s="19">
        <v>110.5371</v>
      </c>
    </row>
    <row r="211" spans="1:2" x14ac:dyDescent="0.3">
      <c r="A211" s="18">
        <v>41989</v>
      </c>
      <c r="B211" s="19">
        <v>110.4169</v>
      </c>
    </row>
    <row r="212" spans="1:2" x14ac:dyDescent="0.3">
      <c r="A212" s="18">
        <v>41990</v>
      </c>
      <c r="B212" s="19">
        <v>110.373</v>
      </c>
    </row>
    <row r="213" spans="1:2" x14ac:dyDescent="0.3">
      <c r="A213" s="18">
        <v>41991</v>
      </c>
      <c r="B213" s="19">
        <v>110.6071</v>
      </c>
    </row>
    <row r="214" spans="1:2" x14ac:dyDescent="0.3">
      <c r="A214" s="18">
        <v>41992</v>
      </c>
      <c r="B214" s="19">
        <v>110.8753</v>
      </c>
    </row>
    <row r="215" spans="1:2" x14ac:dyDescent="0.3">
      <c r="A215" s="18">
        <v>41995</v>
      </c>
      <c r="B215" s="19">
        <v>110.77030000000001</v>
      </c>
    </row>
    <row r="216" spans="1:2" x14ac:dyDescent="0.3">
      <c r="A216" s="18">
        <v>41996</v>
      </c>
      <c r="B216" s="19">
        <v>111.1174</v>
      </c>
    </row>
    <row r="217" spans="1:2" x14ac:dyDescent="0.3">
      <c r="A217" s="18">
        <v>41997</v>
      </c>
      <c r="B217" s="19">
        <v>111.0504</v>
      </c>
    </row>
    <row r="218" spans="1:2" x14ac:dyDescent="0.3">
      <c r="A218" s="18">
        <v>42002</v>
      </c>
      <c r="B218" s="19">
        <v>111.1902</v>
      </c>
    </row>
    <row r="219" spans="1:2" x14ac:dyDescent="0.3">
      <c r="A219" s="18">
        <v>42003</v>
      </c>
      <c r="B219" s="19">
        <v>110.8644</v>
      </c>
    </row>
    <row r="220" spans="1:2" x14ac:dyDescent="0.3">
      <c r="A220" s="18">
        <v>42004</v>
      </c>
      <c r="B220" s="19">
        <v>111.07380000000001</v>
      </c>
    </row>
    <row r="221" spans="1:2" x14ac:dyDescent="0.3">
      <c r="A221" s="18">
        <v>42006</v>
      </c>
      <c r="B221" s="19">
        <v>111.68519999999999</v>
      </c>
    </row>
    <row r="222" spans="1:2" x14ac:dyDescent="0.3">
      <c r="A222" s="18">
        <v>42009</v>
      </c>
      <c r="B222" s="19">
        <v>112.3254</v>
      </c>
    </row>
    <row r="223" spans="1:2" x14ac:dyDescent="0.3">
      <c r="A223" s="18">
        <v>42010</v>
      </c>
      <c r="B223" s="19">
        <v>112.1016</v>
      </c>
    </row>
    <row r="224" spans="1:2" x14ac:dyDescent="0.3">
      <c r="A224" s="18">
        <v>42011</v>
      </c>
      <c r="B224" s="19">
        <v>112.4336</v>
      </c>
    </row>
    <row r="225" spans="1:2" x14ac:dyDescent="0.3">
      <c r="A225" s="18">
        <v>42012</v>
      </c>
      <c r="B225" s="19">
        <v>112.0596</v>
      </c>
    </row>
    <row r="226" spans="1:2" x14ac:dyDescent="0.3">
      <c r="A226" s="18">
        <v>42013</v>
      </c>
      <c r="B226" s="19">
        <v>111.90519999999999</v>
      </c>
    </row>
    <row r="227" spans="1:2" x14ac:dyDescent="0.3">
      <c r="A227" s="18">
        <v>42016</v>
      </c>
      <c r="B227" s="19">
        <v>112.01819999999999</v>
      </c>
    </row>
    <row r="228" spans="1:2" x14ac:dyDescent="0.3">
      <c r="A228" s="18">
        <v>42017</v>
      </c>
      <c r="B228" s="19">
        <v>112.0622</v>
      </c>
    </row>
    <row r="229" spans="1:2" x14ac:dyDescent="0.3">
      <c r="A229" s="18">
        <v>42018</v>
      </c>
      <c r="B229" s="19">
        <v>111.87730000000001</v>
      </c>
    </row>
    <row r="230" spans="1:2" x14ac:dyDescent="0.3">
      <c r="A230" s="18">
        <v>42019</v>
      </c>
      <c r="B230" s="19">
        <v>111.89109999999999</v>
      </c>
    </row>
    <row r="231" spans="1:2" x14ac:dyDescent="0.3">
      <c r="A231" s="18">
        <v>42020</v>
      </c>
      <c r="B231" s="19">
        <v>112.0592</v>
      </c>
    </row>
    <row r="232" spans="1:2" x14ac:dyDescent="0.3">
      <c r="A232" s="18">
        <v>42024</v>
      </c>
      <c r="B232" s="19">
        <v>112.3884</v>
      </c>
    </row>
    <row r="233" spans="1:2" x14ac:dyDescent="0.3">
      <c r="A233" s="18">
        <v>42025</v>
      </c>
      <c r="B233" s="19">
        <v>112.60509999999999</v>
      </c>
    </row>
    <row r="234" spans="1:2" x14ac:dyDescent="0.3">
      <c r="A234" s="18">
        <v>42026</v>
      </c>
      <c r="B234" s="19">
        <v>112.7187</v>
      </c>
    </row>
    <row r="235" spans="1:2" x14ac:dyDescent="0.3">
      <c r="A235" s="18">
        <v>42027</v>
      </c>
      <c r="B235" s="19">
        <v>113.15989999999999</v>
      </c>
    </row>
    <row r="236" spans="1:2" x14ac:dyDescent="0.3">
      <c r="A236" s="18">
        <v>42030</v>
      </c>
      <c r="B236" s="19">
        <v>113.3625</v>
      </c>
    </row>
    <row r="237" spans="1:2" x14ac:dyDescent="0.3">
      <c r="A237" s="18">
        <v>42031</v>
      </c>
      <c r="B237" s="19">
        <v>113.0168</v>
      </c>
    </row>
    <row r="238" spans="1:2" x14ac:dyDescent="0.3">
      <c r="A238" s="18">
        <v>42032</v>
      </c>
      <c r="B238" s="19">
        <v>113.3484</v>
      </c>
    </row>
    <row r="239" spans="1:2" x14ac:dyDescent="0.3">
      <c r="A239" s="18">
        <v>42033</v>
      </c>
      <c r="B239" s="19">
        <v>114.1467</v>
      </c>
    </row>
    <row r="240" spans="1:2" x14ac:dyDescent="0.3">
      <c r="A240" s="18">
        <v>42034</v>
      </c>
      <c r="B240" s="19">
        <v>114.46980000000001</v>
      </c>
    </row>
    <row r="241" spans="1:2" x14ac:dyDescent="0.3">
      <c r="A241" s="18">
        <v>42037</v>
      </c>
      <c r="B241" s="19">
        <v>114.0885</v>
      </c>
    </row>
    <row r="242" spans="1:2" x14ac:dyDescent="0.3">
      <c r="A242" s="18">
        <v>42038</v>
      </c>
      <c r="B242" s="19">
        <v>113.46559999999999</v>
      </c>
    </row>
    <row r="243" spans="1:2" x14ac:dyDescent="0.3">
      <c r="A243" s="18">
        <v>42039</v>
      </c>
      <c r="B243" s="19">
        <v>113.6375</v>
      </c>
    </row>
    <row r="244" spans="1:2" x14ac:dyDescent="0.3">
      <c r="A244" s="18">
        <v>42040</v>
      </c>
      <c r="B244" s="19">
        <v>113.3626</v>
      </c>
    </row>
    <row r="245" spans="1:2" x14ac:dyDescent="0.3">
      <c r="A245" s="18">
        <v>42041</v>
      </c>
      <c r="B245" s="19">
        <v>113.9949</v>
      </c>
    </row>
    <row r="246" spans="1:2" x14ac:dyDescent="0.3">
      <c r="A246" s="18">
        <v>42044</v>
      </c>
      <c r="B246" s="19">
        <v>113.84610000000001</v>
      </c>
    </row>
    <row r="247" spans="1:2" x14ac:dyDescent="0.3">
      <c r="A247" s="18">
        <v>42045</v>
      </c>
      <c r="B247" s="19">
        <v>114.1379</v>
      </c>
    </row>
    <row r="248" spans="1:2" x14ac:dyDescent="0.3">
      <c r="A248" s="18">
        <v>42046</v>
      </c>
      <c r="B248" s="19">
        <v>114.6429</v>
      </c>
    </row>
    <row r="249" spans="1:2" x14ac:dyDescent="0.3">
      <c r="A249" s="18">
        <v>42047</v>
      </c>
      <c r="B249" s="19">
        <v>113.8116</v>
      </c>
    </row>
    <row r="250" spans="1:2" x14ac:dyDescent="0.3">
      <c r="A250" s="18">
        <v>42048</v>
      </c>
      <c r="B250" s="19">
        <v>113.6874</v>
      </c>
    </row>
    <row r="251" spans="1:2" x14ac:dyDescent="0.3">
      <c r="A251" s="18">
        <v>42053</v>
      </c>
      <c r="B251" s="19">
        <v>114.1224</v>
      </c>
    </row>
    <row r="252" spans="1:2" x14ac:dyDescent="0.3">
      <c r="A252" s="18">
        <v>42054</v>
      </c>
      <c r="B252" s="19">
        <v>114.0098</v>
      </c>
    </row>
    <row r="253" spans="1:2" x14ac:dyDescent="0.3">
      <c r="A253" s="18">
        <v>42055</v>
      </c>
      <c r="B253" s="19">
        <v>114.2029</v>
      </c>
    </row>
    <row r="254" spans="1:2" x14ac:dyDescent="0.3">
      <c r="A254" s="18">
        <v>42058</v>
      </c>
      <c r="B254" s="19">
        <v>114.4195</v>
      </c>
    </row>
    <row r="255" spans="1:2" x14ac:dyDescent="0.3">
      <c r="A255" s="18">
        <v>42059</v>
      </c>
      <c r="B255" s="19">
        <v>114.4165</v>
      </c>
    </row>
    <row r="256" spans="1:2" x14ac:dyDescent="0.3">
      <c r="A256" s="18">
        <v>42060</v>
      </c>
      <c r="B256" s="19">
        <v>113.9132</v>
      </c>
    </row>
    <row r="257" spans="1:2" x14ac:dyDescent="0.3">
      <c r="A257" s="18">
        <v>42061</v>
      </c>
      <c r="B257" s="19">
        <v>114.3377</v>
      </c>
    </row>
    <row r="258" spans="1:2" x14ac:dyDescent="0.3">
      <c r="A258" s="18">
        <v>42062</v>
      </c>
      <c r="B258" s="19">
        <v>114.46680000000001</v>
      </c>
    </row>
    <row r="259" spans="1:2" x14ac:dyDescent="0.3">
      <c r="A259" s="18">
        <v>42065</v>
      </c>
      <c r="B259" s="19">
        <v>114.68770000000001</v>
      </c>
    </row>
    <row r="260" spans="1:2" x14ac:dyDescent="0.3">
      <c r="A260" s="18">
        <v>42066</v>
      </c>
      <c r="B260" s="19">
        <v>114.4229</v>
      </c>
    </row>
    <row r="261" spans="1:2" x14ac:dyDescent="0.3">
      <c r="A261" s="18">
        <v>42067</v>
      </c>
      <c r="B261" s="19">
        <v>114.98860000000001</v>
      </c>
    </row>
    <row r="262" spans="1:2" x14ac:dyDescent="0.3">
      <c r="A262" s="18">
        <v>42069</v>
      </c>
      <c r="B262" s="19">
        <v>116.2411</v>
      </c>
    </row>
    <row r="263" spans="1:2" x14ac:dyDescent="0.3">
      <c r="A263" s="18">
        <v>42072</v>
      </c>
      <c r="B263" s="19">
        <v>116.3391</v>
      </c>
    </row>
    <row r="264" spans="1:2" x14ac:dyDescent="0.3">
      <c r="A264" s="18">
        <v>42073</v>
      </c>
      <c r="B264" s="19">
        <v>116.96550000000001</v>
      </c>
    </row>
    <row r="265" spans="1:2" x14ac:dyDescent="0.3">
      <c r="A265" s="18">
        <v>42074</v>
      </c>
      <c r="B265" s="19">
        <v>117.3451</v>
      </c>
    </row>
    <row r="266" spans="1:2" x14ac:dyDescent="0.3">
      <c r="A266" s="18">
        <v>42075</v>
      </c>
      <c r="B266" s="19">
        <v>116.9802</v>
      </c>
    </row>
    <row r="267" spans="1:2" x14ac:dyDescent="0.3">
      <c r="A267" s="18">
        <v>42076</v>
      </c>
      <c r="B267" s="19">
        <v>117.7111</v>
      </c>
    </row>
    <row r="268" spans="1:2" x14ac:dyDescent="0.3">
      <c r="A268" s="18">
        <v>42079</v>
      </c>
      <c r="B268" s="19">
        <v>117.4431</v>
      </c>
    </row>
    <row r="269" spans="1:2" x14ac:dyDescent="0.3">
      <c r="A269" s="18">
        <v>42080</v>
      </c>
      <c r="B269" s="19">
        <v>117.3439</v>
      </c>
    </row>
    <row r="270" spans="1:2" x14ac:dyDescent="0.3">
      <c r="A270" s="18">
        <v>42081</v>
      </c>
      <c r="B270" s="19">
        <v>117.1146</v>
      </c>
    </row>
    <row r="271" spans="1:2" x14ac:dyDescent="0.3">
      <c r="A271" s="18">
        <v>42082</v>
      </c>
      <c r="B271" s="19">
        <v>116.843</v>
      </c>
    </row>
    <row r="272" spans="1:2" x14ac:dyDescent="0.3">
      <c r="A272" s="18">
        <v>42083</v>
      </c>
      <c r="B272" s="19">
        <v>115.86660000000001</v>
      </c>
    </row>
    <row r="273" spans="1:2" x14ac:dyDescent="0.3">
      <c r="A273" s="18">
        <v>42086</v>
      </c>
      <c r="B273" s="19">
        <v>115.19889999999999</v>
      </c>
    </row>
    <row r="274" spans="1:2" x14ac:dyDescent="0.3">
      <c r="A274" s="18">
        <v>42087</v>
      </c>
      <c r="B274" s="19">
        <v>115.0968</v>
      </c>
    </row>
    <row r="275" spans="1:2" x14ac:dyDescent="0.3">
      <c r="A275" s="18">
        <v>42088</v>
      </c>
      <c r="B275" s="19">
        <v>114.92959999999999</v>
      </c>
    </row>
    <row r="276" spans="1:2" x14ac:dyDescent="0.3">
      <c r="A276" s="18">
        <v>42089</v>
      </c>
      <c r="B276" s="19">
        <v>115.2175</v>
      </c>
    </row>
    <row r="277" spans="1:2" x14ac:dyDescent="0.3">
      <c r="A277" s="18">
        <v>42090</v>
      </c>
      <c r="B277" s="19">
        <v>115.5594</v>
      </c>
    </row>
    <row r="278" spans="1:2" x14ac:dyDescent="0.3">
      <c r="A278" s="18">
        <v>42093</v>
      </c>
      <c r="B278" s="19">
        <v>116.0341</v>
      </c>
    </row>
    <row r="279" spans="1:2" x14ac:dyDescent="0.3">
      <c r="A279" s="18">
        <v>42094</v>
      </c>
      <c r="B279" s="19">
        <v>116.0825</v>
      </c>
    </row>
    <row r="280" spans="1:2" x14ac:dyDescent="0.3">
      <c r="A280" s="18">
        <v>42095</v>
      </c>
      <c r="B280" s="19">
        <v>115.6828</v>
      </c>
    </row>
    <row r="281" spans="1:2" x14ac:dyDescent="0.3">
      <c r="A281" s="18">
        <v>42096</v>
      </c>
      <c r="B281" s="19">
        <v>115.2715</v>
      </c>
    </row>
    <row r="282" spans="1:2" x14ac:dyDescent="0.3">
      <c r="A282" s="18">
        <v>42097</v>
      </c>
      <c r="B282" s="19">
        <v>114.4885</v>
      </c>
    </row>
    <row r="283" spans="1:2" x14ac:dyDescent="0.3">
      <c r="A283" s="18">
        <v>42100</v>
      </c>
      <c r="B283" s="19">
        <v>114.37269999999999</v>
      </c>
    </row>
    <row r="284" spans="1:2" x14ac:dyDescent="0.3">
      <c r="A284" s="18">
        <v>42101</v>
      </c>
      <c r="B284" s="19">
        <v>115.0368</v>
      </c>
    </row>
    <row r="285" spans="1:2" x14ac:dyDescent="0.3">
      <c r="A285" s="18">
        <v>42102</v>
      </c>
      <c r="B285" s="19">
        <v>115.00879999999999</v>
      </c>
    </row>
    <row r="286" spans="1:2" x14ac:dyDescent="0.3">
      <c r="A286" s="18">
        <v>42103</v>
      </c>
      <c r="B286" s="19">
        <v>115.5788</v>
      </c>
    </row>
    <row r="287" spans="1:2" x14ac:dyDescent="0.3">
      <c r="A287" s="18">
        <v>42104</v>
      </c>
      <c r="B287" s="19">
        <v>116.0151</v>
      </c>
    </row>
    <row r="288" spans="1:2" x14ac:dyDescent="0.3">
      <c r="A288" s="18">
        <v>42107</v>
      </c>
      <c r="B288" s="19">
        <v>116.3194</v>
      </c>
    </row>
    <row r="289" spans="1:2" x14ac:dyDescent="0.3">
      <c r="A289" s="18">
        <v>42108</v>
      </c>
      <c r="B289" s="19">
        <v>115.61360000000001</v>
      </c>
    </row>
    <row r="290" spans="1:2" x14ac:dyDescent="0.3">
      <c r="A290" s="18">
        <v>42109</v>
      </c>
      <c r="B290" s="19">
        <v>115.7308</v>
      </c>
    </row>
    <row r="291" spans="1:2" x14ac:dyDescent="0.3">
      <c r="A291" s="18">
        <v>42110</v>
      </c>
      <c r="B291" s="19">
        <v>114.8323</v>
      </c>
    </row>
    <row r="292" spans="1:2" x14ac:dyDescent="0.3">
      <c r="A292" s="18">
        <v>42111</v>
      </c>
      <c r="B292" s="19">
        <v>114.9072</v>
      </c>
    </row>
    <row r="293" spans="1:2" x14ac:dyDescent="0.3">
      <c r="A293" s="18">
        <v>42114</v>
      </c>
      <c r="B293" s="19">
        <v>115.0912</v>
      </c>
    </row>
    <row r="294" spans="1:2" x14ac:dyDescent="0.3">
      <c r="A294" s="18">
        <v>42115</v>
      </c>
      <c r="B294" s="19">
        <v>115.1648</v>
      </c>
    </row>
    <row r="295" spans="1:2" x14ac:dyDescent="0.3">
      <c r="A295" s="18">
        <v>42116</v>
      </c>
      <c r="B295" s="19">
        <v>115.16540000000001</v>
      </c>
    </row>
    <row r="296" spans="1:2" x14ac:dyDescent="0.3">
      <c r="A296" s="18">
        <v>42117</v>
      </c>
      <c r="B296" s="19">
        <v>114.7529</v>
      </c>
    </row>
    <row r="297" spans="1:2" x14ac:dyDescent="0.3">
      <c r="A297" s="18">
        <v>42118</v>
      </c>
      <c r="B297" s="19">
        <v>114.48180000000001</v>
      </c>
    </row>
    <row r="298" spans="1:2" x14ac:dyDescent="0.3">
      <c r="A298" s="18">
        <v>42121</v>
      </c>
      <c r="B298" s="19">
        <v>114.3227</v>
      </c>
    </row>
    <row r="299" spans="1:2" x14ac:dyDescent="0.3">
      <c r="A299" s="18">
        <v>42122</v>
      </c>
      <c r="B299" s="19">
        <v>113.73860000000001</v>
      </c>
    </row>
    <row r="300" spans="1:2" x14ac:dyDescent="0.3">
      <c r="A300" s="18">
        <v>42123</v>
      </c>
      <c r="B300" s="19">
        <v>113.19750000000001</v>
      </c>
    </row>
    <row r="301" spans="1:2" x14ac:dyDescent="0.3">
      <c r="A301" s="18">
        <v>42124</v>
      </c>
      <c r="B301" s="19">
        <v>113.9418</v>
      </c>
    </row>
    <row r="302" spans="1:2" x14ac:dyDescent="0.3">
      <c r="A302" s="18">
        <v>42125</v>
      </c>
      <c r="B302" s="19">
        <v>114.25660000000001</v>
      </c>
    </row>
    <row r="303" spans="1:2" x14ac:dyDescent="0.3">
      <c r="A303" s="18">
        <v>42128</v>
      </c>
      <c r="B303" s="19">
        <v>114.3032</v>
      </c>
    </row>
    <row r="304" spans="1:2" x14ac:dyDescent="0.3">
      <c r="A304" s="18">
        <v>42129</v>
      </c>
      <c r="B304" s="19">
        <v>113.874</v>
      </c>
    </row>
    <row r="305" spans="1:2" x14ac:dyDescent="0.3">
      <c r="A305" s="18">
        <v>42130</v>
      </c>
      <c r="B305" s="19">
        <v>113.3233</v>
      </c>
    </row>
    <row r="306" spans="1:2" x14ac:dyDescent="0.3">
      <c r="A306" s="18">
        <v>42131</v>
      </c>
      <c r="B306" s="19">
        <v>113.8335</v>
      </c>
    </row>
    <row r="307" spans="1:2" x14ac:dyDescent="0.3">
      <c r="A307" s="18">
        <v>42132</v>
      </c>
      <c r="B307" s="19">
        <v>113.5168</v>
      </c>
    </row>
    <row r="308" spans="1:2" x14ac:dyDescent="0.3">
      <c r="A308" s="18">
        <v>42135</v>
      </c>
      <c r="B308" s="19">
        <v>114.0112</v>
      </c>
    </row>
    <row r="309" spans="1:2" x14ac:dyDescent="0.3">
      <c r="A309" s="18">
        <v>42136</v>
      </c>
      <c r="B309" s="19">
        <v>113.5973</v>
      </c>
    </row>
    <row r="310" spans="1:2" x14ac:dyDescent="0.3">
      <c r="A310" s="18">
        <v>42137</v>
      </c>
      <c r="B310" s="19">
        <v>113.0492</v>
      </c>
    </row>
    <row r="311" spans="1:2" x14ac:dyDescent="0.3">
      <c r="A311" s="18">
        <v>42138</v>
      </c>
      <c r="B311" s="19">
        <v>112.91840000000001</v>
      </c>
    </row>
    <row r="312" spans="1:2" x14ac:dyDescent="0.3">
      <c r="A312" s="18">
        <v>42139</v>
      </c>
      <c r="B312" s="19">
        <v>112.6879</v>
      </c>
    </row>
    <row r="313" spans="1:2" x14ac:dyDescent="0.3">
      <c r="A313" s="18">
        <v>42142</v>
      </c>
      <c r="B313" s="19">
        <v>113.248</v>
      </c>
    </row>
    <row r="314" spans="1:2" x14ac:dyDescent="0.3">
      <c r="A314" s="18">
        <v>42143</v>
      </c>
      <c r="B314" s="19">
        <v>113.9798</v>
      </c>
    </row>
    <row r="315" spans="1:2" x14ac:dyDescent="0.3">
      <c r="A315" s="18">
        <v>42144</v>
      </c>
      <c r="B315" s="19">
        <v>114.20820000000001</v>
      </c>
    </row>
    <row r="316" spans="1:2" x14ac:dyDescent="0.3">
      <c r="A316" s="18">
        <v>42145</v>
      </c>
      <c r="B316" s="19">
        <v>114.02379999999999</v>
      </c>
    </row>
    <row r="317" spans="1:2" x14ac:dyDescent="0.3">
      <c r="A317" s="18">
        <v>42146</v>
      </c>
      <c r="B317" s="19">
        <v>114.4649</v>
      </c>
    </row>
    <row r="318" spans="1:2" x14ac:dyDescent="0.3">
      <c r="A318" s="18">
        <v>42150</v>
      </c>
      <c r="B318" s="19">
        <v>115.36750000000001</v>
      </c>
    </row>
    <row r="319" spans="1:2" x14ac:dyDescent="0.3">
      <c r="A319" s="18">
        <v>42151</v>
      </c>
      <c r="B319" s="19">
        <v>115.5505</v>
      </c>
    </row>
    <row r="320" spans="1:2" x14ac:dyDescent="0.3">
      <c r="A320" s="18">
        <v>42152</v>
      </c>
      <c r="B320" s="19">
        <v>115.57299999999999</v>
      </c>
    </row>
    <row r="321" spans="1:2" x14ac:dyDescent="0.3">
      <c r="A321" s="18">
        <v>42153</v>
      </c>
      <c r="B321" s="19">
        <v>115.3927</v>
      </c>
    </row>
    <row r="322" spans="1:2" x14ac:dyDescent="0.3">
      <c r="A322" s="18">
        <v>42156</v>
      </c>
      <c r="B322" s="19">
        <v>115.88760000000001</v>
      </c>
    </row>
    <row r="323" spans="1:2" x14ac:dyDescent="0.3">
      <c r="A323" s="18">
        <v>42157</v>
      </c>
      <c r="B323" s="19">
        <v>115.13500000000001</v>
      </c>
    </row>
    <row r="324" spans="1:2" x14ac:dyDescent="0.3">
      <c r="A324" s="18">
        <v>42158</v>
      </c>
      <c r="B324" s="19">
        <v>114.83799999999999</v>
      </c>
    </row>
    <row r="325" spans="1:2" x14ac:dyDescent="0.3">
      <c r="A325" s="18">
        <v>42159</v>
      </c>
      <c r="B325" s="19">
        <v>115.2072</v>
      </c>
    </row>
    <row r="326" spans="1:2" x14ac:dyDescent="0.3">
      <c r="A326" s="18">
        <v>42160</v>
      </c>
      <c r="B326" s="19">
        <v>115.87730000000001</v>
      </c>
    </row>
    <row r="327" spans="1:2" x14ac:dyDescent="0.3">
      <c r="A327" s="18">
        <v>42163</v>
      </c>
      <c r="B327" s="19">
        <v>115.5341</v>
      </c>
    </row>
    <row r="328" spans="1:2" x14ac:dyDescent="0.3">
      <c r="A328" s="18">
        <v>42164</v>
      </c>
      <c r="B328" s="19">
        <v>114.9919</v>
      </c>
    </row>
    <row r="329" spans="1:2" x14ac:dyDescent="0.3">
      <c r="A329" s="18">
        <v>42165</v>
      </c>
      <c r="B329" s="19">
        <v>114.55670000000001</v>
      </c>
    </row>
    <row r="330" spans="1:2" x14ac:dyDescent="0.3">
      <c r="A330" s="18">
        <v>42166</v>
      </c>
      <c r="B330" s="19">
        <v>114.8503</v>
      </c>
    </row>
    <row r="331" spans="1:2" x14ac:dyDescent="0.3">
      <c r="A331" s="18">
        <v>42167</v>
      </c>
      <c r="B331" s="19">
        <v>114.67910000000001</v>
      </c>
    </row>
    <row r="332" spans="1:2" x14ac:dyDescent="0.3">
      <c r="A332" s="18">
        <v>42170</v>
      </c>
      <c r="B332" s="19">
        <v>114.76730000000001</v>
      </c>
    </row>
    <row r="333" spans="1:2" x14ac:dyDescent="0.3">
      <c r="A333" s="18">
        <v>42171</v>
      </c>
      <c r="B333" s="19">
        <v>114.8143</v>
      </c>
    </row>
    <row r="334" spans="1:2" x14ac:dyDescent="0.3">
      <c r="A334" s="18">
        <v>42172</v>
      </c>
      <c r="B334" s="19">
        <v>114.84439999999999</v>
      </c>
    </row>
    <row r="335" spans="1:2" x14ac:dyDescent="0.3">
      <c r="A335" s="18">
        <v>42173</v>
      </c>
      <c r="B335" s="19">
        <v>113.8771</v>
      </c>
    </row>
    <row r="336" spans="1:2" x14ac:dyDescent="0.3">
      <c r="A336" s="18">
        <v>42174</v>
      </c>
      <c r="B336" s="19">
        <v>114.233</v>
      </c>
    </row>
    <row r="337" spans="1:2" x14ac:dyDescent="0.3">
      <c r="A337" s="18">
        <v>42177</v>
      </c>
      <c r="B337" s="19">
        <v>114.157</v>
      </c>
    </row>
    <row r="338" spans="1:2" x14ac:dyDescent="0.3">
      <c r="A338" s="18">
        <v>42178</v>
      </c>
      <c r="B338" s="19">
        <v>114.7336</v>
      </c>
    </row>
    <row r="339" spans="1:2" x14ac:dyDescent="0.3">
      <c r="A339" s="18">
        <v>42179</v>
      </c>
      <c r="B339" s="19">
        <v>115.0215</v>
      </c>
    </row>
    <row r="340" spans="1:2" x14ac:dyDescent="0.3">
      <c r="A340" s="18">
        <v>42180</v>
      </c>
      <c r="B340" s="19">
        <v>114.9359</v>
      </c>
    </row>
    <row r="341" spans="1:2" x14ac:dyDescent="0.3">
      <c r="A341" s="18">
        <v>42181</v>
      </c>
      <c r="B341" s="19">
        <v>115.2106</v>
      </c>
    </row>
    <row r="342" spans="1:2" x14ac:dyDescent="0.3">
      <c r="A342" s="18">
        <v>42184</v>
      </c>
      <c r="B342" s="19">
        <v>115.18770000000001</v>
      </c>
    </row>
    <row r="343" spans="1:2" x14ac:dyDescent="0.3">
      <c r="A343" s="18">
        <v>42185</v>
      </c>
      <c r="B343" s="19">
        <v>115.2961</v>
      </c>
    </row>
    <row r="344" spans="1:2" x14ac:dyDescent="0.3">
      <c r="A344" s="18">
        <v>42186</v>
      </c>
      <c r="B344" s="19">
        <v>115.7791</v>
      </c>
    </row>
    <row r="345" spans="1:2" x14ac:dyDescent="0.3">
      <c r="A345" s="18">
        <v>42187</v>
      </c>
      <c r="B345" s="19">
        <v>115.6798</v>
      </c>
    </row>
    <row r="346" spans="1:2" x14ac:dyDescent="0.3">
      <c r="A346" s="18">
        <v>42191</v>
      </c>
      <c r="B346" s="19">
        <v>115.9269</v>
      </c>
    </row>
    <row r="347" spans="1:2" x14ac:dyDescent="0.3">
      <c r="A347" s="18">
        <v>42192</v>
      </c>
      <c r="B347" s="19">
        <v>116.55459999999999</v>
      </c>
    </row>
    <row r="348" spans="1:2" x14ac:dyDescent="0.3">
      <c r="A348" s="18">
        <v>42193</v>
      </c>
      <c r="B348" s="19">
        <v>116.2316</v>
      </c>
    </row>
    <row r="349" spans="1:2" x14ac:dyDescent="0.3">
      <c r="A349" s="18">
        <v>42194</v>
      </c>
      <c r="B349" s="19">
        <v>116.31699999999999</v>
      </c>
    </row>
    <row r="350" spans="1:2" x14ac:dyDescent="0.3">
      <c r="A350" s="18">
        <v>42195</v>
      </c>
      <c r="B350" s="19">
        <v>115.97920000000001</v>
      </c>
    </row>
    <row r="351" spans="1:2" x14ac:dyDescent="0.3">
      <c r="A351" s="18">
        <v>42198</v>
      </c>
      <c r="B351" s="19">
        <v>116.35639999999999</v>
      </c>
    </row>
    <row r="352" spans="1:2" x14ac:dyDescent="0.3">
      <c r="A352" s="18">
        <v>42199</v>
      </c>
      <c r="B352" s="19">
        <v>116.2778</v>
      </c>
    </row>
    <row r="353" spans="1:2" x14ac:dyDescent="0.3">
      <c r="A353" s="18">
        <v>42200</v>
      </c>
      <c r="B353" s="19">
        <v>116.8023</v>
      </c>
    </row>
    <row r="354" spans="1:2" x14ac:dyDescent="0.3">
      <c r="A354" s="18">
        <v>42201</v>
      </c>
      <c r="B354" s="19">
        <v>116.9618</v>
      </c>
    </row>
    <row r="355" spans="1:2" x14ac:dyDescent="0.3">
      <c r="A355" s="18">
        <v>42202</v>
      </c>
      <c r="B355" s="19">
        <v>117.3229</v>
      </c>
    </row>
    <row r="356" spans="1:2" x14ac:dyDescent="0.3">
      <c r="A356" s="18">
        <v>42205</v>
      </c>
      <c r="B356" s="19">
        <v>117.4937</v>
      </c>
    </row>
    <row r="357" spans="1:2" x14ac:dyDescent="0.3">
      <c r="A357" s="18">
        <v>42206</v>
      </c>
      <c r="B357" s="19">
        <v>117.18129999999999</v>
      </c>
    </row>
    <row r="358" spans="1:2" x14ac:dyDescent="0.3">
      <c r="A358" s="18">
        <v>42207</v>
      </c>
      <c r="B358" s="19">
        <v>117.59</v>
      </c>
    </row>
    <row r="359" spans="1:2" x14ac:dyDescent="0.3">
      <c r="A359" s="18">
        <v>42208</v>
      </c>
      <c r="B359" s="19">
        <v>117.5667</v>
      </c>
    </row>
    <row r="360" spans="1:2" x14ac:dyDescent="0.3">
      <c r="A360" s="18">
        <v>42209</v>
      </c>
      <c r="B360" s="19">
        <v>117.83969999999999</v>
      </c>
    </row>
    <row r="361" spans="1:2" x14ac:dyDescent="0.3">
      <c r="A361" s="18">
        <v>42212</v>
      </c>
      <c r="B361" s="19">
        <v>117.5402</v>
      </c>
    </row>
    <row r="362" spans="1:2" x14ac:dyDescent="0.3">
      <c r="A362" s="18">
        <v>42213</v>
      </c>
      <c r="B362" s="19">
        <v>117.5414</v>
      </c>
    </row>
    <row r="363" spans="1:2" x14ac:dyDescent="0.3">
      <c r="A363" s="18">
        <v>42214</v>
      </c>
      <c r="B363" s="19">
        <v>117.4491</v>
      </c>
    </row>
    <row r="364" spans="1:2" x14ac:dyDescent="0.3">
      <c r="A364" s="18">
        <v>42215</v>
      </c>
      <c r="B364" s="19">
        <v>118.298</v>
      </c>
    </row>
    <row r="365" spans="1:2" x14ac:dyDescent="0.3">
      <c r="A365" s="18">
        <v>42216</v>
      </c>
      <c r="B365" s="19">
        <v>117.65309999999999</v>
      </c>
    </row>
    <row r="366" spans="1:2" x14ac:dyDescent="0.3">
      <c r="A366" s="18">
        <v>42219</v>
      </c>
      <c r="B366" s="19">
        <v>118.105</v>
      </c>
    </row>
    <row r="367" spans="1:2" x14ac:dyDescent="0.3">
      <c r="A367" s="18">
        <v>42220</v>
      </c>
      <c r="B367" s="19">
        <v>118.11060000000001</v>
      </c>
    </row>
    <row r="368" spans="1:2" x14ac:dyDescent="0.3">
      <c r="A368" s="18">
        <v>42221</v>
      </c>
      <c r="B368" s="19">
        <v>118.74979999999999</v>
      </c>
    </row>
    <row r="369" spans="1:2" x14ac:dyDescent="0.3">
      <c r="A369" s="18">
        <v>42222</v>
      </c>
      <c r="B369" s="19">
        <v>118.6193</v>
      </c>
    </row>
    <row r="370" spans="1:2" x14ac:dyDescent="0.3">
      <c r="A370" s="18">
        <v>42223</v>
      </c>
      <c r="B370" s="19">
        <v>118.3322</v>
      </c>
    </row>
    <row r="371" spans="1:2" x14ac:dyDescent="0.3">
      <c r="A371" s="18">
        <v>42226</v>
      </c>
      <c r="B371" s="19">
        <v>118.0899</v>
      </c>
    </row>
    <row r="372" spans="1:2" x14ac:dyDescent="0.3">
      <c r="A372" s="18">
        <v>42227</v>
      </c>
      <c r="B372" s="19">
        <v>119.0389</v>
      </c>
    </row>
    <row r="373" spans="1:2" x14ac:dyDescent="0.3">
      <c r="A373" s="18">
        <v>42228</v>
      </c>
      <c r="B373" s="19">
        <v>118.67440000000001</v>
      </c>
    </row>
    <row r="374" spans="1:2" x14ac:dyDescent="0.3">
      <c r="A374" s="18">
        <v>42229</v>
      </c>
      <c r="B374" s="19">
        <v>119.10680000000001</v>
      </c>
    </row>
    <row r="375" spans="1:2" x14ac:dyDescent="0.3">
      <c r="A375" s="18">
        <v>42230</v>
      </c>
      <c r="B375" s="19">
        <v>119.1336</v>
      </c>
    </row>
    <row r="376" spans="1:2" x14ac:dyDescent="0.3">
      <c r="A376" s="18">
        <v>42233</v>
      </c>
      <c r="B376" s="19">
        <v>119.3824</v>
      </c>
    </row>
    <row r="377" spans="1:2" x14ac:dyDescent="0.3">
      <c r="A377" s="18">
        <v>42234</v>
      </c>
      <c r="B377" s="19">
        <v>119.5018</v>
      </c>
    </row>
    <row r="378" spans="1:2" x14ac:dyDescent="0.3">
      <c r="A378" s="18">
        <v>42235</v>
      </c>
      <c r="B378" s="19">
        <v>119.67700000000001</v>
      </c>
    </row>
    <row r="379" spans="1:2" x14ac:dyDescent="0.3">
      <c r="A379" s="18">
        <v>42236</v>
      </c>
      <c r="B379" s="19">
        <v>119.37730000000001</v>
      </c>
    </row>
    <row r="380" spans="1:2" x14ac:dyDescent="0.3">
      <c r="A380" s="18">
        <v>42237</v>
      </c>
      <c r="B380" s="19">
        <v>119.43129999999999</v>
      </c>
    </row>
    <row r="381" spans="1:2" x14ac:dyDescent="0.3">
      <c r="A381" s="18">
        <v>42240</v>
      </c>
      <c r="B381" s="19">
        <v>119.2508</v>
      </c>
    </row>
    <row r="382" spans="1:2" x14ac:dyDescent="0.3">
      <c r="A382" s="18">
        <v>42241</v>
      </c>
      <c r="B382" s="19">
        <v>119.6317</v>
      </c>
    </row>
    <row r="383" spans="1:2" x14ac:dyDescent="0.3">
      <c r="A383" s="18">
        <v>42242</v>
      </c>
      <c r="B383" s="19">
        <v>119.8356</v>
      </c>
    </row>
    <row r="384" spans="1:2" x14ac:dyDescent="0.3">
      <c r="A384" s="18">
        <v>42243</v>
      </c>
      <c r="B384" s="19">
        <v>119.684</v>
      </c>
    </row>
    <row r="385" spans="1:2" x14ac:dyDescent="0.3">
      <c r="A385" s="18">
        <v>42244</v>
      </c>
      <c r="B385" s="19">
        <v>119.8359</v>
      </c>
    </row>
    <row r="386" spans="1:2" x14ac:dyDescent="0.3">
      <c r="A386" s="18">
        <v>42247</v>
      </c>
      <c r="B386" s="19">
        <v>119.7022</v>
      </c>
    </row>
    <row r="387" spans="1:2" x14ac:dyDescent="0.3">
      <c r="A387" s="18">
        <v>42248</v>
      </c>
      <c r="B387" s="19">
        <v>119.58750000000001</v>
      </c>
    </row>
    <row r="388" spans="1:2" x14ac:dyDescent="0.3">
      <c r="A388" s="18">
        <v>42249</v>
      </c>
      <c r="B388" s="19">
        <v>119.917</v>
      </c>
    </row>
    <row r="389" spans="1:2" x14ac:dyDescent="0.3">
      <c r="A389" s="18">
        <v>42250</v>
      </c>
      <c r="B389" s="19">
        <v>119.9794</v>
      </c>
    </row>
    <row r="390" spans="1:2" x14ac:dyDescent="0.3">
      <c r="A390" s="18">
        <v>42251</v>
      </c>
      <c r="B390" s="19">
        <v>120.23739999999999</v>
      </c>
    </row>
    <row r="391" spans="1:2" x14ac:dyDescent="0.3">
      <c r="A391" s="18">
        <v>42255</v>
      </c>
      <c r="B391" s="19">
        <v>119.98690000000001</v>
      </c>
    </row>
    <row r="392" spans="1:2" x14ac:dyDescent="0.3">
      <c r="A392" s="18">
        <v>42256</v>
      </c>
      <c r="B392" s="19">
        <v>120.1238</v>
      </c>
    </row>
    <row r="393" spans="1:2" x14ac:dyDescent="0.3">
      <c r="A393" s="18">
        <v>42257</v>
      </c>
      <c r="B393" s="19">
        <v>119.8368</v>
      </c>
    </row>
    <row r="394" spans="1:2" x14ac:dyDescent="0.3">
      <c r="A394" s="18">
        <v>42258</v>
      </c>
      <c r="B394" s="19">
        <v>119.8004</v>
      </c>
    </row>
    <row r="395" spans="1:2" x14ac:dyDescent="0.3">
      <c r="A395" s="18">
        <v>42261</v>
      </c>
      <c r="B395" s="19">
        <v>119.67400000000001</v>
      </c>
    </row>
    <row r="396" spans="1:2" x14ac:dyDescent="0.3">
      <c r="A396" s="18">
        <v>42262</v>
      </c>
      <c r="B396" s="19">
        <v>119.7907</v>
      </c>
    </row>
    <row r="397" spans="1:2" x14ac:dyDescent="0.3">
      <c r="A397" s="18">
        <v>42263</v>
      </c>
      <c r="B397" s="19">
        <v>119.2577</v>
      </c>
    </row>
    <row r="398" spans="1:2" x14ac:dyDescent="0.3">
      <c r="A398" s="18">
        <v>42264</v>
      </c>
      <c r="B398" s="19">
        <v>119.2548</v>
      </c>
    </row>
    <row r="399" spans="1:2" x14ac:dyDescent="0.3">
      <c r="A399" s="18">
        <v>42265</v>
      </c>
      <c r="B399" s="19">
        <v>118.9609</v>
      </c>
    </row>
    <row r="400" spans="1:2" x14ac:dyDescent="0.3">
      <c r="A400" s="18">
        <v>42268</v>
      </c>
      <c r="B400" s="19">
        <v>119.80500000000001</v>
      </c>
    </row>
    <row r="401" spans="1:2" x14ac:dyDescent="0.3">
      <c r="A401" s="18">
        <v>42269</v>
      </c>
      <c r="B401" s="19">
        <v>120.3712</v>
      </c>
    </row>
    <row r="402" spans="1:2" x14ac:dyDescent="0.3">
      <c r="A402" s="18">
        <v>42270</v>
      </c>
      <c r="B402" s="19">
        <v>120.8261</v>
      </c>
    </row>
    <row r="403" spans="1:2" x14ac:dyDescent="0.3">
      <c r="A403" s="18">
        <v>42271</v>
      </c>
      <c r="B403" s="19">
        <v>120.6309</v>
      </c>
    </row>
    <row r="404" spans="1:2" x14ac:dyDescent="0.3">
      <c r="A404" s="18">
        <v>42272</v>
      </c>
      <c r="B404" s="19">
        <v>120.5414</v>
      </c>
    </row>
    <row r="405" spans="1:2" x14ac:dyDescent="0.3">
      <c r="A405" s="18">
        <v>42275</v>
      </c>
      <c r="B405" s="19">
        <v>120.5732</v>
      </c>
    </row>
    <row r="406" spans="1:2" x14ac:dyDescent="0.3">
      <c r="A406" s="18">
        <v>42276</v>
      </c>
      <c r="B406" s="19">
        <v>120.684</v>
      </c>
    </row>
    <row r="407" spans="1:2" x14ac:dyDescent="0.3">
      <c r="A407" s="18">
        <v>42277</v>
      </c>
      <c r="B407" s="19">
        <v>120.4554</v>
      </c>
    </row>
    <row r="408" spans="1:2" x14ac:dyDescent="0.3">
      <c r="A408" s="18">
        <v>42278</v>
      </c>
      <c r="B408" s="19">
        <v>120.1891</v>
      </c>
    </row>
    <row r="409" spans="1:2" x14ac:dyDescent="0.3">
      <c r="A409" s="18">
        <v>42279</v>
      </c>
      <c r="B409" s="19">
        <v>119.85760000000001</v>
      </c>
    </row>
    <row r="410" spans="1:2" x14ac:dyDescent="0.3">
      <c r="A410" s="18">
        <v>42282</v>
      </c>
      <c r="B410" s="19">
        <v>119.56</v>
      </c>
    </row>
    <row r="411" spans="1:2" x14ac:dyDescent="0.3">
      <c r="A411" s="18">
        <v>42283</v>
      </c>
      <c r="B411" s="19">
        <v>119.2501</v>
      </c>
    </row>
    <row r="412" spans="1:2" x14ac:dyDescent="0.3">
      <c r="A412" s="18">
        <v>42284</v>
      </c>
      <c r="B412" s="19">
        <v>118.88800000000001</v>
      </c>
    </row>
    <row r="413" spans="1:2" x14ac:dyDescent="0.3">
      <c r="A413" s="18">
        <v>42285</v>
      </c>
      <c r="B413" s="19">
        <v>118.7178</v>
      </c>
    </row>
    <row r="414" spans="1:2" x14ac:dyDescent="0.3">
      <c r="A414" s="18">
        <v>42286</v>
      </c>
      <c r="B414" s="19">
        <v>118.1129</v>
      </c>
    </row>
    <row r="415" spans="1:2" x14ac:dyDescent="0.3">
      <c r="A415" s="18">
        <v>42290</v>
      </c>
      <c r="B415" s="19">
        <v>118.4498</v>
      </c>
    </row>
    <row r="416" spans="1:2" x14ac:dyDescent="0.3">
      <c r="A416" s="18">
        <v>42291</v>
      </c>
      <c r="B416" s="19">
        <v>118.1724</v>
      </c>
    </row>
    <row r="417" spans="1:2" x14ac:dyDescent="0.3">
      <c r="A417" s="18">
        <v>42292</v>
      </c>
      <c r="B417" s="19">
        <v>117.669</v>
      </c>
    </row>
    <row r="418" spans="1:2" x14ac:dyDescent="0.3">
      <c r="A418" s="18">
        <v>42293</v>
      </c>
      <c r="B418" s="19">
        <v>118.0282</v>
      </c>
    </row>
    <row r="419" spans="1:2" x14ac:dyDescent="0.3">
      <c r="A419" s="18">
        <v>42296</v>
      </c>
      <c r="B419" s="19">
        <v>118.44629999999999</v>
      </c>
    </row>
    <row r="420" spans="1:2" x14ac:dyDescent="0.3">
      <c r="A420" s="18">
        <v>42297</v>
      </c>
      <c r="B420" s="19">
        <v>118.39400000000001</v>
      </c>
    </row>
    <row r="421" spans="1:2" x14ac:dyDescent="0.3">
      <c r="A421" s="18">
        <v>42298</v>
      </c>
      <c r="B421" s="19">
        <v>118.84690000000001</v>
      </c>
    </row>
    <row r="422" spans="1:2" x14ac:dyDescent="0.3">
      <c r="A422" s="18">
        <v>42299</v>
      </c>
      <c r="B422" s="19">
        <v>119.0979</v>
      </c>
    </row>
    <row r="423" spans="1:2" x14ac:dyDescent="0.3">
      <c r="A423" s="18">
        <v>42300</v>
      </c>
      <c r="B423" s="19">
        <v>119.4649</v>
      </c>
    </row>
    <row r="424" spans="1:2" x14ac:dyDescent="0.3">
      <c r="A424" s="18">
        <v>42303</v>
      </c>
      <c r="B424" s="19">
        <v>119.2436</v>
      </c>
    </row>
    <row r="425" spans="1:2" x14ac:dyDescent="0.3">
      <c r="A425" s="18">
        <v>42304</v>
      </c>
      <c r="B425" s="19">
        <v>119.5397</v>
      </c>
    </row>
    <row r="426" spans="1:2" x14ac:dyDescent="0.3">
      <c r="A426" s="18">
        <v>42305</v>
      </c>
      <c r="B426" s="19">
        <v>119.2766</v>
      </c>
    </row>
    <row r="427" spans="1:2" x14ac:dyDescent="0.3">
      <c r="A427" s="18">
        <v>42306</v>
      </c>
      <c r="B427" s="19">
        <v>119.87390000000001</v>
      </c>
    </row>
    <row r="428" spans="1:2" x14ac:dyDescent="0.3">
      <c r="A428" s="18">
        <v>42307</v>
      </c>
      <c r="B428" s="19">
        <v>119.24169999999999</v>
      </c>
    </row>
    <row r="429" spans="1:2" x14ac:dyDescent="0.3">
      <c r="A429" s="18">
        <v>42310</v>
      </c>
      <c r="B429" s="19">
        <v>119.2443</v>
      </c>
    </row>
    <row r="430" spans="1:2" x14ac:dyDescent="0.3">
      <c r="A430" s="18">
        <v>42311</v>
      </c>
      <c r="B430" s="19">
        <v>119.2546</v>
      </c>
    </row>
    <row r="431" spans="1:2" x14ac:dyDescent="0.3">
      <c r="A431" s="18">
        <v>42312</v>
      </c>
      <c r="B431" s="19">
        <v>119.7419</v>
      </c>
    </row>
    <row r="432" spans="1:2" x14ac:dyDescent="0.3">
      <c r="A432" s="18">
        <v>42313</v>
      </c>
      <c r="B432" s="19">
        <v>119.8297</v>
      </c>
    </row>
    <row r="433" spans="1:2" x14ac:dyDescent="0.3">
      <c r="A433" s="18">
        <v>42314</v>
      </c>
      <c r="B433" s="19">
        <v>120.74079999999999</v>
      </c>
    </row>
    <row r="434" spans="1:2" x14ac:dyDescent="0.3">
      <c r="A434" s="18">
        <v>42317</v>
      </c>
      <c r="B434" s="19">
        <v>121.00069999999999</v>
      </c>
    </row>
    <row r="435" spans="1:2" x14ac:dyDescent="0.3">
      <c r="A435" s="18">
        <v>42318</v>
      </c>
      <c r="B435" s="19">
        <v>121.07210000000001</v>
      </c>
    </row>
    <row r="436" spans="1:2" x14ac:dyDescent="0.3">
      <c r="A436" s="18">
        <v>42320</v>
      </c>
      <c r="B436" s="19">
        <v>120.92010000000001</v>
      </c>
    </row>
    <row r="437" spans="1:2" x14ac:dyDescent="0.3">
      <c r="A437" s="18">
        <v>42321</v>
      </c>
      <c r="B437" s="19">
        <v>121.1691</v>
      </c>
    </row>
    <row r="438" spans="1:2" x14ac:dyDescent="0.3">
      <c r="A438" s="18">
        <v>42324</v>
      </c>
      <c r="B438" s="19">
        <v>121.34869999999999</v>
      </c>
    </row>
    <row r="439" spans="1:2" x14ac:dyDescent="0.3">
      <c r="A439" s="18">
        <v>42325</v>
      </c>
      <c r="B439" s="19">
        <v>121.4487</v>
      </c>
    </row>
    <row r="440" spans="1:2" x14ac:dyDescent="0.3">
      <c r="A440" s="18">
        <v>42326</v>
      </c>
      <c r="B440" s="19">
        <v>121.5008</v>
      </c>
    </row>
    <row r="441" spans="1:2" x14ac:dyDescent="0.3">
      <c r="A441" s="18">
        <v>42327</v>
      </c>
      <c r="B441" s="19">
        <v>120.7009</v>
      </c>
    </row>
    <row r="442" spans="1:2" x14ac:dyDescent="0.3">
      <c r="A442" s="18">
        <v>42328</v>
      </c>
      <c r="B442" s="19">
        <v>120.87269999999999</v>
      </c>
    </row>
    <row r="443" spans="1:2" x14ac:dyDescent="0.3">
      <c r="A443" s="18">
        <v>42331</v>
      </c>
      <c r="B443" s="19">
        <v>121.22790000000001</v>
      </c>
    </row>
    <row r="444" spans="1:2" x14ac:dyDescent="0.3">
      <c r="A444" s="18">
        <v>42332</v>
      </c>
      <c r="B444" s="19">
        <v>120.8511</v>
      </c>
    </row>
    <row r="445" spans="1:2" x14ac:dyDescent="0.3">
      <c r="A445" s="18">
        <v>42333</v>
      </c>
      <c r="B445" s="19">
        <v>120.9697</v>
      </c>
    </row>
    <row r="446" spans="1:2" x14ac:dyDescent="0.3">
      <c r="A446" s="18">
        <v>42335</v>
      </c>
      <c r="B446" s="19">
        <v>121.3866</v>
      </c>
    </row>
    <row r="447" spans="1:2" x14ac:dyDescent="0.3">
      <c r="A447" s="18">
        <v>42338</v>
      </c>
      <c r="B447" s="19">
        <v>121.428</v>
      </c>
    </row>
    <row r="448" spans="1:2" x14ac:dyDescent="0.3">
      <c r="A448" s="18">
        <v>42339</v>
      </c>
      <c r="B448" s="19">
        <v>121.20310000000001</v>
      </c>
    </row>
    <row r="449" spans="1:2" x14ac:dyDescent="0.3">
      <c r="A449" s="18">
        <v>42340</v>
      </c>
      <c r="B449" s="19">
        <v>121.45569999999999</v>
      </c>
    </row>
    <row r="450" spans="1:2" x14ac:dyDescent="0.3">
      <c r="A450" s="18">
        <v>42341</v>
      </c>
      <c r="B450" s="19">
        <v>120.75230000000001</v>
      </c>
    </row>
    <row r="451" spans="1:2" x14ac:dyDescent="0.3">
      <c r="A451" s="18">
        <v>42342</v>
      </c>
      <c r="B451" s="19">
        <v>120.67019999999999</v>
      </c>
    </row>
    <row r="452" spans="1:2" x14ac:dyDescent="0.3">
      <c r="A452" s="18">
        <v>42345</v>
      </c>
      <c r="B452" s="19">
        <v>121.4832</v>
      </c>
    </row>
    <row r="453" spans="1:2" x14ac:dyDescent="0.3">
      <c r="A453" s="18">
        <v>42346</v>
      </c>
      <c r="B453" s="19">
        <v>121.7362</v>
      </c>
    </row>
    <row r="454" spans="1:2" x14ac:dyDescent="0.3">
      <c r="A454" s="18">
        <v>42347</v>
      </c>
      <c r="B454" s="19">
        <v>121.41630000000001</v>
      </c>
    </row>
    <row r="455" spans="1:2" x14ac:dyDescent="0.3">
      <c r="A455" s="18">
        <v>42348</v>
      </c>
      <c r="B455" s="19">
        <v>121.4932</v>
      </c>
    </row>
    <row r="456" spans="1:2" x14ac:dyDescent="0.3">
      <c r="A456" s="18">
        <v>42349</v>
      </c>
      <c r="B456" s="19">
        <v>121.997</v>
      </c>
    </row>
    <row r="457" spans="1:2" x14ac:dyDescent="0.3">
      <c r="A457" s="18">
        <v>42352</v>
      </c>
      <c r="B457" s="19">
        <v>122.0296</v>
      </c>
    </row>
    <row r="458" spans="1:2" x14ac:dyDescent="0.3">
      <c r="A458" s="18">
        <v>42353</v>
      </c>
      <c r="B458" s="19">
        <v>122.1028</v>
      </c>
    </row>
    <row r="459" spans="1:2" x14ac:dyDescent="0.3">
      <c r="A459" s="18">
        <v>42354</v>
      </c>
      <c r="B459" s="19">
        <v>122.2457</v>
      </c>
    </row>
    <row r="460" spans="1:2" x14ac:dyDescent="0.3">
      <c r="A460" s="18">
        <v>42355</v>
      </c>
      <c r="B460" s="19">
        <v>123.08759999999999</v>
      </c>
    </row>
    <row r="461" spans="1:2" x14ac:dyDescent="0.3">
      <c r="A461" s="18">
        <v>42356</v>
      </c>
      <c r="B461" s="19">
        <v>122.53319999999999</v>
      </c>
    </row>
    <row r="462" spans="1:2" x14ac:dyDescent="0.3">
      <c r="A462" s="18">
        <v>42359</v>
      </c>
      <c r="B462" s="19">
        <v>122.6476</v>
      </c>
    </row>
    <row r="463" spans="1:2" x14ac:dyDescent="0.3">
      <c r="A463" s="18">
        <v>42360</v>
      </c>
      <c r="B463" s="19">
        <v>122.4293</v>
      </c>
    </row>
    <row r="464" spans="1:2" x14ac:dyDescent="0.3">
      <c r="A464" s="18">
        <v>42361</v>
      </c>
      <c r="B464" s="19">
        <v>122.3762</v>
      </c>
    </row>
    <row r="465" spans="1:2" x14ac:dyDescent="0.3">
      <c r="A465" s="18">
        <v>42362</v>
      </c>
      <c r="B465" s="19">
        <v>122.28360000000001</v>
      </c>
    </row>
    <row r="466" spans="1:2" x14ac:dyDescent="0.3">
      <c r="A466" s="18">
        <v>42366</v>
      </c>
      <c r="B466" s="19">
        <v>122.2991</v>
      </c>
    </row>
    <row r="467" spans="1:2" x14ac:dyDescent="0.3">
      <c r="A467" s="18">
        <v>42367</v>
      </c>
      <c r="B467" s="19">
        <v>122.41240000000001</v>
      </c>
    </row>
    <row r="468" spans="1:2" x14ac:dyDescent="0.3">
      <c r="A468" s="18">
        <v>42368</v>
      </c>
      <c r="B468" s="19">
        <v>122.75879999999999</v>
      </c>
    </row>
    <row r="469" spans="1:2" x14ac:dyDescent="0.3">
      <c r="A469" s="18">
        <v>42369</v>
      </c>
      <c r="B469" s="19">
        <v>122.58369999999999</v>
      </c>
    </row>
    <row r="470" spans="1:2" x14ac:dyDescent="0.3">
      <c r="A470" s="18">
        <v>42373</v>
      </c>
      <c r="B470" s="19">
        <v>123.497</v>
      </c>
    </row>
    <row r="471" spans="1:2" x14ac:dyDescent="0.3">
      <c r="A471" s="18">
        <v>42374</v>
      </c>
      <c r="B471" s="19">
        <v>123.5787</v>
      </c>
    </row>
    <row r="472" spans="1:2" x14ac:dyDescent="0.3">
      <c r="A472" s="18">
        <v>42375</v>
      </c>
      <c r="B472" s="19">
        <v>123.9953</v>
      </c>
    </row>
    <row r="473" spans="1:2" x14ac:dyDescent="0.3">
      <c r="A473" s="18">
        <v>42376</v>
      </c>
      <c r="B473" s="19">
        <v>124.0731</v>
      </c>
    </row>
    <row r="474" spans="1:2" x14ac:dyDescent="0.3">
      <c r="A474" s="18">
        <v>42377</v>
      </c>
      <c r="B474" s="19">
        <v>124.44410000000001</v>
      </c>
    </row>
    <row r="475" spans="1:2" x14ac:dyDescent="0.3">
      <c r="A475" s="18">
        <v>42380</v>
      </c>
      <c r="B475" s="19">
        <v>124.42449999999999</v>
      </c>
    </row>
    <row r="476" spans="1:2" x14ac:dyDescent="0.3">
      <c r="A476" s="18">
        <v>42381</v>
      </c>
      <c r="B476" s="19">
        <v>124.7145</v>
      </c>
    </row>
    <row r="477" spans="1:2" x14ac:dyDescent="0.3">
      <c r="A477" s="18">
        <v>42382</v>
      </c>
      <c r="B477" s="19">
        <v>124.545</v>
      </c>
    </row>
    <row r="478" spans="1:2" x14ac:dyDescent="0.3">
      <c r="A478" s="18">
        <v>42383</v>
      </c>
      <c r="B478" s="19">
        <v>124.79300000000001</v>
      </c>
    </row>
    <row r="479" spans="1:2" x14ac:dyDescent="0.3">
      <c r="A479" s="18">
        <v>42384</v>
      </c>
      <c r="B479" s="19">
        <v>125.1417</v>
      </c>
    </row>
    <row r="480" spans="1:2" x14ac:dyDescent="0.3">
      <c r="A480" s="18">
        <v>42388</v>
      </c>
      <c r="B480" s="19">
        <v>125.1875</v>
      </c>
    </row>
    <row r="481" spans="1:2" x14ac:dyDescent="0.3">
      <c r="A481" s="18">
        <v>42389</v>
      </c>
      <c r="B481" s="19">
        <v>125.7582</v>
      </c>
    </row>
    <row r="482" spans="1:2" x14ac:dyDescent="0.3">
      <c r="A482" s="18">
        <v>42390</v>
      </c>
      <c r="B482" s="19">
        <v>125.4212</v>
      </c>
    </row>
    <row r="483" spans="1:2" x14ac:dyDescent="0.3">
      <c r="A483" s="18">
        <v>42396</v>
      </c>
      <c r="B483" s="19">
        <v>124.91030000000001</v>
      </c>
    </row>
    <row r="484" spans="1:2" x14ac:dyDescent="0.3">
      <c r="A484" s="18">
        <v>42397</v>
      </c>
      <c r="B484" s="19">
        <v>124.6163</v>
      </c>
    </row>
    <row r="485" spans="1:2" x14ac:dyDescent="0.3">
      <c r="A485" s="18">
        <v>42398</v>
      </c>
      <c r="B485" s="19">
        <v>124.9387</v>
      </c>
    </row>
    <row r="486" spans="1:2" x14ac:dyDescent="0.3">
      <c r="A486" s="18">
        <v>42401</v>
      </c>
      <c r="B486" s="19">
        <v>124.7316</v>
      </c>
    </row>
    <row r="487" spans="1:2" x14ac:dyDescent="0.3">
      <c r="A487" s="18">
        <v>42402</v>
      </c>
      <c r="B487" s="19">
        <v>124.9987</v>
      </c>
    </row>
    <row r="488" spans="1:2" x14ac:dyDescent="0.3">
      <c r="A488" s="18">
        <v>42403</v>
      </c>
      <c r="B488" s="19">
        <v>124.06010000000001</v>
      </c>
    </row>
    <row r="489" spans="1:2" x14ac:dyDescent="0.3">
      <c r="A489" s="18">
        <v>42404</v>
      </c>
      <c r="B489" s="19">
        <v>122.985</v>
      </c>
    </row>
    <row r="490" spans="1:2" x14ac:dyDescent="0.3">
      <c r="A490" s="18">
        <v>42405</v>
      </c>
      <c r="B490" s="19">
        <v>123.6953</v>
      </c>
    </row>
    <row r="491" spans="1:2" x14ac:dyDescent="0.3">
      <c r="A491" s="18">
        <v>42408</v>
      </c>
      <c r="B491" s="19">
        <v>123.8319</v>
      </c>
    </row>
    <row r="492" spans="1:2" x14ac:dyDescent="0.3">
      <c r="A492" s="18">
        <v>42409</v>
      </c>
      <c r="B492" s="19">
        <v>123.5474</v>
      </c>
    </row>
    <row r="493" spans="1:2" x14ac:dyDescent="0.3">
      <c r="A493" s="18">
        <v>42410</v>
      </c>
      <c r="B493" s="19">
        <v>123.6665</v>
      </c>
    </row>
    <row r="494" spans="1:2" x14ac:dyDescent="0.3">
      <c r="A494" s="18">
        <v>42411</v>
      </c>
      <c r="B494" s="19">
        <v>123.57</v>
      </c>
    </row>
    <row r="495" spans="1:2" x14ac:dyDescent="0.3">
      <c r="A495" s="18">
        <v>42412</v>
      </c>
      <c r="B495" s="19">
        <v>123.7055</v>
      </c>
    </row>
    <row r="496" spans="1:2" x14ac:dyDescent="0.3">
      <c r="A496" s="18">
        <v>42416</v>
      </c>
      <c r="B496" s="19">
        <v>123.7971</v>
      </c>
    </row>
    <row r="497" spans="1:2" x14ac:dyDescent="0.3">
      <c r="A497" s="18">
        <v>42417</v>
      </c>
      <c r="B497" s="19">
        <v>123.17619999999999</v>
      </c>
    </row>
    <row r="498" spans="1:2" x14ac:dyDescent="0.3">
      <c r="A498" s="18">
        <v>42418</v>
      </c>
      <c r="B498" s="19">
        <v>123.19119999999999</v>
      </c>
    </row>
    <row r="499" spans="1:2" x14ac:dyDescent="0.3">
      <c r="A499" s="18">
        <v>42419</v>
      </c>
      <c r="B499" s="19">
        <v>123.2689</v>
      </c>
    </row>
    <row r="500" spans="1:2" x14ac:dyDescent="0.3">
      <c r="A500" s="18">
        <v>42422</v>
      </c>
      <c r="B500" s="19">
        <v>123.0853</v>
      </c>
    </row>
    <row r="501" spans="1:2" x14ac:dyDescent="0.3">
      <c r="A501" s="18">
        <v>42423</v>
      </c>
      <c r="B501" s="19">
        <v>123.4448</v>
      </c>
    </row>
    <row r="502" spans="1:2" x14ac:dyDescent="0.3">
      <c r="A502" s="18">
        <v>42424</v>
      </c>
      <c r="B502" s="19">
        <v>123.4302</v>
      </c>
    </row>
    <row r="503" spans="1:2" x14ac:dyDescent="0.3">
      <c r="A503" s="18">
        <v>42425</v>
      </c>
      <c r="B503" s="19">
        <v>123.20359999999999</v>
      </c>
    </row>
    <row r="504" spans="1:2" x14ac:dyDescent="0.3">
      <c r="A504" s="18">
        <v>42426</v>
      </c>
      <c r="B504" s="19">
        <v>123.6734</v>
      </c>
    </row>
    <row r="505" spans="1:2" x14ac:dyDescent="0.3">
      <c r="A505" s="18">
        <v>42429</v>
      </c>
      <c r="B505" s="19">
        <v>123.5523</v>
      </c>
    </row>
    <row r="506" spans="1:2" x14ac:dyDescent="0.3">
      <c r="A506" s="18">
        <v>42430</v>
      </c>
      <c r="B506" s="19">
        <v>123.2184</v>
      </c>
    </row>
    <row r="507" spans="1:2" x14ac:dyDescent="0.3">
      <c r="A507" s="18">
        <v>42431</v>
      </c>
      <c r="B507" s="19">
        <v>123.0909</v>
      </c>
    </row>
    <row r="508" spans="1:2" x14ac:dyDescent="0.3">
      <c r="A508" s="18">
        <v>42432</v>
      </c>
      <c r="B508" s="19">
        <v>122.5112</v>
      </c>
    </row>
    <row r="509" spans="1:2" x14ac:dyDescent="0.3">
      <c r="A509" s="18">
        <v>42433</v>
      </c>
      <c r="B509" s="19">
        <v>121.842</v>
      </c>
    </row>
    <row r="510" spans="1:2" x14ac:dyDescent="0.3">
      <c r="A510" s="18">
        <v>42436</v>
      </c>
      <c r="B510" s="19">
        <v>121.84059999999999</v>
      </c>
    </row>
    <row r="511" spans="1:2" x14ac:dyDescent="0.3">
      <c r="A511" s="18">
        <v>42437</v>
      </c>
      <c r="B511" s="19">
        <v>122.06399999999999</v>
      </c>
    </row>
    <row r="512" spans="1:2" x14ac:dyDescent="0.3">
      <c r="A512" s="18">
        <v>42438</v>
      </c>
      <c r="B512" s="19">
        <v>121.646</v>
      </c>
    </row>
    <row r="513" spans="1:2" x14ac:dyDescent="0.3">
      <c r="A513" s="18">
        <v>42439</v>
      </c>
      <c r="B513" s="19">
        <v>121.63330000000001</v>
      </c>
    </row>
    <row r="514" spans="1:2" x14ac:dyDescent="0.3">
      <c r="A514" s="18">
        <v>42440</v>
      </c>
      <c r="B514" s="19">
        <v>121.01130000000001</v>
      </c>
    </row>
    <row r="515" spans="1:2" x14ac:dyDescent="0.3">
      <c r="A515" s="18">
        <v>42443</v>
      </c>
      <c r="B515" s="19">
        <v>121.43210000000001</v>
      </c>
    </row>
    <row r="516" spans="1:2" x14ac:dyDescent="0.3">
      <c r="A516" s="18">
        <v>42444</v>
      </c>
      <c r="B516" s="19">
        <v>121.8374</v>
      </c>
    </row>
    <row r="517" spans="1:2" x14ac:dyDescent="0.3">
      <c r="A517" s="18">
        <v>42445</v>
      </c>
      <c r="B517" s="19">
        <v>122.04859999999999</v>
      </c>
    </row>
    <row r="518" spans="1:2" x14ac:dyDescent="0.3">
      <c r="A518" s="18">
        <v>42446</v>
      </c>
      <c r="B518" s="19">
        <v>119.6412</v>
      </c>
    </row>
    <row r="519" spans="1:2" x14ac:dyDescent="0.3">
      <c r="A519" s="18">
        <v>42447</v>
      </c>
      <c r="B519" s="19">
        <v>119.5981</v>
      </c>
    </row>
    <row r="520" spans="1:2" x14ac:dyDescent="0.3">
      <c r="A520" s="18">
        <v>42450</v>
      </c>
      <c r="B520" s="19">
        <v>119.9323</v>
      </c>
    </row>
    <row r="521" spans="1:2" x14ac:dyDescent="0.3">
      <c r="A521" s="18">
        <v>42451</v>
      </c>
      <c r="B521" s="19">
        <v>119.9571</v>
      </c>
    </row>
    <row r="522" spans="1:2" x14ac:dyDescent="0.3">
      <c r="A522" s="18">
        <v>42452</v>
      </c>
      <c r="B522" s="19">
        <v>120.7454</v>
      </c>
    </row>
    <row r="523" spans="1:2" x14ac:dyDescent="0.3">
      <c r="A523" s="18">
        <v>42453</v>
      </c>
      <c r="B523" s="19">
        <v>121.0407</v>
      </c>
    </row>
    <row r="524" spans="1:2" x14ac:dyDescent="0.3">
      <c r="A524" s="18">
        <v>42454</v>
      </c>
      <c r="B524" s="19">
        <v>120.9909</v>
      </c>
    </row>
    <row r="525" spans="1:2" x14ac:dyDescent="0.3">
      <c r="A525" s="18">
        <v>42457</v>
      </c>
      <c r="B525" s="19">
        <v>120.592</v>
      </c>
    </row>
    <row r="526" spans="1:2" x14ac:dyDescent="0.3">
      <c r="A526" s="18">
        <v>42458</v>
      </c>
      <c r="B526" s="19">
        <v>120.61620000000001</v>
      </c>
    </row>
    <row r="527" spans="1:2" x14ac:dyDescent="0.3">
      <c r="A527" s="18">
        <v>42459</v>
      </c>
      <c r="B527" s="19">
        <v>119.3976</v>
      </c>
    </row>
    <row r="528" spans="1:2" x14ac:dyDescent="0.3">
      <c r="A528" s="18">
        <v>42460</v>
      </c>
      <c r="B528" s="19">
        <v>119.0352</v>
      </c>
    </row>
    <row r="529" spans="1:2" x14ac:dyDescent="0.3">
      <c r="A529" s="18">
        <v>42461</v>
      </c>
      <c r="B529" s="19">
        <v>119.43940000000001</v>
      </c>
    </row>
    <row r="530" spans="1:2" x14ac:dyDescent="0.3">
      <c r="A530" s="18">
        <v>42464</v>
      </c>
      <c r="B530" s="19">
        <v>119.56829999999999</v>
      </c>
    </row>
    <row r="531" spans="1:2" x14ac:dyDescent="0.3">
      <c r="A531" s="18">
        <v>42465</v>
      </c>
      <c r="B531" s="19">
        <v>120.10250000000001</v>
      </c>
    </row>
    <row r="532" spans="1:2" x14ac:dyDescent="0.3">
      <c r="A532" s="18">
        <v>42466</v>
      </c>
      <c r="B532" s="19">
        <v>119.6853</v>
      </c>
    </row>
    <row r="533" spans="1:2" x14ac:dyDescent="0.3">
      <c r="A533" s="18">
        <v>42467</v>
      </c>
      <c r="B533" s="19">
        <v>119.99720000000001</v>
      </c>
    </row>
    <row r="534" spans="1:2" x14ac:dyDescent="0.3">
      <c r="A534" s="18">
        <v>42468</v>
      </c>
      <c r="B534" s="19">
        <v>119.53060000000001</v>
      </c>
    </row>
    <row r="535" spans="1:2" x14ac:dyDescent="0.3">
      <c r="A535" s="18">
        <v>42471</v>
      </c>
      <c r="B535" s="19">
        <v>119.0796</v>
      </c>
    </row>
    <row r="536" spans="1:2" x14ac:dyDescent="0.3">
      <c r="A536" s="18">
        <v>42472</v>
      </c>
      <c r="B536" s="19">
        <v>118.9259</v>
      </c>
    </row>
    <row r="537" spans="1:2" x14ac:dyDescent="0.3">
      <c r="A537" s="18">
        <v>42473</v>
      </c>
      <c r="B537" s="19">
        <v>119.2756</v>
      </c>
    </row>
    <row r="538" spans="1:2" x14ac:dyDescent="0.3">
      <c r="A538" s="18">
        <v>42474</v>
      </c>
      <c r="B538" s="19">
        <v>119.2975</v>
      </c>
    </row>
    <row r="539" spans="1:2" x14ac:dyDescent="0.3">
      <c r="A539" s="18">
        <v>42475</v>
      </c>
      <c r="B539" s="19">
        <v>119.3201</v>
      </c>
    </row>
    <row r="540" spans="1:2" x14ac:dyDescent="0.3">
      <c r="A540" s="18">
        <v>42478</v>
      </c>
      <c r="B540" s="19">
        <v>119.1245</v>
      </c>
    </row>
    <row r="541" spans="1:2" x14ac:dyDescent="0.3">
      <c r="A541" s="18">
        <v>42479</v>
      </c>
      <c r="B541" s="19">
        <v>118.3877</v>
      </c>
    </row>
    <row r="542" spans="1:2" x14ac:dyDescent="0.3">
      <c r="A542" s="18">
        <v>42480</v>
      </c>
      <c r="B542" s="19">
        <v>118.5123</v>
      </c>
    </row>
    <row r="543" spans="1:2" x14ac:dyDescent="0.3">
      <c r="A543" s="18">
        <v>42481</v>
      </c>
      <c r="B543" s="19">
        <v>119.0124</v>
      </c>
    </row>
    <row r="544" spans="1:2" x14ac:dyDescent="0.3">
      <c r="A544" s="18">
        <v>42482</v>
      </c>
      <c r="B544" s="19">
        <v>119.4479</v>
      </c>
    </row>
    <row r="545" spans="1:2" x14ac:dyDescent="0.3">
      <c r="A545" s="18">
        <v>42485</v>
      </c>
      <c r="B545" s="19">
        <v>119.4019</v>
      </c>
    </row>
    <row r="546" spans="1:2" x14ac:dyDescent="0.3">
      <c r="A546" s="18">
        <v>42486</v>
      </c>
      <c r="B546" s="19">
        <v>118.9723</v>
      </c>
    </row>
    <row r="547" spans="1:2" x14ac:dyDescent="0.3">
      <c r="A547" s="18">
        <v>42487</v>
      </c>
      <c r="B547" s="19">
        <v>119.06359999999999</v>
      </c>
    </row>
    <row r="548" spans="1:2" x14ac:dyDescent="0.3">
      <c r="A548" s="18">
        <v>42488</v>
      </c>
      <c r="B548" s="19">
        <v>118.3706</v>
      </c>
    </row>
    <row r="549" spans="1:2" x14ac:dyDescent="0.3">
      <c r="A549" s="18">
        <v>42489</v>
      </c>
      <c r="B549" s="19">
        <v>117.98439999999999</v>
      </c>
    </row>
    <row r="550" spans="1:2" x14ac:dyDescent="0.3">
      <c r="A550" s="18">
        <v>42492</v>
      </c>
      <c r="B550" s="19">
        <v>117.8318</v>
      </c>
    </row>
    <row r="551" spans="1:2" x14ac:dyDescent="0.3">
      <c r="A551" s="18">
        <v>42493</v>
      </c>
      <c r="B551" s="19">
        <v>118.55289999999999</v>
      </c>
    </row>
    <row r="552" spans="1:2" x14ac:dyDescent="0.3">
      <c r="A552" s="18">
        <v>42494</v>
      </c>
      <c r="B552" s="19">
        <v>119.2</v>
      </c>
    </row>
    <row r="553" spans="1:2" x14ac:dyDescent="0.3">
      <c r="A553" s="18">
        <v>42495</v>
      </c>
      <c r="B553" s="19">
        <v>119.4671</v>
      </c>
    </row>
    <row r="554" spans="1:2" x14ac:dyDescent="0.3">
      <c r="A554" s="18">
        <v>42496</v>
      </c>
      <c r="B554" s="19">
        <v>119.5898</v>
      </c>
    </row>
    <row r="555" spans="1:2" x14ac:dyDescent="0.3">
      <c r="A555" s="18">
        <v>42499</v>
      </c>
      <c r="B555" s="19">
        <v>120.2017</v>
      </c>
    </row>
    <row r="556" spans="1:2" x14ac:dyDescent="0.3">
      <c r="A556" s="18">
        <v>42500</v>
      </c>
      <c r="B556" s="19">
        <v>120.0853</v>
      </c>
    </row>
    <row r="557" spans="1:2" x14ac:dyDescent="0.3">
      <c r="A557" s="18">
        <v>42501</v>
      </c>
      <c r="B557" s="19">
        <v>119.502</v>
      </c>
    </row>
    <row r="558" spans="1:2" x14ac:dyDescent="0.3">
      <c r="A558" s="18">
        <v>42502</v>
      </c>
      <c r="B558" s="19">
        <v>119.9485</v>
      </c>
    </row>
    <row r="559" spans="1:2" x14ac:dyDescent="0.3">
      <c r="A559" s="18">
        <v>42503</v>
      </c>
      <c r="B559" s="19">
        <v>120.5275</v>
      </c>
    </row>
    <row r="560" spans="1:2" x14ac:dyDescent="0.3">
      <c r="A560" s="18">
        <v>42506</v>
      </c>
      <c r="B560" s="19">
        <v>120.3926</v>
      </c>
    </row>
    <row r="561" spans="1:2" x14ac:dyDescent="0.3">
      <c r="A561" s="18">
        <v>42507</v>
      </c>
      <c r="B561" s="19">
        <v>120.3584</v>
      </c>
    </row>
    <row r="562" spans="1:2" x14ac:dyDescent="0.3">
      <c r="A562" s="18">
        <v>42508</v>
      </c>
      <c r="B562" s="19">
        <v>120.8509</v>
      </c>
    </row>
    <row r="563" spans="1:2" x14ac:dyDescent="0.3">
      <c r="A563" s="18">
        <v>42509</v>
      </c>
      <c r="B563" s="19">
        <v>121.5959</v>
      </c>
    </row>
    <row r="564" spans="1:2" x14ac:dyDescent="0.3">
      <c r="A564" s="18">
        <v>42510</v>
      </c>
      <c r="B564" s="19">
        <v>121.5348</v>
      </c>
    </row>
    <row r="565" spans="1:2" x14ac:dyDescent="0.3">
      <c r="A565" s="18">
        <v>42513</v>
      </c>
      <c r="B565" s="19">
        <v>121.6293</v>
      </c>
    </row>
    <row r="566" spans="1:2" x14ac:dyDescent="0.3">
      <c r="A566" s="18">
        <v>42514</v>
      </c>
      <c r="B566" s="19">
        <v>121.6634</v>
      </c>
    </row>
    <row r="567" spans="1:2" x14ac:dyDescent="0.3">
      <c r="A567" s="18">
        <v>42515</v>
      </c>
      <c r="B567" s="19">
        <v>121.56829999999999</v>
      </c>
    </row>
    <row r="568" spans="1:2" x14ac:dyDescent="0.3">
      <c r="A568" s="18">
        <v>42516</v>
      </c>
      <c r="B568" s="19">
        <v>121.2641</v>
      </c>
    </row>
    <row r="569" spans="1:2" x14ac:dyDescent="0.3">
      <c r="A569" s="18">
        <v>42517</v>
      </c>
      <c r="B569" s="19">
        <v>121.4568</v>
      </c>
    </row>
    <row r="570" spans="1:2" x14ac:dyDescent="0.3">
      <c r="A570" s="18">
        <v>42521</v>
      </c>
      <c r="B570" s="19">
        <v>121.83329999999999</v>
      </c>
    </row>
    <row r="571" spans="1:2" x14ac:dyDescent="0.3">
      <c r="A571" s="18">
        <v>42522</v>
      </c>
      <c r="B571" s="19">
        <v>121.8493</v>
      </c>
    </row>
    <row r="572" spans="1:2" x14ac:dyDescent="0.3">
      <c r="A572" s="18">
        <v>42523</v>
      </c>
      <c r="B572" s="19">
        <v>121.8463</v>
      </c>
    </row>
    <row r="573" spans="1:2" x14ac:dyDescent="0.3">
      <c r="A573" s="18">
        <v>42524</v>
      </c>
      <c r="B573" s="19">
        <v>120.7835</v>
      </c>
    </row>
    <row r="574" spans="1:2" x14ac:dyDescent="0.3">
      <c r="A574" s="18">
        <v>42527</v>
      </c>
      <c r="B574" s="19">
        <v>120.5501</v>
      </c>
    </row>
    <row r="575" spans="1:2" x14ac:dyDescent="0.3">
      <c r="A575" s="18">
        <v>42528</v>
      </c>
      <c r="B575" s="19">
        <v>120.1666</v>
      </c>
    </row>
    <row r="576" spans="1:2" x14ac:dyDescent="0.3">
      <c r="A576" s="18">
        <v>42529</v>
      </c>
      <c r="B576" s="19">
        <v>119.4872</v>
      </c>
    </row>
    <row r="577" spans="1:2" x14ac:dyDescent="0.3">
      <c r="A577" s="18">
        <v>42530</v>
      </c>
      <c r="B577" s="19">
        <v>119.9132</v>
      </c>
    </row>
    <row r="578" spans="1:2" x14ac:dyDescent="0.3">
      <c r="A578" s="18">
        <v>42531</v>
      </c>
      <c r="B578" s="19">
        <v>120.42019999999999</v>
      </c>
    </row>
    <row r="579" spans="1:2" x14ac:dyDescent="0.3">
      <c r="A579" s="18">
        <v>42534</v>
      </c>
      <c r="B579" s="19">
        <v>120.8411</v>
      </c>
    </row>
    <row r="580" spans="1:2" x14ac:dyDescent="0.3">
      <c r="A580" s="18">
        <v>42535</v>
      </c>
      <c r="B580" s="19">
        <v>121.3436</v>
      </c>
    </row>
    <row r="581" spans="1:2" x14ac:dyDescent="0.3">
      <c r="A581" s="18">
        <v>42536</v>
      </c>
      <c r="B581" s="19">
        <v>121.09050000000001</v>
      </c>
    </row>
    <row r="582" spans="1:2" x14ac:dyDescent="0.3">
      <c r="A582" s="18">
        <v>42537</v>
      </c>
      <c r="B582" s="19">
        <v>121.55029999999999</v>
      </c>
    </row>
    <row r="583" spans="1:2" x14ac:dyDescent="0.3">
      <c r="A583" s="18">
        <v>42538</v>
      </c>
      <c r="B583" s="19">
        <v>120.86499999999999</v>
      </c>
    </row>
    <row r="584" spans="1:2" x14ac:dyDescent="0.3">
      <c r="A584" s="18">
        <v>42541</v>
      </c>
      <c r="B584" s="19">
        <v>120.2059</v>
      </c>
    </row>
    <row r="585" spans="1:2" x14ac:dyDescent="0.3">
      <c r="A585" s="18">
        <v>42542</v>
      </c>
      <c r="B585" s="19">
        <v>120.34569999999999</v>
      </c>
    </row>
    <row r="586" spans="1:2" x14ac:dyDescent="0.3">
      <c r="A586" s="18">
        <v>42543</v>
      </c>
      <c r="B586" s="19">
        <v>120.0885</v>
      </c>
    </row>
    <row r="587" spans="1:2" x14ac:dyDescent="0.3">
      <c r="A587" s="18">
        <v>42544</v>
      </c>
      <c r="B587" s="19">
        <v>119.58410000000001</v>
      </c>
    </row>
    <row r="588" spans="1:2" x14ac:dyDescent="0.3">
      <c r="A588" s="18">
        <v>42545</v>
      </c>
      <c r="B588" s="19">
        <v>121.4044</v>
      </c>
    </row>
    <row r="589" spans="1:2" x14ac:dyDescent="0.3">
      <c r="A589" s="18">
        <v>42548</v>
      </c>
      <c r="B589" s="19">
        <v>122.3985</v>
      </c>
    </row>
    <row r="590" spans="1:2" x14ac:dyDescent="0.3">
      <c r="A590" s="18">
        <v>42549</v>
      </c>
      <c r="B590" s="19">
        <v>121.9898</v>
      </c>
    </row>
    <row r="591" spans="1:2" x14ac:dyDescent="0.3">
      <c r="A591" s="18">
        <v>42550</v>
      </c>
      <c r="B591" s="19">
        <v>121.0761</v>
      </c>
    </row>
    <row r="592" spans="1:2" x14ac:dyDescent="0.3">
      <c r="A592" s="18">
        <v>42551</v>
      </c>
      <c r="B592" s="19">
        <v>121.3552</v>
      </c>
    </row>
    <row r="593" spans="1:2" x14ac:dyDescent="0.3">
      <c r="A593" s="18">
        <v>42552</v>
      </c>
      <c r="B593" s="19">
        <v>120.85509999999999</v>
      </c>
    </row>
    <row r="594" spans="1:2" x14ac:dyDescent="0.3">
      <c r="A594" s="18">
        <v>42556</v>
      </c>
      <c r="B594" s="19">
        <v>121.6497</v>
      </c>
    </row>
    <row r="595" spans="1:2" x14ac:dyDescent="0.3">
      <c r="A595" s="18">
        <v>42557</v>
      </c>
      <c r="B595" s="19">
        <v>121.7717</v>
      </c>
    </row>
    <row r="596" spans="1:2" x14ac:dyDescent="0.3">
      <c r="A596" s="18">
        <v>42558</v>
      </c>
      <c r="B596" s="19">
        <v>121.79049999999999</v>
      </c>
    </row>
    <row r="597" spans="1:2" x14ac:dyDescent="0.3">
      <c r="A597" s="18">
        <v>42559</v>
      </c>
      <c r="B597" s="19">
        <v>121.5928</v>
      </c>
    </row>
    <row r="598" spans="1:2" x14ac:dyDescent="0.3">
      <c r="A598" s="18">
        <v>42562</v>
      </c>
      <c r="B598" s="19">
        <v>121.7347</v>
      </c>
    </row>
    <row r="599" spans="1:2" x14ac:dyDescent="0.3">
      <c r="A599" s="18">
        <v>42563</v>
      </c>
      <c r="B599" s="19">
        <v>121.3498</v>
      </c>
    </row>
    <row r="600" spans="1:2" x14ac:dyDescent="0.3">
      <c r="A600" s="18">
        <v>42564</v>
      </c>
      <c r="B600" s="19">
        <v>121.2607</v>
      </c>
    </row>
    <row r="601" spans="1:2" x14ac:dyDescent="0.3">
      <c r="A601" s="18">
        <v>42565</v>
      </c>
      <c r="B601" s="19">
        <v>120.9949</v>
      </c>
    </row>
    <row r="602" spans="1:2" x14ac:dyDescent="0.3">
      <c r="A602" s="18">
        <v>42566</v>
      </c>
      <c r="B602" s="19">
        <v>121.5111</v>
      </c>
    </row>
    <row r="603" spans="1:2" x14ac:dyDescent="0.3">
      <c r="A603" s="18">
        <v>42569</v>
      </c>
      <c r="B603" s="19">
        <v>121.5001</v>
      </c>
    </row>
    <row r="604" spans="1:2" x14ac:dyDescent="0.3">
      <c r="A604" s="18">
        <v>42570</v>
      </c>
      <c r="B604" s="19">
        <v>121.877</v>
      </c>
    </row>
    <row r="605" spans="1:2" x14ac:dyDescent="0.3">
      <c r="A605" s="18">
        <v>42571</v>
      </c>
      <c r="B605" s="19">
        <v>121.90949999999999</v>
      </c>
    </row>
    <row r="606" spans="1:2" x14ac:dyDescent="0.3">
      <c r="A606" s="18">
        <v>42572</v>
      </c>
      <c r="B606" s="19">
        <v>121.8558</v>
      </c>
    </row>
    <row r="607" spans="1:2" x14ac:dyDescent="0.3">
      <c r="A607" s="18">
        <v>42573</v>
      </c>
      <c r="B607" s="19">
        <v>122.2059</v>
      </c>
    </row>
    <row r="608" spans="1:2" x14ac:dyDescent="0.3">
      <c r="A608" s="18">
        <v>42576</v>
      </c>
      <c r="B608" s="19">
        <v>122.41840000000001</v>
      </c>
    </row>
    <row r="609" spans="1:2" x14ac:dyDescent="0.3">
      <c r="A609" s="18">
        <v>42577</v>
      </c>
      <c r="B609" s="19">
        <v>122.283</v>
      </c>
    </row>
    <row r="610" spans="1:2" x14ac:dyDescent="0.3">
      <c r="A610" s="18">
        <v>42578</v>
      </c>
      <c r="B610" s="19">
        <v>122.4372</v>
      </c>
    </row>
    <row r="611" spans="1:2" x14ac:dyDescent="0.3">
      <c r="A611" s="18">
        <v>42579</v>
      </c>
      <c r="B611" s="19">
        <v>121.94799999999999</v>
      </c>
    </row>
    <row r="612" spans="1:2" x14ac:dyDescent="0.3">
      <c r="A612" s="18">
        <v>42580</v>
      </c>
      <c r="B612" s="19">
        <v>121.05029999999999</v>
      </c>
    </row>
    <row r="613" spans="1:2" x14ac:dyDescent="0.3">
      <c r="A613" s="18">
        <v>42583</v>
      </c>
      <c r="B613" s="19">
        <v>121.1396</v>
      </c>
    </row>
    <row r="614" spans="1:2" x14ac:dyDescent="0.3">
      <c r="A614" s="18">
        <v>42584</v>
      </c>
      <c r="B614" s="19">
        <v>120.8655</v>
      </c>
    </row>
    <row r="615" spans="1:2" x14ac:dyDescent="0.3">
      <c r="A615" s="18">
        <v>42585</v>
      </c>
      <c r="B615" s="19">
        <v>121.1199</v>
      </c>
    </row>
    <row r="616" spans="1:2" x14ac:dyDescent="0.3">
      <c r="A616" s="18">
        <v>42586</v>
      </c>
      <c r="B616" s="19">
        <v>121.065</v>
      </c>
    </row>
    <row r="617" spans="1:2" x14ac:dyDescent="0.3">
      <c r="A617" s="18">
        <v>42587</v>
      </c>
      <c r="B617" s="19">
        <v>121.50449999999999</v>
      </c>
    </row>
    <row r="618" spans="1:2" x14ac:dyDescent="0.3">
      <c r="A618" s="18">
        <v>42590</v>
      </c>
      <c r="B618" s="19">
        <v>121.2812</v>
      </c>
    </row>
    <row r="619" spans="1:2" x14ac:dyDescent="0.3">
      <c r="A619" s="18">
        <v>42591</v>
      </c>
      <c r="B619" s="19">
        <v>120.8259</v>
      </c>
    </row>
    <row r="620" spans="1:2" x14ac:dyDescent="0.3">
      <c r="A620" s="18">
        <v>42592</v>
      </c>
      <c r="B620" s="19">
        <v>120.3886</v>
      </c>
    </row>
    <row r="621" spans="1:2" x14ac:dyDescent="0.3">
      <c r="A621" s="18">
        <v>42593</v>
      </c>
      <c r="B621" s="19">
        <v>120.24809999999999</v>
      </c>
    </row>
    <row r="622" spans="1:2" x14ac:dyDescent="0.3">
      <c r="A622" s="18">
        <v>42594</v>
      </c>
      <c r="B622" s="19">
        <v>120.2509</v>
      </c>
    </row>
    <row r="623" spans="1:2" x14ac:dyDescent="0.3">
      <c r="A623" s="18">
        <v>42597</v>
      </c>
      <c r="B623" s="19">
        <v>119.9692</v>
      </c>
    </row>
    <row r="624" spans="1:2" x14ac:dyDescent="0.3">
      <c r="A624" s="18">
        <v>42598</v>
      </c>
      <c r="B624" s="19">
        <v>119.4747</v>
      </c>
    </row>
    <row r="625" spans="1:2" x14ac:dyDescent="0.3">
      <c r="A625" s="18">
        <v>42599</v>
      </c>
      <c r="B625" s="19">
        <v>120.0424</v>
      </c>
    </row>
    <row r="626" spans="1:2" x14ac:dyDescent="0.3">
      <c r="A626" s="18">
        <v>42600</v>
      </c>
      <c r="B626" s="19">
        <v>119.4093</v>
      </c>
    </row>
    <row r="627" spans="1:2" x14ac:dyDescent="0.3">
      <c r="A627" s="18">
        <v>42601</v>
      </c>
      <c r="B627" s="19">
        <v>119.9461</v>
      </c>
    </row>
    <row r="628" spans="1:2" x14ac:dyDescent="0.3">
      <c r="A628" s="18">
        <v>42604</v>
      </c>
      <c r="B628" s="19">
        <v>120.1494</v>
      </c>
    </row>
    <row r="629" spans="1:2" x14ac:dyDescent="0.3">
      <c r="A629" s="18">
        <v>42605</v>
      </c>
      <c r="B629" s="19">
        <v>120.0838</v>
      </c>
    </row>
    <row r="630" spans="1:2" x14ac:dyDescent="0.3">
      <c r="A630" s="18">
        <v>42606</v>
      </c>
      <c r="B630" s="19">
        <v>120.4833</v>
      </c>
    </row>
    <row r="631" spans="1:2" x14ac:dyDescent="0.3">
      <c r="A631" s="18">
        <v>42607</v>
      </c>
      <c r="B631" s="19">
        <v>120.3366</v>
      </c>
    </row>
    <row r="632" spans="1:2" x14ac:dyDescent="0.3">
      <c r="A632" s="18">
        <v>42608</v>
      </c>
      <c r="B632" s="19">
        <v>120.373</v>
      </c>
    </row>
    <row r="633" spans="1:2" x14ac:dyDescent="0.3">
      <c r="A633" s="18">
        <v>42611</v>
      </c>
      <c r="B633" s="19">
        <v>121.07</v>
      </c>
    </row>
    <row r="634" spans="1:2" x14ac:dyDescent="0.3">
      <c r="A634" s="18">
        <v>42612</v>
      </c>
      <c r="B634" s="19">
        <v>121.49720000000001</v>
      </c>
    </row>
    <row r="635" spans="1:2" x14ac:dyDescent="0.3">
      <c r="A635" s="18">
        <v>42613</v>
      </c>
      <c r="B635" s="19">
        <v>121.6157</v>
      </c>
    </row>
    <row r="636" spans="1:2" x14ac:dyDescent="0.3">
      <c r="A636" s="18">
        <v>42614</v>
      </c>
      <c r="B636" s="19">
        <v>121.40770000000001</v>
      </c>
    </row>
    <row r="637" spans="1:2" x14ac:dyDescent="0.3">
      <c r="A637" s="18">
        <v>42615</v>
      </c>
      <c r="B637" s="19">
        <v>121.24930000000001</v>
      </c>
    </row>
    <row r="638" spans="1:2" x14ac:dyDescent="0.3">
      <c r="A638" s="18">
        <v>42619</v>
      </c>
      <c r="B638" s="19">
        <v>120.17359999999999</v>
      </c>
    </row>
    <row r="639" spans="1:2" x14ac:dyDescent="0.3">
      <c r="A639" s="18">
        <v>42620</v>
      </c>
      <c r="B639" s="19">
        <v>120.1392</v>
      </c>
    </row>
    <row r="640" spans="1:2" x14ac:dyDescent="0.3">
      <c r="A640" s="18">
        <v>42621</v>
      </c>
      <c r="B640" s="19">
        <v>120.4432</v>
      </c>
    </row>
    <row r="641" spans="1:4" x14ac:dyDescent="0.3">
      <c r="A641" s="18">
        <v>42622</v>
      </c>
      <c r="B641" s="19">
        <v>121.20950000000001</v>
      </c>
    </row>
    <row r="642" spans="1:4" x14ac:dyDescent="0.3">
      <c r="A642" s="18">
        <v>42625</v>
      </c>
      <c r="B642" s="19">
        <v>121.3896</v>
      </c>
    </row>
    <row r="643" spans="1:4" x14ac:dyDescent="0.3">
      <c r="A643" s="18">
        <v>42626</v>
      </c>
      <c r="B643" s="19">
        <v>121.75920000000001</v>
      </c>
    </row>
    <row r="644" spans="1:4" x14ac:dyDescent="0.3">
      <c r="A644" s="18">
        <v>42627</v>
      </c>
      <c r="B644" s="19">
        <v>121.70010000000001</v>
      </c>
    </row>
    <row r="645" spans="1:4" x14ac:dyDescent="0.3">
      <c r="A645" s="18">
        <v>42628</v>
      </c>
      <c r="B645" s="19">
        <v>121.7105</v>
      </c>
    </row>
    <row r="646" spans="1:4" x14ac:dyDescent="0.3">
      <c r="A646" s="18">
        <v>42629</v>
      </c>
      <c r="B646" s="19">
        <v>122.4093</v>
      </c>
    </row>
    <row r="647" spans="1:4" x14ac:dyDescent="0.3">
      <c r="A647" s="18">
        <v>42632</v>
      </c>
      <c r="B647" s="19">
        <v>122.09950000000001</v>
      </c>
    </row>
    <row r="648" spans="1:4" x14ac:dyDescent="0.3">
      <c r="A648" s="18">
        <v>42633</v>
      </c>
      <c r="B648" s="19">
        <v>122.37909999999999</v>
      </c>
    </row>
    <row r="649" spans="1:4" x14ac:dyDescent="0.3">
      <c r="A649" s="18">
        <v>42634</v>
      </c>
      <c r="B649" s="19">
        <v>122.15989999999999</v>
      </c>
    </row>
    <row r="650" spans="1:4" x14ac:dyDescent="0.3">
      <c r="A650" s="18">
        <v>42635</v>
      </c>
      <c r="B650" s="19">
        <v>121.431</v>
      </c>
    </row>
    <row r="651" spans="1:4" x14ac:dyDescent="0.3">
      <c r="A651" s="18">
        <v>42636</v>
      </c>
      <c r="B651" s="19">
        <v>121.8823</v>
      </c>
    </row>
    <row r="652" spans="1:4" x14ac:dyDescent="0.3">
      <c r="A652" s="18">
        <v>42639</v>
      </c>
      <c r="B652" s="19">
        <v>121.8824</v>
      </c>
    </row>
    <row r="653" spans="1:4" x14ac:dyDescent="0.3">
      <c r="A653" s="18">
        <v>42640</v>
      </c>
      <c r="B653" s="19">
        <v>121.6991</v>
      </c>
    </row>
    <row r="654" spans="1:4" x14ac:dyDescent="0.3">
      <c r="A654" s="18">
        <v>42641</v>
      </c>
      <c r="B654" s="19">
        <v>121.7766</v>
      </c>
    </row>
    <row r="655" spans="1:4" x14ac:dyDescent="0.3">
      <c r="A655" s="18">
        <v>42642</v>
      </c>
      <c r="B655" s="19">
        <v>121.4388</v>
      </c>
    </row>
    <row r="656" spans="1:4" x14ac:dyDescent="0.3">
      <c r="A656" s="18">
        <v>42643</v>
      </c>
      <c r="B656" s="19">
        <v>121.43470000000001</v>
      </c>
      <c r="D656" t="s">
        <v>320</v>
      </c>
    </row>
    <row r="657" spans="1:2" x14ac:dyDescent="0.3">
      <c r="A657" s="18">
        <v>42646</v>
      </c>
      <c r="B657" s="19">
        <v>121.6379</v>
      </c>
    </row>
    <row r="658" spans="1:2" x14ac:dyDescent="0.3">
      <c r="A658" s="18">
        <v>42647</v>
      </c>
      <c r="B658" s="19">
        <v>121.7876</v>
      </c>
    </row>
    <row r="659" spans="1:2" x14ac:dyDescent="0.3">
      <c r="A659" s="18">
        <v>42648</v>
      </c>
      <c r="B659" s="19">
        <v>121.9323</v>
      </c>
    </row>
    <row r="660" spans="1:2" x14ac:dyDescent="0.3">
      <c r="A660" s="18">
        <v>42649</v>
      </c>
      <c r="B660" s="19">
        <v>122.12779999999999</v>
      </c>
    </row>
    <row r="661" spans="1:2" x14ac:dyDescent="0.3">
      <c r="A661" s="18">
        <v>42650</v>
      </c>
      <c r="B661" s="19">
        <v>122.3818</v>
      </c>
    </row>
    <row r="662" spans="1:2" x14ac:dyDescent="0.3">
      <c r="A662" s="18">
        <v>42654</v>
      </c>
      <c r="B662" s="19">
        <v>122.5904</v>
      </c>
    </row>
    <row r="663" spans="1:2" x14ac:dyDescent="0.3">
      <c r="A663" s="18">
        <v>42655</v>
      </c>
      <c r="B663" s="19">
        <v>122.8999</v>
      </c>
    </row>
    <row r="664" spans="1:2" x14ac:dyDescent="0.3">
      <c r="A664" s="18">
        <v>42656</v>
      </c>
      <c r="B664" s="19">
        <v>122.798</v>
      </c>
    </row>
    <row r="665" spans="1:2" x14ac:dyDescent="0.3">
      <c r="A665" s="18">
        <v>42657</v>
      </c>
      <c r="B665" s="19">
        <v>122.8929</v>
      </c>
    </row>
    <row r="666" spans="1:2" x14ac:dyDescent="0.3">
      <c r="A666" s="18">
        <v>42660</v>
      </c>
      <c r="B666" s="19">
        <v>122.7445</v>
      </c>
    </row>
    <row r="667" spans="1:2" x14ac:dyDescent="0.3">
      <c r="A667" s="18">
        <v>42661</v>
      </c>
      <c r="B667" s="19">
        <v>122.3227</v>
      </c>
    </row>
    <row r="668" spans="1:2" x14ac:dyDescent="0.3">
      <c r="A668" s="18">
        <v>42662</v>
      </c>
      <c r="B668" s="19">
        <v>122.2133</v>
      </c>
    </row>
    <row r="669" spans="1:2" x14ac:dyDescent="0.3">
      <c r="A669" s="18">
        <v>42663</v>
      </c>
      <c r="B669" s="19">
        <v>122.57170000000001</v>
      </c>
    </row>
    <row r="670" spans="1:2" x14ac:dyDescent="0.3">
      <c r="A670" s="18">
        <v>42664</v>
      </c>
      <c r="B670" s="19">
        <v>123.0934</v>
      </c>
    </row>
    <row r="671" spans="1:2" x14ac:dyDescent="0.3">
      <c r="A671" s="18">
        <v>42667</v>
      </c>
      <c r="B671" s="19">
        <v>123.0427</v>
      </c>
    </row>
    <row r="672" spans="1:2" x14ac:dyDescent="0.3">
      <c r="A672" s="18">
        <v>42668</v>
      </c>
      <c r="B672" s="19">
        <v>122.85250000000001</v>
      </c>
    </row>
    <row r="673" spans="1:2" x14ac:dyDescent="0.3">
      <c r="A673" s="18">
        <v>42669</v>
      </c>
      <c r="B673" s="19">
        <v>123.0059</v>
      </c>
    </row>
    <row r="674" spans="1:2" x14ac:dyDescent="0.3">
      <c r="A674" s="18">
        <v>42670</v>
      </c>
      <c r="B674" s="19">
        <v>123.4242</v>
      </c>
    </row>
    <row r="675" spans="1:2" x14ac:dyDescent="0.3">
      <c r="A675" s="18">
        <v>42671</v>
      </c>
      <c r="B675" s="19">
        <v>123.30929999999999</v>
      </c>
    </row>
    <row r="676" spans="1:2" x14ac:dyDescent="0.3">
      <c r="A676" s="18">
        <v>42674</v>
      </c>
      <c r="B676" s="19">
        <v>123.24209999999999</v>
      </c>
    </row>
    <row r="677" spans="1:2" x14ac:dyDescent="0.3">
      <c r="A677" s="18">
        <v>42675</v>
      </c>
      <c r="B677" s="19">
        <v>123.21129999999999</v>
      </c>
    </row>
    <row r="678" spans="1:2" x14ac:dyDescent="0.3">
      <c r="A678" s="18">
        <v>42676</v>
      </c>
      <c r="B678" s="19">
        <v>123.1609</v>
      </c>
    </row>
    <row r="679" spans="1:2" x14ac:dyDescent="0.3">
      <c r="A679" s="18">
        <v>42677</v>
      </c>
      <c r="B679" s="19">
        <v>123.01730000000001</v>
      </c>
    </row>
    <row r="680" spans="1:2" x14ac:dyDescent="0.3">
      <c r="A680" s="18">
        <v>42678</v>
      </c>
      <c r="B680" s="19">
        <v>122.8412</v>
      </c>
    </row>
    <row r="681" spans="1:2" x14ac:dyDescent="0.3">
      <c r="A681" s="18">
        <v>42681</v>
      </c>
      <c r="B681" s="19">
        <v>122.7989</v>
      </c>
    </row>
    <row r="682" spans="1:2" x14ac:dyDescent="0.3">
      <c r="A682" s="18">
        <v>42682</v>
      </c>
      <c r="B682" s="19">
        <v>122.5558</v>
      </c>
    </row>
    <row r="683" spans="1:2" x14ac:dyDescent="0.3">
      <c r="A683" s="18">
        <v>42683</v>
      </c>
      <c r="B683" s="19">
        <v>124.01049999999999</v>
      </c>
    </row>
    <row r="684" spans="1:2" x14ac:dyDescent="0.3">
      <c r="A684" s="18">
        <v>42684</v>
      </c>
      <c r="B684" s="19">
        <v>125.35720000000001</v>
      </c>
    </row>
    <row r="685" spans="1:2" x14ac:dyDescent="0.3">
      <c r="A685" s="18">
        <v>42688</v>
      </c>
      <c r="B685" s="19">
        <v>126.7384</v>
      </c>
    </row>
    <row r="686" spans="1:2" x14ac:dyDescent="0.3">
      <c r="A686" s="18">
        <v>42689</v>
      </c>
      <c r="B686" s="19">
        <v>126.2724</v>
      </c>
    </row>
    <row r="687" spans="1:2" x14ac:dyDescent="0.3">
      <c r="A687" s="18">
        <v>42690</v>
      </c>
      <c r="B687" s="19">
        <v>126.3434</v>
      </c>
    </row>
    <row r="688" spans="1:2" x14ac:dyDescent="0.3">
      <c r="A688" s="18">
        <v>42691</v>
      </c>
      <c r="B688" s="19">
        <v>126.42</v>
      </c>
    </row>
    <row r="689" spans="1:2" x14ac:dyDescent="0.3">
      <c r="A689" s="18">
        <v>42692</v>
      </c>
      <c r="B689" s="19">
        <v>127.13630000000001</v>
      </c>
    </row>
    <row r="690" spans="1:2" x14ac:dyDescent="0.3">
      <c r="A690" s="18">
        <v>42695</v>
      </c>
      <c r="B690" s="19">
        <v>127.0455</v>
      </c>
    </row>
    <row r="691" spans="1:2" x14ac:dyDescent="0.3">
      <c r="A691" s="18">
        <v>42696</v>
      </c>
      <c r="B691" s="19">
        <v>126.997</v>
      </c>
    </row>
    <row r="692" spans="1:2" x14ac:dyDescent="0.3">
      <c r="A692" s="18">
        <v>42697</v>
      </c>
      <c r="B692" s="19">
        <v>127.66079999999999</v>
      </c>
    </row>
    <row r="693" spans="1:2" x14ac:dyDescent="0.3">
      <c r="A693" s="18">
        <v>42699</v>
      </c>
      <c r="B693" s="19">
        <v>127.62949999999999</v>
      </c>
    </row>
    <row r="694" spans="1:2" x14ac:dyDescent="0.3">
      <c r="A694" s="18">
        <v>42702</v>
      </c>
      <c r="B694" s="19">
        <v>127.3151</v>
      </c>
    </row>
    <row r="695" spans="1:2" x14ac:dyDescent="0.3">
      <c r="A695" s="18">
        <v>42703</v>
      </c>
      <c r="B695" s="19">
        <v>127.2371</v>
      </c>
    </row>
    <row r="696" spans="1:2" x14ac:dyDescent="0.3">
      <c r="A696" s="18">
        <v>42704</v>
      </c>
      <c r="B696" s="19">
        <v>127.34399999999999</v>
      </c>
    </row>
    <row r="697" spans="1:2" x14ac:dyDescent="0.3">
      <c r="A697" s="18">
        <v>42705</v>
      </c>
      <c r="B697" s="19">
        <v>127.2727</v>
      </c>
    </row>
    <row r="698" spans="1:2" x14ac:dyDescent="0.3">
      <c r="A698" s="18">
        <v>42706</v>
      </c>
      <c r="B698" s="19">
        <v>126.92319999999999</v>
      </c>
    </row>
    <row r="699" spans="1:2" x14ac:dyDescent="0.3">
      <c r="A699" s="18">
        <v>42709</v>
      </c>
      <c r="B699" s="19">
        <v>126.7098</v>
      </c>
    </row>
    <row r="700" spans="1:2" x14ac:dyDescent="0.3">
      <c r="A700" s="18">
        <v>42710</v>
      </c>
      <c r="B700" s="19">
        <v>126.52160000000001</v>
      </c>
    </row>
    <row r="701" spans="1:2" x14ac:dyDescent="0.3">
      <c r="A701" s="18">
        <v>42711</v>
      </c>
      <c r="B701" s="19">
        <v>126.2384</v>
      </c>
    </row>
    <row r="702" spans="1:2" x14ac:dyDescent="0.3">
      <c r="A702" s="18">
        <v>42712</v>
      </c>
      <c r="B702" s="19">
        <v>126.5997</v>
      </c>
    </row>
    <row r="703" spans="1:2" x14ac:dyDescent="0.3">
      <c r="A703" s="18">
        <v>42713</v>
      </c>
      <c r="B703" s="19">
        <v>126.9037</v>
      </c>
    </row>
    <row r="704" spans="1:2" x14ac:dyDescent="0.3">
      <c r="A704" s="18">
        <v>42716</v>
      </c>
      <c r="B704" s="19">
        <v>126.5244</v>
      </c>
    </row>
    <row r="705" spans="1:4" x14ac:dyDescent="0.3">
      <c r="A705" s="18">
        <v>42717</v>
      </c>
      <c r="B705" s="19">
        <v>126.3995</v>
      </c>
    </row>
    <row r="706" spans="1:4" x14ac:dyDescent="0.3">
      <c r="A706" s="18">
        <v>42718</v>
      </c>
      <c r="B706" s="19">
        <v>126.3524</v>
      </c>
    </row>
    <row r="707" spans="1:4" x14ac:dyDescent="0.3">
      <c r="A707" s="18">
        <v>42719</v>
      </c>
      <c r="B707" s="19">
        <v>128.45750000000001</v>
      </c>
    </row>
    <row r="708" spans="1:4" x14ac:dyDescent="0.3">
      <c r="A708" s="18">
        <v>42720</v>
      </c>
      <c r="B708" s="19">
        <v>128.0438</v>
      </c>
    </row>
    <row r="709" spans="1:4" x14ac:dyDescent="0.3">
      <c r="A709" s="18">
        <v>42723</v>
      </c>
      <c r="B709" s="19">
        <v>128.04509999999999</v>
      </c>
    </row>
    <row r="710" spans="1:4" x14ac:dyDescent="0.3">
      <c r="A710" s="18">
        <v>42724</v>
      </c>
      <c r="B710" s="19">
        <v>128.2851</v>
      </c>
    </row>
    <row r="711" spans="1:4" x14ac:dyDescent="0.3">
      <c r="A711" s="18">
        <v>42725</v>
      </c>
      <c r="B711" s="19">
        <v>128.21960000000001</v>
      </c>
    </row>
    <row r="712" spans="1:4" x14ac:dyDescent="0.3">
      <c r="A712" s="18">
        <v>42726</v>
      </c>
      <c r="B712" s="19">
        <v>128.4727</v>
      </c>
    </row>
    <row r="713" spans="1:4" x14ac:dyDescent="0.3">
      <c r="A713" s="18">
        <v>42727</v>
      </c>
      <c r="B713" s="19">
        <v>128.4091</v>
      </c>
    </row>
    <row r="714" spans="1:4" x14ac:dyDescent="0.3">
      <c r="A714" s="18">
        <v>42731</v>
      </c>
      <c r="B714" s="19">
        <v>128.5865</v>
      </c>
    </row>
    <row r="715" spans="1:4" x14ac:dyDescent="0.3">
      <c r="A715" s="18">
        <v>42732</v>
      </c>
      <c r="B715" s="19">
        <v>128.87119999999999</v>
      </c>
    </row>
    <row r="716" spans="1:4" x14ac:dyDescent="0.3">
      <c r="A716" s="18">
        <v>42733</v>
      </c>
      <c r="B716" s="19">
        <v>128.29150000000001</v>
      </c>
    </row>
    <row r="717" spans="1:4" x14ac:dyDescent="0.3">
      <c r="A717" s="18">
        <v>42734</v>
      </c>
      <c r="B717" s="19">
        <v>127.9973</v>
      </c>
      <c r="C717" s="19">
        <f>AVERAGE(B657:B717)</f>
        <v>125.28013606557379</v>
      </c>
      <c r="D717" t="s">
        <v>319</v>
      </c>
    </row>
    <row r="718" spans="1:4" x14ac:dyDescent="0.3">
      <c r="A718" s="18">
        <v>42738</v>
      </c>
      <c r="B718" s="19">
        <v>128.75800000000001</v>
      </c>
    </row>
    <row r="719" spans="1:4" x14ac:dyDescent="0.3">
      <c r="A719" s="18">
        <v>42739</v>
      </c>
      <c r="B719" s="19">
        <v>128.53980000000001</v>
      </c>
    </row>
    <row r="720" spans="1:4" x14ac:dyDescent="0.3">
      <c r="A720" s="18">
        <v>42740</v>
      </c>
      <c r="B720" s="19">
        <v>127.5844</v>
      </c>
    </row>
    <row r="721" spans="1:2" x14ac:dyDescent="0.3">
      <c r="A721" s="18">
        <v>42741</v>
      </c>
      <c r="B721" s="19">
        <v>127.98609999999999</v>
      </c>
    </row>
    <row r="722" spans="1:2" x14ac:dyDescent="0.3">
      <c r="A722" s="18">
        <v>42744</v>
      </c>
      <c r="B722" s="19">
        <v>128.05189999999999</v>
      </c>
    </row>
    <row r="723" spans="1:2" x14ac:dyDescent="0.3">
      <c r="A723" s="18">
        <v>42745</v>
      </c>
      <c r="B723" s="19">
        <v>128.15770000000001</v>
      </c>
    </row>
    <row r="724" spans="1:2" x14ac:dyDescent="0.3">
      <c r="A724" s="18">
        <v>42746</v>
      </c>
      <c r="B724" s="19">
        <v>128.6652</v>
      </c>
    </row>
    <row r="725" spans="1:2" x14ac:dyDescent="0.3">
      <c r="A725" s="18">
        <v>42747</v>
      </c>
      <c r="B725" s="19">
        <v>127.345</v>
      </c>
    </row>
    <row r="726" spans="1:2" x14ac:dyDescent="0.3">
      <c r="A726" s="18">
        <v>42748</v>
      </c>
      <c r="B726" s="19">
        <v>127.5552</v>
      </c>
    </row>
    <row r="727" spans="1:2" x14ac:dyDescent="0.3">
      <c r="A727" s="18">
        <v>42752</v>
      </c>
      <c r="B727" s="19">
        <v>126.77849999999999</v>
      </c>
    </row>
    <row r="728" spans="1:2" x14ac:dyDescent="0.3">
      <c r="A728" s="18">
        <v>42753</v>
      </c>
      <c r="B728" s="19">
        <v>127.2209</v>
      </c>
    </row>
    <row r="729" spans="1:2" x14ac:dyDescent="0.3">
      <c r="A729" s="18">
        <v>42754</v>
      </c>
      <c r="B729" s="19">
        <v>127.87179999999999</v>
      </c>
    </row>
    <row r="730" spans="1:2" x14ac:dyDescent="0.3">
      <c r="A730" s="18">
        <v>42758</v>
      </c>
      <c r="B730" s="19">
        <v>126.7542</v>
      </c>
    </row>
    <row r="731" spans="1:2" x14ac:dyDescent="0.3">
      <c r="A731" s="18">
        <v>42759</v>
      </c>
      <c r="B731" s="19">
        <v>126.572</v>
      </c>
    </row>
    <row r="732" spans="1:2" x14ac:dyDescent="0.3">
      <c r="A732" s="18">
        <v>42760</v>
      </c>
      <c r="B732" s="19">
        <v>126.503</v>
      </c>
    </row>
    <row r="733" spans="1:2" x14ac:dyDescent="0.3">
      <c r="A733" s="18">
        <v>42761</v>
      </c>
      <c r="B733" s="19">
        <v>126.84990000000001</v>
      </c>
    </row>
    <row r="734" spans="1:2" x14ac:dyDescent="0.3">
      <c r="A734" s="18">
        <v>42762</v>
      </c>
      <c r="B734" s="19">
        <v>126.6392</v>
      </c>
    </row>
    <row r="735" spans="1:2" x14ac:dyDescent="0.3">
      <c r="A735" s="18">
        <v>42765</v>
      </c>
      <c r="B735" s="19">
        <v>126.26600000000001</v>
      </c>
    </row>
    <row r="736" spans="1:2" x14ac:dyDescent="0.3">
      <c r="A736" s="18">
        <v>42766</v>
      </c>
      <c r="B736" s="19">
        <v>125.7556</v>
      </c>
    </row>
    <row r="737" spans="1:2" x14ac:dyDescent="0.3">
      <c r="A737" s="18">
        <v>42767</v>
      </c>
      <c r="B737" s="19">
        <v>125.93089999999999</v>
      </c>
    </row>
    <row r="738" spans="1:2" x14ac:dyDescent="0.3">
      <c r="A738" s="18">
        <v>42768</v>
      </c>
      <c r="B738" s="19">
        <v>125.3965</v>
      </c>
    </row>
    <row r="739" spans="1:2" x14ac:dyDescent="0.3">
      <c r="A739" s="18">
        <v>42769</v>
      </c>
      <c r="B739" s="19">
        <v>125.0782</v>
      </c>
    </row>
    <row r="740" spans="1:2" x14ac:dyDescent="0.3">
      <c r="A740" s="18">
        <v>42772</v>
      </c>
      <c r="B740" s="19">
        <v>125.4892</v>
      </c>
    </row>
    <row r="741" spans="1:2" x14ac:dyDescent="0.3">
      <c r="A741" s="18">
        <v>42773</v>
      </c>
      <c r="B741" s="19">
        <v>125.89449999999999</v>
      </c>
    </row>
    <row r="742" spans="1:2" x14ac:dyDescent="0.3">
      <c r="A742" s="18">
        <v>42774</v>
      </c>
      <c r="B742" s="19">
        <v>125.60680000000001</v>
      </c>
    </row>
    <row r="743" spans="1:2" x14ac:dyDescent="0.3">
      <c r="A743" s="18">
        <v>42775</v>
      </c>
      <c r="B743" s="19">
        <v>125.77719999999999</v>
      </c>
    </row>
    <row r="744" spans="1:2" x14ac:dyDescent="0.3">
      <c r="A744" s="18">
        <v>42776</v>
      </c>
      <c r="B744" s="19">
        <v>125.6234</v>
      </c>
    </row>
    <row r="745" spans="1:2" x14ac:dyDescent="0.3">
      <c r="A745" s="18">
        <v>42779</v>
      </c>
      <c r="B745" s="19">
        <v>125.8207</v>
      </c>
    </row>
    <row r="746" spans="1:2" x14ac:dyDescent="0.3">
      <c r="A746" s="18">
        <v>42780</v>
      </c>
      <c r="B746" s="19">
        <v>125.8262</v>
      </c>
    </row>
    <row r="747" spans="1:2" x14ac:dyDescent="0.3">
      <c r="A747" s="18">
        <v>42781</v>
      </c>
      <c r="B747" s="19">
        <v>125.6477</v>
      </c>
    </row>
    <row r="748" spans="1:2" x14ac:dyDescent="0.3">
      <c r="A748" s="18">
        <v>42782</v>
      </c>
      <c r="B748" s="19">
        <v>125.42489999999999</v>
      </c>
    </row>
    <row r="749" spans="1:2" x14ac:dyDescent="0.3">
      <c r="A749" s="18">
        <v>42783</v>
      </c>
      <c r="B749" s="19">
        <v>125.8437</v>
      </c>
    </row>
    <row r="750" spans="1:2" x14ac:dyDescent="0.3">
      <c r="A750" s="18">
        <v>42787</v>
      </c>
      <c r="B750" s="19">
        <v>126.0408</v>
      </c>
    </row>
    <row r="751" spans="1:2" x14ac:dyDescent="0.3">
      <c r="A751" s="18">
        <v>42788</v>
      </c>
      <c r="B751" s="19">
        <v>125.6343</v>
      </c>
    </row>
    <row r="752" spans="1:2" x14ac:dyDescent="0.3">
      <c r="A752" s="18">
        <v>42789</v>
      </c>
      <c r="B752" s="19">
        <v>125.04730000000001</v>
      </c>
    </row>
    <row r="753" spans="1:2" x14ac:dyDescent="0.3">
      <c r="A753" s="18">
        <v>42790</v>
      </c>
      <c r="B753" s="19">
        <v>125.2118</v>
      </c>
    </row>
    <row r="754" spans="1:2" x14ac:dyDescent="0.3">
      <c r="A754" s="18">
        <v>42793</v>
      </c>
      <c r="B754" s="19">
        <v>125.07299999999999</v>
      </c>
    </row>
    <row r="755" spans="1:2" x14ac:dyDescent="0.3">
      <c r="A755" s="18">
        <v>42794</v>
      </c>
      <c r="B755" s="19">
        <v>125.3934</v>
      </c>
    </row>
    <row r="756" spans="1:2" x14ac:dyDescent="0.3">
      <c r="A756" s="18">
        <v>42795</v>
      </c>
      <c r="B756" s="19">
        <v>125.8382</v>
      </c>
    </row>
    <row r="757" spans="1:2" x14ac:dyDescent="0.3">
      <c r="A757" s="18">
        <v>42796</v>
      </c>
      <c r="B757" s="19">
        <v>126.2589</v>
      </c>
    </row>
    <row r="758" spans="1:2" x14ac:dyDescent="0.3">
      <c r="A758" s="18">
        <v>42797</v>
      </c>
      <c r="B758" s="19">
        <v>126.05889999999999</v>
      </c>
    </row>
    <row r="759" spans="1:2" x14ac:dyDescent="0.3">
      <c r="A759" s="18">
        <v>42800</v>
      </c>
      <c r="B759" s="19">
        <v>125.83929999999999</v>
      </c>
    </row>
    <row r="760" spans="1:2" x14ac:dyDescent="0.3">
      <c r="A760" s="18">
        <v>42801</v>
      </c>
      <c r="B760" s="19">
        <v>125.8326</v>
      </c>
    </row>
    <row r="761" spans="1:2" x14ac:dyDescent="0.3">
      <c r="A761" s="18">
        <v>42802</v>
      </c>
      <c r="B761" s="19">
        <v>126.30119999999999</v>
      </c>
    </row>
    <row r="762" spans="1:2" x14ac:dyDescent="0.3">
      <c r="A762" s="18">
        <v>42803</v>
      </c>
      <c r="B762" s="19">
        <v>126.4401</v>
      </c>
    </row>
    <row r="763" spans="1:2" x14ac:dyDescent="0.3">
      <c r="A763" s="18">
        <v>42804</v>
      </c>
      <c r="B763" s="19">
        <v>126.0438</v>
      </c>
    </row>
    <row r="764" spans="1:2" x14ac:dyDescent="0.3">
      <c r="A764" s="18">
        <v>42807</v>
      </c>
      <c r="B764" s="19">
        <v>125.8355</v>
      </c>
    </row>
    <row r="765" spans="1:2" x14ac:dyDescent="0.3">
      <c r="A765" s="18">
        <v>42808</v>
      </c>
      <c r="B765" s="19">
        <v>126.006</v>
      </c>
    </row>
    <row r="766" spans="1:2" x14ac:dyDescent="0.3">
      <c r="A766" s="18">
        <v>42809</v>
      </c>
      <c r="B766" s="19">
        <v>125.78749999999999</v>
      </c>
    </row>
    <row r="767" spans="1:2" x14ac:dyDescent="0.3">
      <c r="A767" s="18">
        <v>42810</v>
      </c>
      <c r="B767" s="19">
        <v>124.8907</v>
      </c>
    </row>
    <row r="768" spans="1:2" x14ac:dyDescent="0.3">
      <c r="A768" s="18">
        <v>42811</v>
      </c>
      <c r="B768" s="19">
        <v>124.65770000000001</v>
      </c>
    </row>
    <row r="769" spans="1:4" x14ac:dyDescent="0.3">
      <c r="A769" s="18">
        <v>42814</v>
      </c>
      <c r="B769" s="19">
        <v>124.4008</v>
      </c>
    </row>
    <row r="770" spans="1:4" x14ac:dyDescent="0.3">
      <c r="A770" s="18">
        <v>42815</v>
      </c>
      <c r="B770" s="19">
        <v>124.17100000000001</v>
      </c>
    </row>
    <row r="771" spans="1:4" x14ac:dyDescent="0.3">
      <c r="A771" s="18">
        <v>42816</v>
      </c>
      <c r="B771" s="19">
        <v>124.13890000000001</v>
      </c>
    </row>
    <row r="772" spans="1:4" x14ac:dyDescent="0.3">
      <c r="A772" s="18">
        <v>42817</v>
      </c>
      <c r="B772" s="19">
        <v>124.1401</v>
      </c>
    </row>
    <row r="773" spans="1:4" x14ac:dyDescent="0.3">
      <c r="A773" s="18">
        <v>42818</v>
      </c>
      <c r="B773" s="19">
        <v>123.96</v>
      </c>
    </row>
    <row r="774" spans="1:4" x14ac:dyDescent="0.3">
      <c r="A774" s="18">
        <v>42821</v>
      </c>
      <c r="B774" s="19">
        <v>123.5402</v>
      </c>
    </row>
    <row r="775" spans="1:4" x14ac:dyDescent="0.3">
      <c r="A775" s="18">
        <v>42822</v>
      </c>
      <c r="B775" s="19">
        <v>123.7349</v>
      </c>
    </row>
    <row r="776" spans="1:4" x14ac:dyDescent="0.3">
      <c r="A776" s="18">
        <v>42823</v>
      </c>
      <c r="B776" s="19">
        <v>124.03</v>
      </c>
    </row>
    <row r="777" spans="1:4" x14ac:dyDescent="0.3">
      <c r="A777" s="18">
        <v>42824</v>
      </c>
      <c r="B777" s="19">
        <v>123.8476</v>
      </c>
    </row>
    <row r="778" spans="1:4" x14ac:dyDescent="0.3">
      <c r="A778" s="18">
        <v>42825</v>
      </c>
      <c r="B778" s="19">
        <v>124.12690000000001</v>
      </c>
      <c r="C778" s="19">
        <f>AVERAGE(B718:B778)</f>
        <v>125.92615901639346</v>
      </c>
      <c r="D778" t="s">
        <v>321</v>
      </c>
    </row>
    <row r="779" spans="1:4" x14ac:dyDescent="0.3">
      <c r="A779" s="18">
        <v>42828</v>
      </c>
      <c r="B779" s="19">
        <v>124.18340000000001</v>
      </c>
    </row>
    <row r="780" spans="1:4" x14ac:dyDescent="0.3">
      <c r="A780" s="18">
        <v>42829</v>
      </c>
      <c r="B780" s="19">
        <v>124.3205</v>
      </c>
    </row>
    <row r="781" spans="1:4" x14ac:dyDescent="0.3">
      <c r="A781" s="18">
        <v>42830</v>
      </c>
      <c r="B781" s="19">
        <v>124.2906</v>
      </c>
    </row>
    <row r="782" spans="1:4" x14ac:dyDescent="0.3">
      <c r="A782" s="18">
        <v>42831</v>
      </c>
      <c r="B782" s="19">
        <v>124.3734</v>
      </c>
    </row>
    <row r="783" spans="1:4" x14ac:dyDescent="0.3">
      <c r="A783" s="18">
        <v>42832</v>
      </c>
      <c r="B783" s="19">
        <v>124.40949999999999</v>
      </c>
    </row>
    <row r="784" spans="1:4" x14ac:dyDescent="0.3">
      <c r="A784" s="18">
        <v>42835</v>
      </c>
      <c r="B784" s="19">
        <v>124.4773</v>
      </c>
    </row>
    <row r="785" spans="1:2" x14ac:dyDescent="0.3">
      <c r="A785" s="18">
        <v>42836</v>
      </c>
      <c r="B785" s="19">
        <v>124.37220000000001</v>
      </c>
    </row>
    <row r="786" spans="1:2" x14ac:dyDescent="0.3">
      <c r="A786" s="18">
        <v>42837</v>
      </c>
      <c r="B786" s="19">
        <v>124.2637</v>
      </c>
    </row>
    <row r="787" spans="1:2" x14ac:dyDescent="0.3">
      <c r="A787" s="18">
        <v>42838</v>
      </c>
      <c r="B787" s="19">
        <v>123.8309</v>
      </c>
    </row>
    <row r="788" spans="1:2" x14ac:dyDescent="0.3">
      <c r="A788" s="18">
        <v>42839</v>
      </c>
      <c r="B788" s="19">
        <v>123.8531</v>
      </c>
    </row>
    <row r="789" spans="1:2" x14ac:dyDescent="0.3">
      <c r="A789" s="18">
        <v>42842</v>
      </c>
      <c r="B789" s="19">
        <v>123.64230000000001</v>
      </c>
    </row>
    <row r="790" spans="1:2" x14ac:dyDescent="0.3">
      <c r="A790" s="18">
        <v>42843</v>
      </c>
      <c r="B790" s="19">
        <v>123.5967</v>
      </c>
    </row>
    <row r="791" spans="1:2" x14ac:dyDescent="0.3">
      <c r="A791" s="18">
        <v>42844</v>
      </c>
      <c r="B791" s="19">
        <v>124.15949999999999</v>
      </c>
    </row>
    <row r="792" spans="1:2" x14ac:dyDescent="0.3">
      <c r="A792" s="18">
        <v>42845</v>
      </c>
      <c r="B792" s="19">
        <v>123.9783</v>
      </c>
    </row>
    <row r="793" spans="1:2" x14ac:dyDescent="0.3">
      <c r="A793" s="18">
        <v>42846</v>
      </c>
      <c r="B793" s="19">
        <v>124.1695</v>
      </c>
    </row>
    <row r="794" spans="1:2" x14ac:dyDescent="0.3">
      <c r="A794" s="18">
        <v>42849</v>
      </c>
      <c r="B794" s="19">
        <v>123.7081</v>
      </c>
    </row>
    <row r="795" spans="1:2" x14ac:dyDescent="0.3">
      <c r="A795" s="18">
        <v>42850</v>
      </c>
      <c r="B795" s="19">
        <v>123.85899999999999</v>
      </c>
    </row>
    <row r="796" spans="1:2" x14ac:dyDescent="0.3">
      <c r="A796" s="18">
        <v>42851</v>
      </c>
      <c r="B796" s="19">
        <v>124.337</v>
      </c>
    </row>
    <row r="797" spans="1:2" x14ac:dyDescent="0.3">
      <c r="A797" s="18">
        <v>42852</v>
      </c>
      <c r="B797" s="19">
        <v>124.39149999999999</v>
      </c>
    </row>
    <row r="798" spans="1:2" x14ac:dyDescent="0.3">
      <c r="A798" s="18">
        <v>42853</v>
      </c>
      <c r="B798" s="19">
        <v>124.1803</v>
      </c>
    </row>
    <row r="799" spans="1:2" x14ac:dyDescent="0.3">
      <c r="A799" s="18">
        <v>42856</v>
      </c>
      <c r="B799" s="19">
        <v>123.97629999999999</v>
      </c>
    </row>
    <row r="800" spans="1:2" x14ac:dyDescent="0.3">
      <c r="A800" s="18">
        <v>42857</v>
      </c>
      <c r="B800" s="19">
        <v>124.0578</v>
      </c>
    </row>
    <row r="801" spans="1:2" x14ac:dyDescent="0.3">
      <c r="A801" s="18">
        <v>42858</v>
      </c>
      <c r="B801" s="19">
        <v>124.0522</v>
      </c>
    </row>
    <row r="802" spans="1:2" x14ac:dyDescent="0.3">
      <c r="A802" s="18">
        <v>42859</v>
      </c>
      <c r="B802" s="19">
        <v>124.3215</v>
      </c>
    </row>
    <row r="803" spans="1:2" x14ac:dyDescent="0.3">
      <c r="A803" s="18">
        <v>42860</v>
      </c>
      <c r="B803" s="19">
        <v>124.2034</v>
      </c>
    </row>
    <row r="804" spans="1:2" x14ac:dyDescent="0.3">
      <c r="A804" s="18">
        <v>42863</v>
      </c>
      <c r="B804" s="19">
        <v>124.5196</v>
      </c>
    </row>
    <row r="805" spans="1:2" x14ac:dyDescent="0.3">
      <c r="A805" s="18">
        <v>42864</v>
      </c>
      <c r="B805" s="19">
        <v>124.8389</v>
      </c>
    </row>
    <row r="806" spans="1:2" x14ac:dyDescent="0.3">
      <c r="A806" s="18">
        <v>42865</v>
      </c>
      <c r="B806" s="19">
        <v>124.5386</v>
      </c>
    </row>
    <row r="807" spans="1:2" x14ac:dyDescent="0.3">
      <c r="A807" s="18">
        <v>42866</v>
      </c>
      <c r="B807" s="19">
        <v>124.4716</v>
      </c>
    </row>
    <row r="808" spans="1:2" x14ac:dyDescent="0.3">
      <c r="A808" s="18">
        <v>42867</v>
      </c>
      <c r="B808" s="19">
        <v>124.13330000000001</v>
      </c>
    </row>
    <row r="809" spans="1:2" x14ac:dyDescent="0.3">
      <c r="A809" s="18">
        <v>42870</v>
      </c>
      <c r="B809" s="19">
        <v>123.7166</v>
      </c>
    </row>
    <row r="810" spans="1:2" x14ac:dyDescent="0.3">
      <c r="A810" s="18">
        <v>42871</v>
      </c>
      <c r="B810" s="19">
        <v>123.3557</v>
      </c>
    </row>
    <row r="811" spans="1:2" x14ac:dyDescent="0.3">
      <c r="A811" s="18">
        <v>42872</v>
      </c>
      <c r="B811" s="19">
        <v>123.1092</v>
      </c>
    </row>
    <row r="812" spans="1:2" x14ac:dyDescent="0.3">
      <c r="A812" s="18">
        <v>42873</v>
      </c>
      <c r="B812" s="19">
        <v>123.6707</v>
      </c>
    </row>
    <row r="813" spans="1:2" x14ac:dyDescent="0.3">
      <c r="A813" s="18">
        <v>42874</v>
      </c>
      <c r="B813" s="19">
        <v>123.06959999999999</v>
      </c>
    </row>
    <row r="814" spans="1:2" x14ac:dyDescent="0.3">
      <c r="A814" s="18">
        <v>42877</v>
      </c>
      <c r="B814" s="19">
        <v>122.9058</v>
      </c>
    </row>
    <row r="815" spans="1:2" x14ac:dyDescent="0.3">
      <c r="A815" s="18">
        <v>42878</v>
      </c>
      <c r="B815" s="19">
        <v>123.06270000000001</v>
      </c>
    </row>
    <row r="816" spans="1:2" x14ac:dyDescent="0.3">
      <c r="A816" s="18">
        <v>42879</v>
      </c>
      <c r="B816" s="19">
        <v>123.0453</v>
      </c>
    </row>
    <row r="817" spans="1:2" x14ac:dyDescent="0.3">
      <c r="A817" s="18">
        <v>42880</v>
      </c>
      <c r="B817" s="19">
        <v>122.70529999999999</v>
      </c>
    </row>
    <row r="818" spans="1:2" x14ac:dyDescent="0.3">
      <c r="A818" s="18">
        <v>42881</v>
      </c>
      <c r="B818" s="19">
        <v>122.7692</v>
      </c>
    </row>
    <row r="819" spans="1:2" x14ac:dyDescent="0.3">
      <c r="A819" s="18">
        <v>42885</v>
      </c>
      <c r="B819" s="19">
        <v>122.8616</v>
      </c>
    </row>
    <row r="820" spans="1:2" x14ac:dyDescent="0.3">
      <c r="A820" s="18">
        <v>42886</v>
      </c>
      <c r="B820" s="19">
        <v>122.5504</v>
      </c>
    </row>
    <row r="821" spans="1:2" x14ac:dyDescent="0.3">
      <c r="A821" s="18">
        <v>42887</v>
      </c>
      <c r="B821" s="19">
        <v>122.5485</v>
      </c>
    </row>
    <row r="822" spans="1:2" x14ac:dyDescent="0.3">
      <c r="A822" s="18">
        <v>42888</v>
      </c>
      <c r="B822" s="19">
        <v>122.4415</v>
      </c>
    </row>
    <row r="823" spans="1:2" x14ac:dyDescent="0.3">
      <c r="A823" s="18">
        <v>42891</v>
      </c>
      <c r="B823" s="19">
        <v>122.20869999999999</v>
      </c>
    </row>
    <row r="824" spans="1:2" x14ac:dyDescent="0.3">
      <c r="A824" s="18">
        <v>42892</v>
      </c>
      <c r="B824" s="19">
        <v>121.9205</v>
      </c>
    </row>
    <row r="825" spans="1:2" x14ac:dyDescent="0.3">
      <c r="A825" s="18">
        <v>42893</v>
      </c>
      <c r="B825" s="19">
        <v>122.0424</v>
      </c>
    </row>
    <row r="826" spans="1:2" x14ac:dyDescent="0.3">
      <c r="A826" s="18">
        <v>42894</v>
      </c>
      <c r="B826" s="19">
        <v>122.0669</v>
      </c>
    </row>
    <row r="827" spans="1:2" x14ac:dyDescent="0.3">
      <c r="A827" s="18">
        <v>42895</v>
      </c>
      <c r="B827" s="19">
        <v>122.1669</v>
      </c>
    </row>
    <row r="828" spans="1:2" x14ac:dyDescent="0.3">
      <c r="A828" s="18">
        <v>42898</v>
      </c>
      <c r="B828" s="19">
        <v>122.1853</v>
      </c>
    </row>
    <row r="829" spans="1:2" x14ac:dyDescent="0.3">
      <c r="A829" s="18">
        <v>42899</v>
      </c>
      <c r="B829" s="19">
        <v>121.8463</v>
      </c>
    </row>
    <row r="830" spans="1:2" x14ac:dyDescent="0.3">
      <c r="A830" s="18">
        <v>42900</v>
      </c>
      <c r="B830" s="19">
        <v>121.2687</v>
      </c>
    </row>
    <row r="831" spans="1:2" x14ac:dyDescent="0.3">
      <c r="A831" s="18">
        <v>42901</v>
      </c>
      <c r="B831" s="19">
        <v>122.1151</v>
      </c>
    </row>
    <row r="832" spans="1:2" x14ac:dyDescent="0.3">
      <c r="A832" s="18">
        <v>42902</v>
      </c>
      <c r="B832" s="19">
        <v>121.86579999999999</v>
      </c>
    </row>
    <row r="833" spans="1:4" x14ac:dyDescent="0.3">
      <c r="A833" s="18">
        <v>42905</v>
      </c>
      <c r="B833" s="19">
        <v>122.0271</v>
      </c>
    </row>
    <row r="834" spans="1:4" x14ac:dyDescent="0.3">
      <c r="A834" s="18">
        <v>42906</v>
      </c>
      <c r="B834" s="19">
        <v>122.5609</v>
      </c>
    </row>
    <row r="835" spans="1:4" x14ac:dyDescent="0.3">
      <c r="A835" s="18">
        <v>42907</v>
      </c>
      <c r="B835" s="19">
        <v>122.6341</v>
      </c>
    </row>
    <row r="836" spans="1:4" x14ac:dyDescent="0.3">
      <c r="A836" s="18">
        <v>42908</v>
      </c>
      <c r="B836" s="19">
        <v>122.46550000000001</v>
      </c>
    </row>
    <row r="837" spans="1:4" x14ac:dyDescent="0.3">
      <c r="A837" s="18">
        <v>42909</v>
      </c>
      <c r="B837" s="19">
        <v>122.1593</v>
      </c>
    </row>
    <row r="838" spans="1:4" x14ac:dyDescent="0.3">
      <c r="A838" s="18">
        <v>42912</v>
      </c>
      <c r="B838" s="19">
        <v>122.05589999999999</v>
      </c>
    </row>
    <row r="839" spans="1:4" x14ac:dyDescent="0.3">
      <c r="A839" s="18">
        <v>42913</v>
      </c>
      <c r="B839" s="19">
        <v>121.83969999999999</v>
      </c>
    </row>
    <row r="840" spans="1:4" x14ac:dyDescent="0.3">
      <c r="A840" s="18">
        <v>42914</v>
      </c>
      <c r="B840" s="19">
        <v>121.3806</v>
      </c>
    </row>
    <row r="841" spans="1:4" x14ac:dyDescent="0.3">
      <c r="A841" s="18">
        <v>42915</v>
      </c>
      <c r="B841" s="19">
        <v>121.3068</v>
      </c>
    </row>
    <row r="842" spans="1:4" x14ac:dyDescent="0.3">
      <c r="A842" s="18">
        <v>42916</v>
      </c>
      <c r="B842" s="19">
        <v>121.2889</v>
      </c>
      <c r="C842" s="19">
        <f>AVERAGE(B779:B842)</f>
        <v>123.23011718750004</v>
      </c>
      <c r="D842" t="s">
        <v>322</v>
      </c>
    </row>
    <row r="843" spans="1:4" x14ac:dyDescent="0.3">
      <c r="A843" s="18">
        <v>42919</v>
      </c>
      <c r="B843" s="19">
        <v>121.7641</v>
      </c>
    </row>
    <row r="844" spans="1:4" x14ac:dyDescent="0.3">
      <c r="A844" s="18">
        <v>42921</v>
      </c>
      <c r="B844" s="19">
        <v>122.0035</v>
      </c>
    </row>
    <row r="845" spans="1:4" x14ac:dyDescent="0.3">
      <c r="A845" s="18">
        <v>42922</v>
      </c>
      <c r="B845" s="19">
        <v>121.78530000000001</v>
      </c>
    </row>
    <row r="846" spans="1:4" x14ac:dyDescent="0.3">
      <c r="A846" s="18">
        <v>42923</v>
      </c>
      <c r="B846" s="19">
        <v>121.6759</v>
      </c>
    </row>
    <row r="847" spans="1:4" x14ac:dyDescent="0.3">
      <c r="A847" s="18">
        <v>42926</v>
      </c>
      <c r="B847" s="19">
        <v>121.50790000000001</v>
      </c>
    </row>
    <row r="848" spans="1:4" x14ac:dyDescent="0.3">
      <c r="A848" s="18">
        <v>42927</v>
      </c>
      <c r="B848" s="19">
        <v>121.4875</v>
      </c>
    </row>
    <row r="849" spans="1:2" x14ac:dyDescent="0.3">
      <c r="A849" s="18">
        <v>42928</v>
      </c>
      <c r="B849" s="19">
        <v>120.8946</v>
      </c>
    </row>
    <row r="850" spans="1:2" x14ac:dyDescent="0.3">
      <c r="A850" s="18">
        <v>42929</v>
      </c>
      <c r="B850" s="19">
        <v>120.8369</v>
      </c>
    </row>
    <row r="851" spans="1:2" x14ac:dyDescent="0.3">
      <c r="A851" s="18">
        <v>42930</v>
      </c>
      <c r="B851" s="19">
        <v>120.1919</v>
      </c>
    </row>
    <row r="852" spans="1:2" x14ac:dyDescent="0.3">
      <c r="A852" s="18">
        <v>42933</v>
      </c>
      <c r="B852" s="19">
        <v>120.21040000000001</v>
      </c>
    </row>
    <row r="853" spans="1:2" x14ac:dyDescent="0.3">
      <c r="A853" s="18">
        <v>42934</v>
      </c>
      <c r="B853" s="19">
        <v>119.67449999999999</v>
      </c>
    </row>
    <row r="854" spans="1:2" x14ac:dyDescent="0.3">
      <c r="A854" s="18">
        <v>42935</v>
      </c>
      <c r="B854" s="19">
        <v>119.6818</v>
      </c>
    </row>
    <row r="855" spans="1:2" x14ac:dyDescent="0.3">
      <c r="A855" s="18">
        <v>42936</v>
      </c>
      <c r="B855" s="19">
        <v>119.498</v>
      </c>
    </row>
    <row r="856" spans="1:2" x14ac:dyDescent="0.3">
      <c r="A856" s="18">
        <v>42937</v>
      </c>
      <c r="B856" s="19">
        <v>119.4474</v>
      </c>
    </row>
    <row r="857" spans="1:2" x14ac:dyDescent="0.3">
      <c r="A857" s="18">
        <v>42940</v>
      </c>
      <c r="B857" s="19">
        <v>119.4485</v>
      </c>
    </row>
    <row r="858" spans="1:2" x14ac:dyDescent="0.3">
      <c r="A858" s="18">
        <v>42941</v>
      </c>
      <c r="B858" s="19">
        <v>119.5442</v>
      </c>
    </row>
    <row r="859" spans="1:2" x14ac:dyDescent="0.3">
      <c r="A859" s="18">
        <v>42942</v>
      </c>
      <c r="B859" s="19">
        <v>119.64449999999999</v>
      </c>
    </row>
    <row r="860" spans="1:2" x14ac:dyDescent="0.3">
      <c r="A860" s="18">
        <v>42943</v>
      </c>
      <c r="B860" s="19">
        <v>119.45</v>
      </c>
    </row>
    <row r="861" spans="1:2" x14ac:dyDescent="0.3">
      <c r="A861" s="18">
        <v>42944</v>
      </c>
      <c r="B861" s="19">
        <v>119.1658</v>
      </c>
    </row>
    <row r="862" spans="1:2" x14ac:dyDescent="0.3">
      <c r="A862" s="18">
        <v>42947</v>
      </c>
      <c r="B862" s="19">
        <v>119.0543</v>
      </c>
    </row>
    <row r="863" spans="1:2" x14ac:dyDescent="0.3">
      <c r="A863" s="18">
        <v>42948</v>
      </c>
      <c r="B863" s="19">
        <v>119.0812</v>
      </c>
    </row>
    <row r="864" spans="1:2" x14ac:dyDescent="0.3">
      <c r="A864" s="18">
        <v>42949</v>
      </c>
      <c r="B864" s="19">
        <v>118.9931</v>
      </c>
    </row>
    <row r="865" spans="1:2" x14ac:dyDescent="0.3">
      <c r="A865" s="18">
        <v>42950</v>
      </c>
      <c r="B865" s="19">
        <v>119.0579</v>
      </c>
    </row>
    <row r="866" spans="1:2" x14ac:dyDescent="0.3">
      <c r="A866" s="18">
        <v>42951</v>
      </c>
      <c r="B866" s="19">
        <v>119.5022</v>
      </c>
    </row>
    <row r="867" spans="1:2" x14ac:dyDescent="0.3">
      <c r="A867" s="18">
        <v>42954</v>
      </c>
      <c r="B867" s="19">
        <v>119.5861</v>
      </c>
    </row>
    <row r="868" spans="1:2" x14ac:dyDescent="0.3">
      <c r="A868" s="18">
        <v>42955</v>
      </c>
      <c r="B868" s="19">
        <v>119.5783</v>
      </c>
    </row>
    <row r="869" spans="1:2" x14ac:dyDescent="0.3">
      <c r="A869" s="18">
        <v>42956</v>
      </c>
      <c r="B869" s="19">
        <v>119.5249</v>
      </c>
    </row>
    <row r="870" spans="1:2" x14ac:dyDescent="0.3">
      <c r="A870" s="18">
        <v>42957</v>
      </c>
      <c r="B870" s="19">
        <v>119.3104</v>
      </c>
    </row>
    <row r="871" spans="1:2" x14ac:dyDescent="0.3">
      <c r="A871" s="18">
        <v>42958</v>
      </c>
      <c r="B871" s="19">
        <v>119.1768</v>
      </c>
    </row>
    <row r="872" spans="1:2" x14ac:dyDescent="0.3">
      <c r="A872" s="18">
        <v>42961</v>
      </c>
      <c r="B872" s="19">
        <v>119.2278</v>
      </c>
    </row>
    <row r="873" spans="1:2" x14ac:dyDescent="0.3">
      <c r="A873" s="18">
        <v>42962</v>
      </c>
      <c r="B873" s="19">
        <v>119.6249</v>
      </c>
    </row>
    <row r="874" spans="1:2" x14ac:dyDescent="0.3">
      <c r="A874" s="18">
        <v>42963</v>
      </c>
      <c r="B874" s="19">
        <v>119.58629999999999</v>
      </c>
    </row>
    <row r="875" spans="1:2" x14ac:dyDescent="0.3">
      <c r="A875" s="18">
        <v>42964</v>
      </c>
      <c r="B875" s="19">
        <v>119.2989</v>
      </c>
    </row>
    <row r="876" spans="1:2" x14ac:dyDescent="0.3">
      <c r="A876" s="18">
        <v>42965</v>
      </c>
      <c r="B876" s="19">
        <v>119.1631</v>
      </c>
    </row>
    <row r="877" spans="1:2" x14ac:dyDescent="0.3">
      <c r="A877" s="18">
        <v>42968</v>
      </c>
      <c r="B877" s="19">
        <v>118.846</v>
      </c>
    </row>
    <row r="878" spans="1:2" x14ac:dyDescent="0.3">
      <c r="A878" s="18">
        <v>42969</v>
      </c>
      <c r="B878" s="19">
        <v>118.9333</v>
      </c>
    </row>
    <row r="879" spans="1:2" x14ac:dyDescent="0.3">
      <c r="A879" s="18">
        <v>42970</v>
      </c>
      <c r="B879" s="19">
        <v>118.89360000000001</v>
      </c>
    </row>
    <row r="880" spans="1:2" x14ac:dyDescent="0.3">
      <c r="A880" s="18">
        <v>42971</v>
      </c>
      <c r="B880" s="19">
        <v>118.84520000000001</v>
      </c>
    </row>
    <row r="881" spans="1:2" x14ac:dyDescent="0.3">
      <c r="A881" s="18">
        <v>42972</v>
      </c>
      <c r="B881" s="19">
        <v>118.4109</v>
      </c>
    </row>
    <row r="882" spans="1:2" x14ac:dyDescent="0.3">
      <c r="A882" s="18">
        <v>42975</v>
      </c>
      <c r="B882" s="19">
        <v>118.215</v>
      </c>
    </row>
    <row r="883" spans="1:2" x14ac:dyDescent="0.3">
      <c r="A883" s="18">
        <v>42976</v>
      </c>
      <c r="B883" s="19">
        <v>118.1189</v>
      </c>
    </row>
    <row r="884" spans="1:2" x14ac:dyDescent="0.3">
      <c r="A884" s="18">
        <v>42977</v>
      </c>
      <c r="B884" s="19">
        <v>118.41630000000001</v>
      </c>
    </row>
    <row r="885" spans="1:2" x14ac:dyDescent="0.3">
      <c r="A885" s="18">
        <v>42978</v>
      </c>
      <c r="B885" s="19">
        <v>118.37260000000001</v>
      </c>
    </row>
    <row r="886" spans="1:2" x14ac:dyDescent="0.3">
      <c r="A886" s="18">
        <v>42979</v>
      </c>
      <c r="B886" s="19">
        <v>118.0239</v>
      </c>
    </row>
    <row r="887" spans="1:2" x14ac:dyDescent="0.3">
      <c r="A887" s="18">
        <v>42983</v>
      </c>
      <c r="B887" s="19">
        <v>117.8253</v>
      </c>
    </row>
    <row r="888" spans="1:2" x14ac:dyDescent="0.3">
      <c r="A888" s="18">
        <v>42984</v>
      </c>
      <c r="B888" s="19">
        <v>117.4478</v>
      </c>
    </row>
    <row r="889" spans="1:2" x14ac:dyDescent="0.3">
      <c r="A889" s="18">
        <v>42985</v>
      </c>
      <c r="B889" s="19">
        <v>116.8156</v>
      </c>
    </row>
    <row r="890" spans="1:2" x14ac:dyDescent="0.3">
      <c r="A890" s="18">
        <v>42986</v>
      </c>
      <c r="B890" s="19">
        <v>116.71980000000001</v>
      </c>
    </row>
    <row r="891" spans="1:2" x14ac:dyDescent="0.3">
      <c r="A891" s="18">
        <v>42989</v>
      </c>
      <c r="B891" s="19">
        <v>117.1151</v>
      </c>
    </row>
    <row r="892" spans="1:2" x14ac:dyDescent="0.3">
      <c r="A892" s="18">
        <v>42990</v>
      </c>
      <c r="B892" s="19">
        <v>117.3186</v>
      </c>
    </row>
    <row r="893" spans="1:2" x14ac:dyDescent="0.3">
      <c r="A893" s="18">
        <v>42991</v>
      </c>
      <c r="B893" s="19">
        <v>117.6628</v>
      </c>
    </row>
    <row r="894" spans="1:2" x14ac:dyDescent="0.3">
      <c r="A894" s="18">
        <v>42992</v>
      </c>
      <c r="B894" s="19">
        <v>117.64960000000001</v>
      </c>
    </row>
    <row r="895" spans="1:2" x14ac:dyDescent="0.3">
      <c r="A895" s="18">
        <v>42993</v>
      </c>
      <c r="B895" s="19">
        <v>117.3644</v>
      </c>
    </row>
    <row r="896" spans="1:2" x14ac:dyDescent="0.3">
      <c r="A896" s="18">
        <v>42996</v>
      </c>
      <c r="B896" s="19">
        <v>117.7116</v>
      </c>
    </row>
    <row r="897" spans="1:4" x14ac:dyDescent="0.3">
      <c r="A897" s="18">
        <v>42997</v>
      </c>
      <c r="B897" s="19">
        <v>117.69880000000001</v>
      </c>
    </row>
    <row r="898" spans="1:4" x14ac:dyDescent="0.3">
      <c r="A898" s="18">
        <v>42998</v>
      </c>
      <c r="B898" s="19">
        <v>117.5044</v>
      </c>
    </row>
    <row r="899" spans="1:4" x14ac:dyDescent="0.3">
      <c r="A899" s="18">
        <v>42999</v>
      </c>
      <c r="B899" s="19">
        <v>118.0249</v>
      </c>
    </row>
    <row r="900" spans="1:4" x14ac:dyDescent="0.3">
      <c r="A900" s="18">
        <v>43000</v>
      </c>
      <c r="B900" s="19">
        <v>117.8412</v>
      </c>
    </row>
    <row r="901" spans="1:4" x14ac:dyDescent="0.3">
      <c r="A901" s="18">
        <v>43003</v>
      </c>
      <c r="B901" s="19">
        <v>118.4539</v>
      </c>
    </row>
    <row r="902" spans="1:4" x14ac:dyDescent="0.3">
      <c r="A902" s="18">
        <v>43004</v>
      </c>
      <c r="B902" s="19">
        <v>118.9306</v>
      </c>
    </row>
    <row r="903" spans="1:4" x14ac:dyDescent="0.3">
      <c r="A903" s="18">
        <v>43005</v>
      </c>
      <c r="B903" s="19">
        <v>119.2453</v>
      </c>
    </row>
    <row r="904" spans="1:4" x14ac:dyDescent="0.3">
      <c r="A904" s="18">
        <v>43006</v>
      </c>
      <c r="B904" s="19">
        <v>119.4517</v>
      </c>
    </row>
    <row r="905" spans="1:4" x14ac:dyDescent="0.3">
      <c r="A905" s="18">
        <v>43007</v>
      </c>
      <c r="B905" s="19">
        <v>119.27209999999999</v>
      </c>
      <c r="C905" s="19">
        <f>AVERAGE(B843:B905)</f>
        <v>119.09219206349205</v>
      </c>
      <c r="D905" t="s">
        <v>323</v>
      </c>
    </row>
    <row r="906" spans="1:4" x14ac:dyDescent="0.3">
      <c r="A906" s="18">
        <v>43010</v>
      </c>
      <c r="B906" s="19">
        <v>119.55029999999999</v>
      </c>
    </row>
    <row r="907" spans="1:4" x14ac:dyDescent="0.3">
      <c r="A907" s="18">
        <v>43011</v>
      </c>
      <c r="B907" s="19">
        <v>119.50449999999999</v>
      </c>
    </row>
    <row r="908" spans="1:4" x14ac:dyDescent="0.3">
      <c r="A908" s="18">
        <v>43012</v>
      </c>
      <c r="B908" s="19">
        <v>119.41840000000001</v>
      </c>
    </row>
    <row r="909" spans="1:4" x14ac:dyDescent="0.3">
      <c r="A909" s="18">
        <v>43013</v>
      </c>
      <c r="B909" s="19">
        <v>119.7341</v>
      </c>
    </row>
    <row r="910" spans="1:4" x14ac:dyDescent="0.3">
      <c r="A910" s="18">
        <v>43014</v>
      </c>
      <c r="B910" s="19">
        <v>119.9479</v>
      </c>
    </row>
    <row r="911" spans="1:4" x14ac:dyDescent="0.3">
      <c r="A911" s="18">
        <v>43018</v>
      </c>
      <c r="B911" s="19">
        <v>119.37</v>
      </c>
    </row>
    <row r="912" spans="1:4" x14ac:dyDescent="0.3">
      <c r="A912" s="18">
        <v>43019</v>
      </c>
      <c r="B912" s="19">
        <v>119.3886</v>
      </c>
    </row>
    <row r="913" spans="1:2" x14ac:dyDescent="0.3">
      <c r="A913" s="18">
        <v>43020</v>
      </c>
      <c r="B913" s="19">
        <v>119.396</v>
      </c>
    </row>
    <row r="914" spans="1:2" x14ac:dyDescent="0.3">
      <c r="A914" s="18">
        <v>43021</v>
      </c>
      <c r="B914" s="19">
        <v>119.3511</v>
      </c>
    </row>
    <row r="915" spans="1:2" x14ac:dyDescent="0.3">
      <c r="A915" s="18">
        <v>43024</v>
      </c>
      <c r="B915" s="19">
        <v>119.64060000000001</v>
      </c>
    </row>
    <row r="916" spans="1:2" x14ac:dyDescent="0.3">
      <c r="A916" s="18">
        <v>43025</v>
      </c>
      <c r="B916" s="19">
        <v>120.0415</v>
      </c>
    </row>
    <row r="917" spans="1:2" x14ac:dyDescent="0.3">
      <c r="A917" s="18">
        <v>43026</v>
      </c>
      <c r="B917" s="19">
        <v>119.86190000000001</v>
      </c>
    </row>
    <row r="918" spans="1:2" x14ac:dyDescent="0.3">
      <c r="A918" s="18">
        <v>43027</v>
      </c>
      <c r="B918" s="19">
        <v>119.577</v>
      </c>
    </row>
    <row r="919" spans="1:2" x14ac:dyDescent="0.3">
      <c r="A919" s="18">
        <v>43028</v>
      </c>
      <c r="B919" s="19">
        <v>120.1686</v>
      </c>
    </row>
    <row r="920" spans="1:2" x14ac:dyDescent="0.3">
      <c r="A920" s="18">
        <v>43031</v>
      </c>
      <c r="B920" s="19">
        <v>120.3749</v>
      </c>
    </row>
    <row r="921" spans="1:2" x14ac:dyDescent="0.3">
      <c r="A921" s="18">
        <v>43032</v>
      </c>
      <c r="B921" s="19">
        <v>120.5508</v>
      </c>
    </row>
    <row r="922" spans="1:2" x14ac:dyDescent="0.3">
      <c r="A922" s="18">
        <v>43033</v>
      </c>
      <c r="B922" s="19">
        <v>120.5407</v>
      </c>
    </row>
    <row r="923" spans="1:2" x14ac:dyDescent="0.3">
      <c r="A923" s="18">
        <v>43034</v>
      </c>
      <c r="B923" s="19">
        <v>120.78270000000001</v>
      </c>
    </row>
    <row r="924" spans="1:2" x14ac:dyDescent="0.3">
      <c r="A924" s="18">
        <v>43035</v>
      </c>
      <c r="B924" s="19">
        <v>121.3015</v>
      </c>
    </row>
    <row r="925" spans="1:2" x14ac:dyDescent="0.3">
      <c r="A925" s="18">
        <v>43038</v>
      </c>
      <c r="B925" s="19">
        <v>121.06270000000001</v>
      </c>
    </row>
    <row r="926" spans="1:2" x14ac:dyDescent="0.3">
      <c r="A926" s="18">
        <v>43039</v>
      </c>
      <c r="B926" s="19">
        <v>120.9444</v>
      </c>
    </row>
    <row r="927" spans="1:2" x14ac:dyDescent="0.3">
      <c r="A927" s="18">
        <v>43040</v>
      </c>
      <c r="B927" s="19">
        <v>120.8867</v>
      </c>
    </row>
    <row r="928" spans="1:2" x14ac:dyDescent="0.3">
      <c r="A928" s="18">
        <v>43041</v>
      </c>
      <c r="B928" s="19">
        <v>120.6253</v>
      </c>
    </row>
    <row r="929" spans="1:2" x14ac:dyDescent="0.3">
      <c r="A929" s="18">
        <v>43042</v>
      </c>
      <c r="B929" s="19">
        <v>121.0757</v>
      </c>
    </row>
    <row r="930" spans="1:2" x14ac:dyDescent="0.3">
      <c r="A930" s="18">
        <v>43045</v>
      </c>
      <c r="B930" s="19">
        <v>120.8408</v>
      </c>
    </row>
    <row r="931" spans="1:2" x14ac:dyDescent="0.3">
      <c r="A931" s="18">
        <v>43046</v>
      </c>
      <c r="B931" s="19">
        <v>121.084</v>
      </c>
    </row>
    <row r="932" spans="1:2" x14ac:dyDescent="0.3">
      <c r="A932" s="18">
        <v>43047</v>
      </c>
      <c r="B932" s="19">
        <v>120.80800000000001</v>
      </c>
    </row>
    <row r="933" spans="1:2" x14ac:dyDescent="0.3">
      <c r="A933" s="18">
        <v>43048</v>
      </c>
      <c r="B933" s="19">
        <v>120.702</v>
      </c>
    </row>
    <row r="934" spans="1:2" x14ac:dyDescent="0.3">
      <c r="A934" s="18">
        <v>43052</v>
      </c>
      <c r="B934" s="19">
        <v>120.9177</v>
      </c>
    </row>
    <row r="935" spans="1:2" x14ac:dyDescent="0.3">
      <c r="A935" s="18">
        <v>43053</v>
      </c>
      <c r="B935" s="19">
        <v>120.64960000000001</v>
      </c>
    </row>
    <row r="936" spans="1:2" x14ac:dyDescent="0.3">
      <c r="A936" s="18">
        <v>43054</v>
      </c>
      <c r="B936" s="19">
        <v>120.5898</v>
      </c>
    </row>
    <row r="937" spans="1:2" x14ac:dyDescent="0.3">
      <c r="A937" s="18">
        <v>43055</v>
      </c>
      <c r="B937" s="19">
        <v>120.3562</v>
      </c>
    </row>
    <row r="938" spans="1:2" x14ac:dyDescent="0.3">
      <c r="A938" s="18">
        <v>43056</v>
      </c>
      <c r="B938" s="19">
        <v>120.0765</v>
      </c>
    </row>
    <row r="939" spans="1:2" x14ac:dyDescent="0.3">
      <c r="A939" s="18">
        <v>43059</v>
      </c>
      <c r="B939" s="19">
        <v>120.3473</v>
      </c>
    </row>
    <row r="940" spans="1:2" x14ac:dyDescent="0.3">
      <c r="A940" s="18">
        <v>43060</v>
      </c>
      <c r="B940" s="19">
        <v>120.0523</v>
      </c>
    </row>
    <row r="941" spans="1:2" x14ac:dyDescent="0.3">
      <c r="A941" s="18">
        <v>43061</v>
      </c>
      <c r="B941" s="19">
        <v>119.5992</v>
      </c>
    </row>
    <row r="942" spans="1:2" x14ac:dyDescent="0.3">
      <c r="A942" s="18">
        <v>43063</v>
      </c>
      <c r="B942" s="19">
        <v>119.0493</v>
      </c>
    </row>
    <row r="943" spans="1:2" x14ac:dyDescent="0.3">
      <c r="A943" s="18">
        <v>43066</v>
      </c>
      <c r="B943" s="19">
        <v>119.1349</v>
      </c>
    </row>
    <row r="944" spans="1:2" x14ac:dyDescent="0.3">
      <c r="A944" s="18">
        <v>43067</v>
      </c>
      <c r="B944" s="19">
        <v>119.3079</v>
      </c>
    </row>
    <row r="945" spans="1:2" x14ac:dyDescent="0.3">
      <c r="A945" s="18">
        <v>43068</v>
      </c>
      <c r="B945" s="19">
        <v>119.3605</v>
      </c>
    </row>
    <row r="946" spans="1:2" x14ac:dyDescent="0.3">
      <c r="A946" s="18">
        <v>43069</v>
      </c>
      <c r="B946" s="19">
        <v>119.51779999999999</v>
      </c>
    </row>
    <row r="947" spans="1:2" x14ac:dyDescent="0.3">
      <c r="A947" s="18">
        <v>43070</v>
      </c>
      <c r="B947" s="19">
        <v>119.2166</v>
      </c>
    </row>
    <row r="948" spans="1:2" x14ac:dyDescent="0.3">
      <c r="A948" s="18">
        <v>43073</v>
      </c>
      <c r="B948" s="19">
        <v>119.4777</v>
      </c>
    </row>
    <row r="949" spans="1:2" x14ac:dyDescent="0.3">
      <c r="A949" s="18">
        <v>43074</v>
      </c>
      <c r="B949" s="19">
        <v>119.5711</v>
      </c>
    </row>
    <row r="950" spans="1:2" x14ac:dyDescent="0.3">
      <c r="A950" s="18">
        <v>43075</v>
      </c>
      <c r="B950" s="19">
        <v>119.9478</v>
      </c>
    </row>
    <row r="951" spans="1:2" x14ac:dyDescent="0.3">
      <c r="A951" s="18">
        <v>43076</v>
      </c>
      <c r="B951" s="19">
        <v>120.1026</v>
      </c>
    </row>
    <row r="952" spans="1:2" x14ac:dyDescent="0.3">
      <c r="A952" s="18">
        <v>43077</v>
      </c>
      <c r="B952" s="19">
        <v>120.3128</v>
      </c>
    </row>
    <row r="953" spans="1:2" x14ac:dyDescent="0.3">
      <c r="A953" s="18">
        <v>43080</v>
      </c>
      <c r="B953" s="19">
        <v>120.1665</v>
      </c>
    </row>
    <row r="954" spans="1:2" x14ac:dyDescent="0.3">
      <c r="A954" s="18">
        <v>43081</v>
      </c>
      <c r="B954" s="19">
        <v>120.61060000000001</v>
      </c>
    </row>
    <row r="955" spans="1:2" x14ac:dyDescent="0.3">
      <c r="A955" s="18">
        <v>43082</v>
      </c>
      <c r="B955" s="19">
        <v>120.35509999999999</v>
      </c>
    </row>
    <row r="956" spans="1:2" x14ac:dyDescent="0.3">
      <c r="A956" s="18">
        <v>43083</v>
      </c>
      <c r="B956" s="19">
        <v>120.1644</v>
      </c>
    </row>
    <row r="957" spans="1:2" x14ac:dyDescent="0.3">
      <c r="A957" s="18">
        <v>43084</v>
      </c>
      <c r="B957" s="19">
        <v>120.18859999999999</v>
      </c>
    </row>
    <row r="958" spans="1:2" x14ac:dyDescent="0.3">
      <c r="A958" s="18">
        <v>43087</v>
      </c>
      <c r="B958" s="19">
        <v>119.96980000000001</v>
      </c>
    </row>
    <row r="959" spans="1:2" x14ac:dyDescent="0.3">
      <c r="A959" s="18">
        <v>43088</v>
      </c>
      <c r="B959" s="19">
        <v>120.1876</v>
      </c>
    </row>
    <row r="960" spans="1:2" x14ac:dyDescent="0.3">
      <c r="A960" s="18">
        <v>43089</v>
      </c>
      <c r="B960" s="19">
        <v>119.86839999999999</v>
      </c>
    </row>
    <row r="961" spans="1:4" x14ac:dyDescent="0.3">
      <c r="A961" s="18">
        <v>43090</v>
      </c>
      <c r="B961" s="19">
        <v>119.92870000000001</v>
      </c>
    </row>
    <row r="962" spans="1:4" x14ac:dyDescent="0.3">
      <c r="A962" s="18">
        <v>43091</v>
      </c>
      <c r="B962" s="19">
        <v>120.1416</v>
      </c>
    </row>
    <row r="963" spans="1:4" x14ac:dyDescent="0.3">
      <c r="A963" s="18">
        <v>43095</v>
      </c>
      <c r="B963" s="19">
        <v>119.9781</v>
      </c>
    </row>
    <row r="964" spans="1:4" x14ac:dyDescent="0.3">
      <c r="A964" s="18">
        <v>43096</v>
      </c>
      <c r="B964" s="19">
        <v>119.88209999999999</v>
      </c>
    </row>
    <row r="965" spans="1:4" x14ac:dyDescent="0.3">
      <c r="A965" s="18">
        <v>43097</v>
      </c>
      <c r="B965" s="19">
        <v>119.5086</v>
      </c>
    </row>
    <row r="966" spans="1:4" x14ac:dyDescent="0.3">
      <c r="A966" s="18">
        <v>43098</v>
      </c>
      <c r="B966" s="19">
        <v>119.0471</v>
      </c>
      <c r="C966" s="19">
        <f>AVERAGE(B906:B966)</f>
        <v>120.06746721311475</v>
      </c>
      <c r="D966" t="s">
        <v>324</v>
      </c>
    </row>
    <row r="967" spans="1:4" x14ac:dyDescent="0.3">
      <c r="A967" s="18">
        <v>43102</v>
      </c>
      <c r="B967" s="19">
        <v>118.58029999999999</v>
      </c>
    </row>
    <row r="968" spans="1:4" x14ac:dyDescent="0.3">
      <c r="A968" s="18">
        <v>43103</v>
      </c>
      <c r="B968" s="19">
        <v>118.6052</v>
      </c>
    </row>
    <row r="969" spans="1:4" x14ac:dyDescent="0.3">
      <c r="A969" s="18">
        <v>43104</v>
      </c>
      <c r="B969" s="19">
        <v>118.3948</v>
      </c>
    </row>
    <row r="970" spans="1:4" x14ac:dyDescent="0.3">
      <c r="A970" s="18">
        <v>43105</v>
      </c>
      <c r="B970" s="19">
        <v>118.268</v>
      </c>
    </row>
    <row r="971" spans="1:4" x14ac:dyDescent="0.3">
      <c r="A971" s="18">
        <v>43108</v>
      </c>
      <c r="B971" s="19">
        <v>118.503</v>
      </c>
    </row>
    <row r="972" spans="1:4" x14ac:dyDescent="0.3">
      <c r="A972" s="18">
        <v>43109</v>
      </c>
      <c r="B972" s="19">
        <v>118.86539999999999</v>
      </c>
    </row>
    <row r="973" spans="1:4" x14ac:dyDescent="0.3">
      <c r="A973" s="18">
        <v>43110</v>
      </c>
      <c r="B973" s="19">
        <v>118.5504</v>
      </c>
    </row>
    <row r="974" spans="1:4" x14ac:dyDescent="0.3">
      <c r="A974" s="18">
        <v>43111</v>
      </c>
      <c r="B974" s="19">
        <v>118.3887</v>
      </c>
    </row>
    <row r="975" spans="1:4" x14ac:dyDescent="0.3">
      <c r="A975" s="18">
        <v>43112</v>
      </c>
      <c r="B975" s="19">
        <v>117.7672</v>
      </c>
    </row>
    <row r="976" spans="1:4" x14ac:dyDescent="0.3">
      <c r="A976" s="18">
        <v>43116</v>
      </c>
      <c r="B976" s="19">
        <v>117.1712</v>
      </c>
    </row>
    <row r="977" spans="1:2" x14ac:dyDescent="0.3">
      <c r="A977" s="18">
        <v>43117</v>
      </c>
      <c r="B977" s="19">
        <v>117.00060000000001</v>
      </c>
    </row>
    <row r="978" spans="1:2" x14ac:dyDescent="0.3">
      <c r="A978" s="18">
        <v>43118</v>
      </c>
      <c r="B978" s="19">
        <v>116.8991</v>
      </c>
    </row>
    <row r="979" spans="1:2" x14ac:dyDescent="0.3">
      <c r="A979" s="18">
        <v>43119</v>
      </c>
      <c r="B979" s="19">
        <v>116.7397</v>
      </c>
    </row>
    <row r="980" spans="1:2" x14ac:dyDescent="0.3">
      <c r="A980" s="18">
        <v>43122</v>
      </c>
      <c r="B980" s="19">
        <v>116.9237</v>
      </c>
    </row>
    <row r="981" spans="1:2" x14ac:dyDescent="0.3">
      <c r="A981" s="18">
        <v>43123</v>
      </c>
      <c r="B981" s="19">
        <v>116.813</v>
      </c>
    </row>
    <row r="982" spans="1:2" x14ac:dyDescent="0.3">
      <c r="A982" s="18">
        <v>43124</v>
      </c>
      <c r="B982" s="19">
        <v>115.8563</v>
      </c>
    </row>
    <row r="983" spans="1:2" x14ac:dyDescent="0.3">
      <c r="A983" s="18">
        <v>43125</v>
      </c>
      <c r="B983" s="19">
        <v>115.2149</v>
      </c>
    </row>
    <row r="984" spans="1:2" x14ac:dyDescent="0.3">
      <c r="A984" s="18">
        <v>43126</v>
      </c>
      <c r="B984" s="19">
        <v>115.3967</v>
      </c>
    </row>
    <row r="985" spans="1:2" x14ac:dyDescent="0.3">
      <c r="A985" s="18">
        <v>43129</v>
      </c>
      <c r="B985" s="19">
        <v>115.8373</v>
      </c>
    </row>
    <row r="986" spans="1:2" x14ac:dyDescent="0.3">
      <c r="A986" s="18">
        <v>43130</v>
      </c>
      <c r="B986" s="19">
        <v>115.8343</v>
      </c>
    </row>
    <row r="987" spans="1:2" x14ac:dyDescent="0.3">
      <c r="A987" s="18">
        <v>43131</v>
      </c>
      <c r="B987" s="19">
        <v>115.4529</v>
      </c>
    </row>
    <row r="988" spans="1:2" x14ac:dyDescent="0.3">
      <c r="A988" s="18">
        <v>43132</v>
      </c>
      <c r="B988" s="19">
        <v>115.1867</v>
      </c>
    </row>
    <row r="989" spans="1:2" x14ac:dyDescent="0.3">
      <c r="A989" s="18">
        <v>43133</v>
      </c>
      <c r="B989" s="19">
        <v>115.8271</v>
      </c>
    </row>
    <row r="990" spans="1:2" x14ac:dyDescent="0.3">
      <c r="A990" s="18">
        <v>43136</v>
      </c>
      <c r="B990" s="19">
        <v>117.04470000000001</v>
      </c>
    </row>
    <row r="991" spans="1:2" x14ac:dyDescent="0.3">
      <c r="A991" s="18">
        <v>43137</v>
      </c>
      <c r="B991" s="19">
        <v>117.2092</v>
      </c>
    </row>
    <row r="992" spans="1:2" x14ac:dyDescent="0.3">
      <c r="A992" s="18">
        <v>43138</v>
      </c>
      <c r="B992" s="19">
        <v>117.7398</v>
      </c>
    </row>
    <row r="993" spans="1:2" x14ac:dyDescent="0.3">
      <c r="A993" s="18">
        <v>43139</v>
      </c>
      <c r="B993" s="19">
        <v>118.4378</v>
      </c>
    </row>
    <row r="994" spans="1:2" x14ac:dyDescent="0.3">
      <c r="A994" s="18">
        <v>43140</v>
      </c>
      <c r="B994" s="19">
        <v>118.3327</v>
      </c>
    </row>
    <row r="995" spans="1:2" x14ac:dyDescent="0.3">
      <c r="A995" s="18">
        <v>43143</v>
      </c>
      <c r="B995" s="19">
        <v>118.1318</v>
      </c>
    </row>
    <row r="996" spans="1:2" x14ac:dyDescent="0.3">
      <c r="A996" s="18">
        <v>43144</v>
      </c>
      <c r="B996" s="19">
        <v>117.8681</v>
      </c>
    </row>
    <row r="997" spans="1:2" x14ac:dyDescent="0.3">
      <c r="A997" s="18">
        <v>43145</v>
      </c>
      <c r="B997" s="19">
        <v>117.56740000000001</v>
      </c>
    </row>
    <row r="998" spans="1:2" x14ac:dyDescent="0.3">
      <c r="A998" s="18">
        <v>43146</v>
      </c>
      <c r="B998" s="19">
        <v>117.0706</v>
      </c>
    </row>
    <row r="999" spans="1:2" x14ac:dyDescent="0.3">
      <c r="A999" s="18">
        <v>43147</v>
      </c>
      <c r="B999" s="19">
        <v>117.1116</v>
      </c>
    </row>
    <row r="1000" spans="1:2" x14ac:dyDescent="0.3">
      <c r="A1000" s="18">
        <v>43151</v>
      </c>
      <c r="B1000" s="19">
        <v>117.709</v>
      </c>
    </row>
    <row r="1001" spans="1:2" x14ac:dyDescent="0.3">
      <c r="A1001" s="18">
        <v>43152</v>
      </c>
      <c r="B1001" s="19">
        <v>117.95</v>
      </c>
    </row>
    <row r="1002" spans="1:2" x14ac:dyDescent="0.3">
      <c r="A1002" s="18">
        <v>43153</v>
      </c>
      <c r="B1002" s="19">
        <v>117.9866</v>
      </c>
    </row>
    <row r="1003" spans="1:2" x14ac:dyDescent="0.3">
      <c r="A1003" s="18">
        <v>43154</v>
      </c>
      <c r="B1003" s="19">
        <v>117.7761</v>
      </c>
    </row>
    <row r="1004" spans="1:2" x14ac:dyDescent="0.3">
      <c r="A1004" s="18">
        <v>43157</v>
      </c>
      <c r="B1004" s="19">
        <v>117.78440000000001</v>
      </c>
    </row>
    <row r="1005" spans="1:2" x14ac:dyDescent="0.3">
      <c r="A1005" s="18">
        <v>43158</v>
      </c>
      <c r="B1005" s="19">
        <v>118.252</v>
      </c>
    </row>
    <row r="1006" spans="1:2" x14ac:dyDescent="0.3">
      <c r="A1006" s="18">
        <v>43159</v>
      </c>
      <c r="B1006" s="19">
        <v>118.4674</v>
      </c>
    </row>
    <row r="1007" spans="1:2" x14ac:dyDescent="0.3">
      <c r="A1007" s="18">
        <v>43160</v>
      </c>
      <c r="B1007" s="19">
        <v>118.68770000000001</v>
      </c>
    </row>
    <row r="1008" spans="1:2" x14ac:dyDescent="0.3">
      <c r="A1008" s="18">
        <v>43164</v>
      </c>
      <c r="B1008" s="19">
        <v>118.4939</v>
      </c>
    </row>
    <row r="1009" spans="1:2" x14ac:dyDescent="0.3">
      <c r="A1009" s="18">
        <v>43165</v>
      </c>
      <c r="B1009" s="19">
        <v>117.86620000000001</v>
      </c>
    </row>
    <row r="1010" spans="1:2" x14ac:dyDescent="0.3">
      <c r="A1010" s="18">
        <v>43166</v>
      </c>
      <c r="B1010" s="19">
        <v>118.1871</v>
      </c>
    </row>
    <row r="1011" spans="1:2" x14ac:dyDescent="0.3">
      <c r="A1011" s="18">
        <v>43167</v>
      </c>
      <c r="B1011" s="19">
        <v>118.4087</v>
      </c>
    </row>
    <row r="1012" spans="1:2" x14ac:dyDescent="0.3">
      <c r="A1012" s="18">
        <v>43168</v>
      </c>
      <c r="B1012" s="19">
        <v>118.045</v>
      </c>
    </row>
    <row r="1013" spans="1:2" x14ac:dyDescent="0.3">
      <c r="A1013" s="18">
        <v>43171</v>
      </c>
      <c r="B1013" s="19">
        <v>118.0677</v>
      </c>
    </row>
    <row r="1014" spans="1:2" x14ac:dyDescent="0.3">
      <c r="A1014" s="18">
        <v>43172</v>
      </c>
      <c r="B1014" s="19">
        <v>117.8386</v>
      </c>
    </row>
    <row r="1015" spans="1:2" x14ac:dyDescent="0.3">
      <c r="A1015" s="18">
        <v>43173</v>
      </c>
      <c r="B1015" s="19">
        <v>117.9499</v>
      </c>
    </row>
    <row r="1016" spans="1:2" x14ac:dyDescent="0.3">
      <c r="A1016" s="18">
        <v>43174</v>
      </c>
      <c r="B1016" s="19">
        <v>118.3023</v>
      </c>
    </row>
    <row r="1017" spans="1:2" x14ac:dyDescent="0.3">
      <c r="A1017" s="18">
        <v>43175</v>
      </c>
      <c r="B1017" s="19">
        <v>118.5386</v>
      </c>
    </row>
    <row r="1018" spans="1:2" x14ac:dyDescent="0.3">
      <c r="A1018" s="18">
        <v>43178</v>
      </c>
      <c r="B1018" s="19">
        <v>118.4697</v>
      </c>
    </row>
    <row r="1019" spans="1:2" x14ac:dyDescent="0.3">
      <c r="A1019" s="18">
        <v>43179</v>
      </c>
      <c r="B1019" s="19">
        <v>118.65309999999999</v>
      </c>
    </row>
    <row r="1020" spans="1:2" x14ac:dyDescent="0.3">
      <c r="A1020" s="18">
        <v>43181</v>
      </c>
      <c r="B1020" s="19">
        <v>118.1591</v>
      </c>
    </row>
    <row r="1021" spans="1:2" x14ac:dyDescent="0.3">
      <c r="A1021" s="18">
        <v>43182</v>
      </c>
      <c r="B1021" s="19">
        <v>117.8978</v>
      </c>
    </row>
    <row r="1022" spans="1:2" x14ac:dyDescent="0.3">
      <c r="A1022" s="18">
        <v>43185</v>
      </c>
      <c r="B1022" s="19">
        <v>117.2848</v>
      </c>
    </row>
    <row r="1023" spans="1:2" x14ac:dyDescent="0.3">
      <c r="A1023" s="18">
        <v>43186</v>
      </c>
      <c r="B1023" s="19">
        <v>117.4453</v>
      </c>
    </row>
    <row r="1024" spans="1:2" x14ac:dyDescent="0.3">
      <c r="A1024" s="18">
        <v>43187</v>
      </c>
      <c r="B1024" s="19">
        <v>117.6919</v>
      </c>
    </row>
    <row r="1025" spans="1:4" x14ac:dyDescent="0.3">
      <c r="A1025" s="18">
        <v>43188</v>
      </c>
      <c r="B1025" s="19">
        <v>117.75709999999999</v>
      </c>
    </row>
    <row r="1026" spans="1:4" x14ac:dyDescent="0.3">
      <c r="A1026" s="18">
        <v>43189</v>
      </c>
      <c r="B1026" s="19">
        <v>117.5476</v>
      </c>
      <c r="C1026" s="19">
        <f>AVERAGE(B967:B1026)</f>
        <v>117.59679666666666</v>
      </c>
      <c r="D1026" t="s">
        <v>325</v>
      </c>
    </row>
    <row r="1027" spans="1:4" x14ac:dyDescent="0.3">
      <c r="A1027" s="18">
        <v>43192</v>
      </c>
      <c r="B1027" s="19">
        <v>117.77849999999999</v>
      </c>
    </row>
    <row r="1028" spans="1:4" x14ac:dyDescent="0.3">
      <c r="A1028" s="18">
        <v>43193</v>
      </c>
      <c r="B1028" s="19">
        <v>117.6617</v>
      </c>
    </row>
    <row r="1029" spans="1:4" x14ac:dyDescent="0.3">
      <c r="A1029" s="18">
        <v>43194</v>
      </c>
      <c r="B1029" s="19">
        <v>117.7659</v>
      </c>
    </row>
    <row r="1030" spans="1:4" x14ac:dyDescent="0.3">
      <c r="A1030" s="18">
        <v>43195</v>
      </c>
      <c r="B1030" s="19">
        <v>117.8583</v>
      </c>
    </row>
    <row r="1031" spans="1:4" x14ac:dyDescent="0.3">
      <c r="A1031" s="18">
        <v>43196</v>
      </c>
      <c r="B1031" s="19">
        <v>117.9479</v>
      </c>
    </row>
    <row r="1032" spans="1:4" x14ac:dyDescent="0.3">
      <c r="A1032" s="18">
        <v>43199</v>
      </c>
      <c r="B1032" s="19">
        <v>117.71510000000001</v>
      </c>
    </row>
    <row r="1033" spans="1:4" x14ac:dyDescent="0.3">
      <c r="A1033" s="18">
        <v>43200</v>
      </c>
      <c r="B1033" s="19">
        <v>117.5436</v>
      </c>
    </row>
    <row r="1034" spans="1:4" x14ac:dyDescent="0.3">
      <c r="A1034" s="18">
        <v>43201</v>
      </c>
      <c r="B1034" s="19">
        <v>117.27509999999999</v>
      </c>
    </row>
    <row r="1035" spans="1:4" x14ac:dyDescent="0.3">
      <c r="A1035" s="18">
        <v>43202</v>
      </c>
      <c r="B1035" s="19">
        <v>117.48399999999999</v>
      </c>
    </row>
    <row r="1036" spans="1:4" x14ac:dyDescent="0.3">
      <c r="A1036" s="18">
        <v>43203</v>
      </c>
      <c r="B1036" s="19">
        <v>117.41330000000001</v>
      </c>
    </row>
    <row r="1037" spans="1:4" x14ac:dyDescent="0.3">
      <c r="A1037" s="18">
        <v>43206</v>
      </c>
      <c r="B1037" s="19">
        <v>117.2731</v>
      </c>
    </row>
    <row r="1038" spans="1:4" x14ac:dyDescent="0.3">
      <c r="A1038" s="18">
        <v>43207</v>
      </c>
      <c r="B1038" s="19">
        <v>117.2452</v>
      </c>
    </row>
    <row r="1039" spans="1:4" x14ac:dyDescent="0.3">
      <c r="A1039" s="18">
        <v>43208</v>
      </c>
      <c r="B1039" s="19">
        <v>117.29130000000001</v>
      </c>
    </row>
    <row r="1040" spans="1:4" x14ac:dyDescent="0.3">
      <c r="A1040" s="18">
        <v>43209</v>
      </c>
      <c r="B1040" s="19">
        <v>117.7163</v>
      </c>
    </row>
    <row r="1041" spans="1:2" x14ac:dyDescent="0.3">
      <c r="A1041" s="18">
        <v>43210</v>
      </c>
      <c r="B1041" s="19">
        <v>118.3993</v>
      </c>
    </row>
    <row r="1042" spans="1:2" x14ac:dyDescent="0.3">
      <c r="A1042" s="18">
        <v>43213</v>
      </c>
      <c r="B1042" s="19">
        <v>119.226</v>
      </c>
    </row>
    <row r="1043" spans="1:2" x14ac:dyDescent="0.3">
      <c r="A1043" s="18">
        <v>43214</v>
      </c>
      <c r="B1043" s="19">
        <v>119.0615</v>
      </c>
    </row>
    <row r="1044" spans="1:2" x14ac:dyDescent="0.3">
      <c r="A1044" s="18">
        <v>43215</v>
      </c>
      <c r="B1044" s="19">
        <v>119.6656</v>
      </c>
    </row>
    <row r="1045" spans="1:2" x14ac:dyDescent="0.3">
      <c r="A1045" s="18">
        <v>43216</v>
      </c>
      <c r="B1045" s="19">
        <v>119.69240000000001</v>
      </c>
    </row>
    <row r="1046" spans="1:2" x14ac:dyDescent="0.3">
      <c r="A1046" s="18">
        <v>43217</v>
      </c>
      <c r="B1046" s="19">
        <v>119.4572</v>
      </c>
    </row>
    <row r="1047" spans="1:2" x14ac:dyDescent="0.3">
      <c r="A1047" s="18">
        <v>43220</v>
      </c>
      <c r="B1047" s="19">
        <v>119.6435</v>
      </c>
    </row>
    <row r="1048" spans="1:2" x14ac:dyDescent="0.3">
      <c r="A1048" s="18">
        <v>43221</v>
      </c>
      <c r="B1048" s="19">
        <v>120.0488</v>
      </c>
    </row>
    <row r="1049" spans="1:2" x14ac:dyDescent="0.3">
      <c r="A1049" s="18">
        <v>43222</v>
      </c>
      <c r="B1049" s="19">
        <v>120.5326</v>
      </c>
    </row>
    <row r="1050" spans="1:2" x14ac:dyDescent="0.3">
      <c r="A1050" s="18">
        <v>43223</v>
      </c>
      <c r="B1050" s="19">
        <v>120.5187</v>
      </c>
    </row>
    <row r="1051" spans="1:2" x14ac:dyDescent="0.3">
      <c r="A1051" s="18">
        <v>43224</v>
      </c>
      <c r="B1051" s="19">
        <v>120.5874</v>
      </c>
    </row>
    <row r="1052" spans="1:2" x14ac:dyDescent="0.3">
      <c r="A1052" s="18">
        <v>43227</v>
      </c>
      <c r="B1052" s="19">
        <v>120.9468</v>
      </c>
    </row>
    <row r="1053" spans="1:2" x14ac:dyDescent="0.3">
      <c r="A1053" s="18">
        <v>43228</v>
      </c>
      <c r="B1053" s="19">
        <v>121.4435</v>
      </c>
    </row>
    <row r="1054" spans="1:2" x14ac:dyDescent="0.3">
      <c r="A1054" s="18">
        <v>43229</v>
      </c>
      <c r="B1054" s="19">
        <v>121.2599</v>
      </c>
    </row>
    <row r="1055" spans="1:2" x14ac:dyDescent="0.3">
      <c r="A1055" s="18">
        <v>43230</v>
      </c>
      <c r="B1055" s="19">
        <v>120.7179</v>
      </c>
    </row>
    <row r="1056" spans="1:2" x14ac:dyDescent="0.3">
      <c r="A1056" s="18">
        <v>43231</v>
      </c>
      <c r="B1056" s="19">
        <v>120.5902</v>
      </c>
    </row>
    <row r="1057" spans="1:2" x14ac:dyDescent="0.3">
      <c r="A1057" s="18">
        <v>43234</v>
      </c>
      <c r="B1057" s="19">
        <v>120.7367</v>
      </c>
    </row>
    <row r="1058" spans="1:2" x14ac:dyDescent="0.3">
      <c r="A1058" s="18">
        <v>43235</v>
      </c>
      <c r="B1058" s="19">
        <v>121.6247</v>
      </c>
    </row>
    <row r="1059" spans="1:2" x14ac:dyDescent="0.3">
      <c r="A1059" s="18">
        <v>43236</v>
      </c>
      <c r="B1059" s="19">
        <v>121.69370000000001</v>
      </c>
    </row>
    <row r="1060" spans="1:2" x14ac:dyDescent="0.3">
      <c r="A1060" s="18">
        <v>43237</v>
      </c>
      <c r="B1060" s="19">
        <v>121.7543</v>
      </c>
    </row>
    <row r="1061" spans="1:2" x14ac:dyDescent="0.3">
      <c r="A1061" s="18">
        <v>43238</v>
      </c>
      <c r="B1061" s="19">
        <v>122.13720000000001</v>
      </c>
    </row>
    <row r="1062" spans="1:2" x14ac:dyDescent="0.3">
      <c r="A1062" s="18">
        <v>43241</v>
      </c>
      <c r="B1062" s="19">
        <v>122.0788</v>
      </c>
    </row>
    <row r="1063" spans="1:2" x14ac:dyDescent="0.3">
      <c r="A1063" s="18">
        <v>43242</v>
      </c>
      <c r="B1063" s="19">
        <v>121.5904</v>
      </c>
    </row>
    <row r="1064" spans="1:2" x14ac:dyDescent="0.3">
      <c r="A1064" s="18">
        <v>43243</v>
      </c>
      <c r="B1064" s="19">
        <v>122.10760000000001</v>
      </c>
    </row>
    <row r="1065" spans="1:2" x14ac:dyDescent="0.3">
      <c r="A1065" s="18">
        <v>43244</v>
      </c>
      <c r="B1065" s="19">
        <v>121.88720000000001</v>
      </c>
    </row>
    <row r="1066" spans="1:2" x14ac:dyDescent="0.3">
      <c r="A1066" s="18">
        <v>43245</v>
      </c>
      <c r="B1066" s="19">
        <v>121.98690000000001</v>
      </c>
    </row>
    <row r="1067" spans="1:2" x14ac:dyDescent="0.3">
      <c r="A1067" s="18">
        <v>43249</v>
      </c>
      <c r="B1067" s="19">
        <v>122.6587</v>
      </c>
    </row>
    <row r="1068" spans="1:2" x14ac:dyDescent="0.3">
      <c r="A1068" s="18">
        <v>43250</v>
      </c>
      <c r="B1068" s="19">
        <v>122.12390000000001</v>
      </c>
    </row>
    <row r="1069" spans="1:2" x14ac:dyDescent="0.3">
      <c r="A1069" s="18">
        <v>43251</v>
      </c>
      <c r="B1069" s="19">
        <v>122.4385</v>
      </c>
    </row>
    <row r="1070" spans="1:2" x14ac:dyDescent="0.3">
      <c r="A1070" s="18">
        <v>43252</v>
      </c>
      <c r="B1070" s="19">
        <v>122.288</v>
      </c>
    </row>
    <row r="1071" spans="1:2" x14ac:dyDescent="0.3">
      <c r="A1071" s="18">
        <v>43255</v>
      </c>
      <c r="B1071" s="19">
        <v>122.2627</v>
      </c>
    </row>
    <row r="1072" spans="1:2" x14ac:dyDescent="0.3">
      <c r="A1072" s="18">
        <v>43256</v>
      </c>
      <c r="B1072" s="19">
        <v>122.71769999999999</v>
      </c>
    </row>
    <row r="1073" spans="1:2" x14ac:dyDescent="0.3">
      <c r="A1073" s="18">
        <v>43257</v>
      </c>
      <c r="B1073" s="19">
        <v>122.1857</v>
      </c>
    </row>
    <row r="1074" spans="1:2" x14ac:dyDescent="0.3">
      <c r="A1074" s="18">
        <v>43258</v>
      </c>
      <c r="B1074" s="19">
        <v>122.52760000000001</v>
      </c>
    </row>
    <row r="1075" spans="1:2" x14ac:dyDescent="0.3">
      <c r="A1075" s="18">
        <v>43259</v>
      </c>
      <c r="B1075" s="19">
        <v>122.5787</v>
      </c>
    </row>
    <row r="1076" spans="1:2" x14ac:dyDescent="0.3">
      <c r="A1076" s="18">
        <v>43262</v>
      </c>
      <c r="B1076" s="19">
        <v>122.58410000000001</v>
      </c>
    </row>
    <row r="1077" spans="1:2" x14ac:dyDescent="0.3">
      <c r="A1077" s="18">
        <v>43263</v>
      </c>
      <c r="B1077" s="19">
        <v>122.6992</v>
      </c>
    </row>
    <row r="1078" spans="1:2" x14ac:dyDescent="0.3">
      <c r="A1078" s="18">
        <v>43264</v>
      </c>
      <c r="B1078" s="19">
        <v>122.7362</v>
      </c>
    </row>
    <row r="1079" spans="1:2" x14ac:dyDescent="0.3">
      <c r="A1079" s="18">
        <v>43265</v>
      </c>
      <c r="B1079" s="19">
        <v>123.33620000000001</v>
      </c>
    </row>
    <row r="1080" spans="1:2" x14ac:dyDescent="0.3">
      <c r="A1080" s="18">
        <v>43266</v>
      </c>
      <c r="B1080" s="19">
        <v>123.8937</v>
      </c>
    </row>
    <row r="1081" spans="1:2" x14ac:dyDescent="0.3">
      <c r="A1081" s="18">
        <v>43269</v>
      </c>
      <c r="B1081" s="19">
        <v>124.04510000000001</v>
      </c>
    </row>
    <row r="1082" spans="1:2" x14ac:dyDescent="0.3">
      <c r="A1082" s="18">
        <v>43270</v>
      </c>
      <c r="B1082" s="19">
        <v>124.24250000000001</v>
      </c>
    </row>
    <row r="1083" spans="1:2" x14ac:dyDescent="0.3">
      <c r="A1083" s="18">
        <v>43271</v>
      </c>
      <c r="B1083" s="19">
        <v>124.0655</v>
      </c>
    </row>
    <row r="1084" spans="1:2" x14ac:dyDescent="0.3">
      <c r="A1084" s="18">
        <v>43272</v>
      </c>
      <c r="B1084" s="19">
        <v>124.24379999999999</v>
      </c>
    </row>
    <row r="1085" spans="1:2" x14ac:dyDescent="0.3">
      <c r="A1085" s="18">
        <v>43273</v>
      </c>
      <c r="B1085" s="19">
        <v>123.9419</v>
      </c>
    </row>
    <row r="1086" spans="1:2" x14ac:dyDescent="0.3">
      <c r="A1086" s="18">
        <v>43276</v>
      </c>
      <c r="B1086" s="19">
        <v>124.00709999999999</v>
      </c>
    </row>
    <row r="1087" spans="1:2" x14ac:dyDescent="0.3">
      <c r="A1087" s="18">
        <v>43277</v>
      </c>
      <c r="B1087" s="19">
        <v>124.0701</v>
      </c>
    </row>
    <row r="1088" spans="1:2" x14ac:dyDescent="0.3">
      <c r="A1088" s="18">
        <v>43278</v>
      </c>
      <c r="B1088" s="19">
        <v>124.6998</v>
      </c>
    </row>
    <row r="1089" spans="1:4" x14ac:dyDescent="0.3">
      <c r="A1089" s="18">
        <v>43279</v>
      </c>
      <c r="B1089" s="19">
        <v>124.6752</v>
      </c>
    </row>
    <row r="1090" spans="1:4" x14ac:dyDescent="0.3">
      <c r="A1090" s="18">
        <v>43280</v>
      </c>
      <c r="B1090" s="19">
        <v>124.0902</v>
      </c>
      <c r="C1090" s="19">
        <f>AVERAGE(B1027:B1090)</f>
        <v>121.007346875</v>
      </c>
      <c r="D1090" t="s">
        <v>326</v>
      </c>
    </row>
    <row r="1091" spans="1:4" x14ac:dyDescent="0.3">
      <c r="A1091" s="18">
        <v>43283</v>
      </c>
      <c r="B1091" s="19">
        <v>125.11499999999999</v>
      </c>
    </row>
    <row r="1092" spans="1:4" x14ac:dyDescent="0.3">
      <c r="A1092" s="18">
        <v>43284</v>
      </c>
      <c r="B1092" s="19">
        <v>124.2052</v>
      </c>
    </row>
    <row r="1093" spans="1:4" x14ac:dyDescent="0.3">
      <c r="A1093" s="18">
        <v>43286</v>
      </c>
      <c r="B1093" s="19">
        <v>123.8557</v>
      </c>
    </row>
    <row r="1094" spans="1:4" x14ac:dyDescent="0.3">
      <c r="A1094" s="18">
        <v>43287</v>
      </c>
      <c r="B1094" s="19">
        <v>123.5223</v>
      </c>
    </row>
    <row r="1095" spans="1:4" x14ac:dyDescent="0.3">
      <c r="A1095" s="18">
        <v>43290</v>
      </c>
      <c r="B1095" s="19">
        <v>123.4684</v>
      </c>
    </row>
    <row r="1096" spans="1:4" x14ac:dyDescent="0.3">
      <c r="A1096" s="18">
        <v>43291</v>
      </c>
      <c r="B1096" s="19">
        <v>123.4375</v>
      </c>
    </row>
    <row r="1097" spans="1:4" x14ac:dyDescent="0.3">
      <c r="A1097" s="18">
        <v>43292</v>
      </c>
      <c r="B1097" s="19">
        <v>123.8013</v>
      </c>
    </row>
    <row r="1098" spans="1:4" x14ac:dyDescent="0.3">
      <c r="A1098" s="18">
        <v>43293</v>
      </c>
      <c r="B1098" s="19">
        <v>123.697</v>
      </c>
    </row>
    <row r="1099" spans="1:4" x14ac:dyDescent="0.3">
      <c r="A1099" s="18">
        <v>43294</v>
      </c>
      <c r="B1099" s="19">
        <v>124.04470000000001</v>
      </c>
    </row>
    <row r="1100" spans="1:4" x14ac:dyDescent="0.3">
      <c r="A1100" s="18">
        <v>43297</v>
      </c>
      <c r="B1100" s="19">
        <v>123.80549999999999</v>
      </c>
    </row>
    <row r="1101" spans="1:4" x14ac:dyDescent="0.3">
      <c r="A1101" s="18">
        <v>43298</v>
      </c>
      <c r="B1101" s="19">
        <v>124.129</v>
      </c>
    </row>
    <row r="1102" spans="1:4" x14ac:dyDescent="0.3">
      <c r="A1102" s="18">
        <v>43299</v>
      </c>
      <c r="B1102" s="19">
        <v>124.331</v>
      </c>
    </row>
    <row r="1103" spans="1:4" x14ac:dyDescent="0.3">
      <c r="A1103" s="18">
        <v>43300</v>
      </c>
      <c r="B1103" s="19">
        <v>125.02679999999999</v>
      </c>
    </row>
    <row r="1104" spans="1:4" x14ac:dyDescent="0.3">
      <c r="A1104" s="18">
        <v>43301</v>
      </c>
      <c r="B1104" s="19">
        <v>124.3986</v>
      </c>
    </row>
    <row r="1105" spans="1:2" x14ac:dyDescent="0.3">
      <c r="A1105" s="18">
        <v>43304</v>
      </c>
      <c r="B1105" s="19">
        <v>124.5591</v>
      </c>
    </row>
    <row r="1106" spans="1:2" x14ac:dyDescent="0.3">
      <c r="A1106" s="18">
        <v>43305</v>
      </c>
      <c r="B1106" s="19">
        <v>124.3202</v>
      </c>
    </row>
    <row r="1107" spans="1:2" x14ac:dyDescent="0.3">
      <c r="A1107" s="18">
        <v>43306</v>
      </c>
      <c r="B1107" s="19">
        <v>123.9892</v>
      </c>
    </row>
    <row r="1108" spans="1:2" x14ac:dyDescent="0.3">
      <c r="A1108" s="18">
        <v>43307</v>
      </c>
      <c r="B1108" s="19">
        <v>124.0102</v>
      </c>
    </row>
    <row r="1109" spans="1:2" x14ac:dyDescent="0.3">
      <c r="A1109" s="18">
        <v>43308</v>
      </c>
      <c r="B1109" s="19">
        <v>123.9187</v>
      </c>
    </row>
    <row r="1110" spans="1:2" x14ac:dyDescent="0.3">
      <c r="A1110" s="18">
        <v>43311</v>
      </c>
      <c r="B1110" s="19">
        <v>123.74</v>
      </c>
    </row>
    <row r="1111" spans="1:2" x14ac:dyDescent="0.3">
      <c r="A1111" s="18">
        <v>43312</v>
      </c>
      <c r="B1111" s="19">
        <v>123.86239999999999</v>
      </c>
    </row>
    <row r="1112" spans="1:2" x14ac:dyDescent="0.3">
      <c r="A1112" s="18">
        <v>43313</v>
      </c>
      <c r="B1112" s="19">
        <v>124.0491</v>
      </c>
    </row>
    <row r="1113" spans="1:2" x14ac:dyDescent="0.3">
      <c r="A1113" s="18">
        <v>43314</v>
      </c>
      <c r="B1113" s="19">
        <v>124.3622</v>
      </c>
    </row>
    <row r="1114" spans="1:2" x14ac:dyDescent="0.3">
      <c r="A1114" s="18">
        <v>43315</v>
      </c>
      <c r="B1114" s="19">
        <v>124.184</v>
      </c>
    </row>
    <row r="1115" spans="1:2" x14ac:dyDescent="0.3">
      <c r="A1115" s="18">
        <v>43318</v>
      </c>
      <c r="B1115" s="19">
        <v>124.4571</v>
      </c>
    </row>
    <row r="1116" spans="1:2" x14ac:dyDescent="0.3">
      <c r="A1116" s="18">
        <v>43319</v>
      </c>
      <c r="B1116" s="19">
        <v>124.158</v>
      </c>
    </row>
    <row r="1117" spans="1:2" x14ac:dyDescent="0.3">
      <c r="A1117" s="18">
        <v>43320</v>
      </c>
      <c r="B1117" s="19">
        <v>124.34220000000001</v>
      </c>
    </row>
    <row r="1118" spans="1:2" x14ac:dyDescent="0.3">
      <c r="A1118" s="18">
        <v>43321</v>
      </c>
      <c r="B1118" s="19">
        <v>124.5806</v>
      </c>
    </row>
    <row r="1119" spans="1:2" x14ac:dyDescent="0.3">
      <c r="A1119" s="18">
        <v>43322</v>
      </c>
      <c r="B1119" s="19">
        <v>125.55710000000001</v>
      </c>
    </row>
    <row r="1120" spans="1:2" x14ac:dyDescent="0.3">
      <c r="A1120" s="18">
        <v>43325</v>
      </c>
      <c r="B1120" s="19">
        <v>126.2071</v>
      </c>
    </row>
    <row r="1121" spans="1:2" x14ac:dyDescent="0.3">
      <c r="A1121" s="18">
        <v>43326</v>
      </c>
      <c r="B1121" s="19">
        <v>125.97839999999999</v>
      </c>
    </row>
    <row r="1122" spans="1:2" x14ac:dyDescent="0.3">
      <c r="A1122" s="18">
        <v>43327</v>
      </c>
      <c r="B1122" s="19">
        <v>126.5585</v>
      </c>
    </row>
    <row r="1123" spans="1:2" x14ac:dyDescent="0.3">
      <c r="A1123" s="18">
        <v>43328</v>
      </c>
      <c r="B1123" s="19">
        <v>125.9545</v>
      </c>
    </row>
    <row r="1124" spans="1:2" x14ac:dyDescent="0.3">
      <c r="A1124" s="18">
        <v>43329</v>
      </c>
      <c r="B1124" s="19">
        <v>125.8486</v>
      </c>
    </row>
    <row r="1125" spans="1:2" x14ac:dyDescent="0.3">
      <c r="A1125" s="18">
        <v>43332</v>
      </c>
      <c r="B1125" s="19">
        <v>125.63639999999999</v>
      </c>
    </row>
    <row r="1126" spans="1:2" x14ac:dyDescent="0.3">
      <c r="A1126" s="18">
        <v>43333</v>
      </c>
      <c r="B1126" s="19">
        <v>125.739</v>
      </c>
    </row>
    <row r="1127" spans="1:2" x14ac:dyDescent="0.3">
      <c r="A1127" s="18">
        <v>43334</v>
      </c>
      <c r="B1127" s="19">
        <v>125.54900000000001</v>
      </c>
    </row>
    <row r="1128" spans="1:2" x14ac:dyDescent="0.3">
      <c r="A1128" s="18">
        <v>43335</v>
      </c>
      <c r="B1128" s="19">
        <v>126.0393</v>
      </c>
    </row>
    <row r="1129" spans="1:2" x14ac:dyDescent="0.3">
      <c r="A1129" s="18">
        <v>43336</v>
      </c>
      <c r="B1129" s="19">
        <v>125.4264</v>
      </c>
    </row>
    <row r="1130" spans="1:2" x14ac:dyDescent="0.3">
      <c r="A1130" s="18">
        <v>43339</v>
      </c>
      <c r="B1130" s="19">
        <v>125.1053</v>
      </c>
    </row>
    <row r="1131" spans="1:2" x14ac:dyDescent="0.3">
      <c r="A1131" s="18">
        <v>43340</v>
      </c>
      <c r="B1131" s="19">
        <v>125.17919999999999</v>
      </c>
    </row>
    <row r="1132" spans="1:2" x14ac:dyDescent="0.3">
      <c r="A1132" s="18">
        <v>43341</v>
      </c>
      <c r="B1132" s="19">
        <v>125.5459</v>
      </c>
    </row>
    <row r="1133" spans="1:2" x14ac:dyDescent="0.3">
      <c r="A1133" s="18">
        <v>43342</v>
      </c>
      <c r="B1133" s="19">
        <v>126.0355</v>
      </c>
    </row>
    <row r="1134" spans="1:2" x14ac:dyDescent="0.3">
      <c r="A1134" s="18">
        <v>43343</v>
      </c>
      <c r="B1134" s="19">
        <v>126.18980000000001</v>
      </c>
    </row>
    <row r="1135" spans="1:2" x14ac:dyDescent="0.3">
      <c r="A1135" s="18">
        <v>43347</v>
      </c>
      <c r="B1135" s="19">
        <v>126.7975</v>
      </c>
    </row>
    <row r="1136" spans="1:2" x14ac:dyDescent="0.3">
      <c r="A1136" s="18">
        <v>43348</v>
      </c>
      <c r="B1136" s="19">
        <v>126.6803</v>
      </c>
    </row>
    <row r="1137" spans="1:2" x14ac:dyDescent="0.3">
      <c r="A1137" s="18">
        <v>43349</v>
      </c>
      <c r="B1137" s="19">
        <v>126.5885</v>
      </c>
    </row>
    <row r="1138" spans="1:2" x14ac:dyDescent="0.3">
      <c r="A1138" s="18">
        <v>43350</v>
      </c>
      <c r="B1138" s="19">
        <v>126.53619999999999</v>
      </c>
    </row>
    <row r="1139" spans="1:2" x14ac:dyDescent="0.3">
      <c r="A1139" s="18">
        <v>43353</v>
      </c>
      <c r="B1139" s="19">
        <v>126.6735</v>
      </c>
    </row>
    <row r="1140" spans="1:2" x14ac:dyDescent="0.3">
      <c r="A1140" s="18">
        <v>43354</v>
      </c>
      <c r="B1140" s="19">
        <v>126.7097</v>
      </c>
    </row>
    <row r="1141" spans="1:2" x14ac:dyDescent="0.3">
      <c r="A1141" s="18">
        <v>43355</v>
      </c>
      <c r="B1141" s="19">
        <v>126.1974</v>
      </c>
    </row>
    <row r="1142" spans="1:2" x14ac:dyDescent="0.3">
      <c r="A1142" s="18">
        <v>43356</v>
      </c>
      <c r="B1142" s="19">
        <v>125.8869</v>
      </c>
    </row>
    <row r="1143" spans="1:2" x14ac:dyDescent="0.3">
      <c r="A1143" s="18">
        <v>43357</v>
      </c>
      <c r="B1143" s="19">
        <v>126.0604</v>
      </c>
    </row>
    <row r="1144" spans="1:2" x14ac:dyDescent="0.3">
      <c r="A1144" s="18">
        <v>43360</v>
      </c>
      <c r="B1144" s="19">
        <v>125.8909</v>
      </c>
    </row>
    <row r="1145" spans="1:2" x14ac:dyDescent="0.3">
      <c r="A1145" s="18">
        <v>43361</v>
      </c>
      <c r="B1145" s="19">
        <v>125.74469999999999</v>
      </c>
    </row>
    <row r="1146" spans="1:2" x14ac:dyDescent="0.3">
      <c r="A1146" s="18">
        <v>43362</v>
      </c>
      <c r="B1146" s="19">
        <v>125.6036</v>
      </c>
    </row>
    <row r="1147" spans="1:2" x14ac:dyDescent="0.3">
      <c r="A1147" s="18">
        <v>43363</v>
      </c>
      <c r="B1147" s="19">
        <v>125.4496</v>
      </c>
    </row>
    <row r="1148" spans="1:2" x14ac:dyDescent="0.3">
      <c r="A1148" s="18">
        <v>43364</v>
      </c>
      <c r="B1148" s="19">
        <v>125.4405</v>
      </c>
    </row>
    <row r="1149" spans="1:2" x14ac:dyDescent="0.3">
      <c r="A1149" s="18">
        <v>43367</v>
      </c>
      <c r="B1149" s="19">
        <v>125.4706</v>
      </c>
    </row>
    <row r="1150" spans="1:2" x14ac:dyDescent="0.3">
      <c r="A1150" s="18">
        <v>43368</v>
      </c>
      <c r="B1150" s="19">
        <v>125.6824</v>
      </c>
    </row>
    <row r="1151" spans="1:2" x14ac:dyDescent="0.3">
      <c r="A1151" s="18">
        <v>43369</v>
      </c>
      <c r="B1151" s="19">
        <v>125.6497</v>
      </c>
    </row>
    <row r="1152" spans="1:2" x14ac:dyDescent="0.3">
      <c r="A1152" s="18">
        <v>43370</v>
      </c>
      <c r="B1152" s="19">
        <v>125.9495</v>
      </c>
    </row>
    <row r="1153" spans="1:4" x14ac:dyDescent="0.3">
      <c r="A1153" s="18">
        <v>43371</v>
      </c>
      <c r="B1153" s="19">
        <v>125.7435</v>
      </c>
      <c r="C1153" s="19">
        <f>AVERAGE(B1091:B1153)</f>
        <v>125.12184761904763</v>
      </c>
      <c r="D1153" t="s">
        <v>327</v>
      </c>
    </row>
    <row r="1154" spans="1:4" x14ac:dyDescent="0.3">
      <c r="A1154" s="18">
        <v>43374</v>
      </c>
      <c r="B1154" s="19">
        <v>125.7557</v>
      </c>
    </row>
    <row r="1155" spans="1:4" x14ac:dyDescent="0.3">
      <c r="A1155" s="18">
        <v>43375</v>
      </c>
      <c r="B1155" s="19">
        <v>125.8272</v>
      </c>
    </row>
    <row r="1156" spans="1:4" x14ac:dyDescent="0.3">
      <c r="A1156" s="18">
        <v>43376</v>
      </c>
      <c r="B1156" s="19">
        <v>126.1101</v>
      </c>
    </row>
    <row r="1157" spans="1:4" x14ac:dyDescent="0.3">
      <c r="A1157" s="18">
        <v>43377</v>
      </c>
      <c r="B1157" s="19">
        <v>126.68259999999999</v>
      </c>
    </row>
    <row r="1158" spans="1:4" x14ac:dyDescent="0.3">
      <c r="A1158" s="18">
        <v>43378</v>
      </c>
      <c r="B1158" s="19">
        <v>126.5577</v>
      </c>
    </row>
    <row r="1159" spans="1:4" x14ac:dyDescent="0.3">
      <c r="A1159" s="18">
        <v>43382</v>
      </c>
      <c r="B1159" s="19">
        <v>126.7269</v>
      </c>
    </row>
    <row r="1160" spans="1:4" x14ac:dyDescent="0.3">
      <c r="A1160" s="18">
        <v>43383</v>
      </c>
      <c r="B1160" s="19">
        <v>126.69410000000001</v>
      </c>
    </row>
    <row r="1161" spans="1:4" x14ac:dyDescent="0.3">
      <c r="A1161" s="18">
        <v>43384</v>
      </c>
      <c r="B1161" s="19">
        <v>126.42440000000001</v>
      </c>
    </row>
    <row r="1162" spans="1:4" x14ac:dyDescent="0.3">
      <c r="A1162" s="18">
        <v>43385</v>
      </c>
      <c r="B1162" s="19">
        <v>126.41030000000001</v>
      </c>
    </row>
    <row r="1163" spans="1:4" x14ac:dyDescent="0.3">
      <c r="A1163" s="18">
        <v>43388</v>
      </c>
      <c r="B1163" s="19">
        <v>126.0664</v>
      </c>
    </row>
    <row r="1164" spans="1:4" x14ac:dyDescent="0.3">
      <c r="A1164" s="18">
        <v>43389</v>
      </c>
      <c r="B1164" s="19">
        <v>125.9068</v>
      </c>
    </row>
    <row r="1165" spans="1:4" x14ac:dyDescent="0.3">
      <c r="A1165" s="18">
        <v>43390</v>
      </c>
      <c r="B1165" s="19">
        <v>126.2</v>
      </c>
    </row>
    <row r="1166" spans="1:4" x14ac:dyDescent="0.3">
      <c r="A1166" s="18">
        <v>43391</v>
      </c>
      <c r="B1166" s="19">
        <v>126.88509999999999</v>
      </c>
    </row>
    <row r="1167" spans="1:4" x14ac:dyDescent="0.3">
      <c r="A1167" s="18">
        <v>43392</v>
      </c>
      <c r="B1167" s="19">
        <v>126.90819999999999</v>
      </c>
    </row>
    <row r="1168" spans="1:4" x14ac:dyDescent="0.3">
      <c r="A1168" s="18">
        <v>43395</v>
      </c>
      <c r="B1168" s="19">
        <v>127.25279999999999</v>
      </c>
    </row>
    <row r="1169" spans="1:2" x14ac:dyDescent="0.3">
      <c r="A1169" s="18">
        <v>43396</v>
      </c>
      <c r="B1169" s="19">
        <v>127.2405</v>
      </c>
    </row>
    <row r="1170" spans="1:2" x14ac:dyDescent="0.3">
      <c r="A1170" s="18">
        <v>43397</v>
      </c>
      <c r="B1170" s="19">
        <v>127.4632</v>
      </c>
    </row>
    <row r="1171" spans="1:2" x14ac:dyDescent="0.3">
      <c r="A1171" s="18">
        <v>43398</v>
      </c>
      <c r="B1171" s="19">
        <v>127.5598</v>
      </c>
    </row>
    <row r="1172" spans="1:2" x14ac:dyDescent="0.3">
      <c r="A1172" s="18">
        <v>43399</v>
      </c>
      <c r="B1172" s="19">
        <v>127.5457</v>
      </c>
    </row>
    <row r="1173" spans="1:2" x14ac:dyDescent="0.3">
      <c r="A1173" s="18">
        <v>43402</v>
      </c>
      <c r="B1173" s="19">
        <v>128.01320000000001</v>
      </c>
    </row>
    <row r="1174" spans="1:2" x14ac:dyDescent="0.3">
      <c r="A1174" s="18">
        <v>43403</v>
      </c>
      <c r="B1174" s="19">
        <v>128.3623</v>
      </c>
    </row>
    <row r="1175" spans="1:2" x14ac:dyDescent="0.3">
      <c r="A1175" s="18">
        <v>43404</v>
      </c>
      <c r="B1175" s="19">
        <v>128.68100000000001</v>
      </c>
    </row>
    <row r="1176" spans="1:2" x14ac:dyDescent="0.3">
      <c r="A1176" s="18">
        <v>43405</v>
      </c>
      <c r="B1176" s="19">
        <v>127.9457</v>
      </c>
    </row>
    <row r="1177" spans="1:2" x14ac:dyDescent="0.3">
      <c r="A1177" s="18">
        <v>43406</v>
      </c>
      <c r="B1177" s="19">
        <v>127.66759999999999</v>
      </c>
    </row>
    <row r="1178" spans="1:2" x14ac:dyDescent="0.3">
      <c r="A1178" s="18">
        <v>43409</v>
      </c>
      <c r="B1178" s="19">
        <v>127.7882</v>
      </c>
    </row>
    <row r="1179" spans="1:2" x14ac:dyDescent="0.3">
      <c r="A1179" s="18">
        <v>43410</v>
      </c>
      <c r="B1179" s="19">
        <v>127.6388</v>
      </c>
    </row>
    <row r="1180" spans="1:2" x14ac:dyDescent="0.3">
      <c r="A1180" s="18">
        <v>43411</v>
      </c>
      <c r="B1180" s="19">
        <v>127.3236</v>
      </c>
    </row>
    <row r="1181" spans="1:2" x14ac:dyDescent="0.3">
      <c r="A1181" s="18">
        <v>43412</v>
      </c>
      <c r="B1181" s="19">
        <v>127.7589</v>
      </c>
    </row>
    <row r="1182" spans="1:2" x14ac:dyDescent="0.3">
      <c r="A1182" s="18">
        <v>43413</v>
      </c>
      <c r="B1182" s="19">
        <v>128.64709999999999</v>
      </c>
    </row>
    <row r="1183" spans="1:2" x14ac:dyDescent="0.3">
      <c r="A1183" s="18">
        <v>43417</v>
      </c>
      <c r="B1183" s="19">
        <v>128.86179999999999</v>
      </c>
    </row>
    <row r="1184" spans="1:2" x14ac:dyDescent="0.3">
      <c r="A1184" s="18">
        <v>43418</v>
      </c>
      <c r="B1184" s="19">
        <v>128.66560000000001</v>
      </c>
    </row>
    <row r="1185" spans="1:2" x14ac:dyDescent="0.3">
      <c r="A1185" s="18">
        <v>43419</v>
      </c>
      <c r="B1185" s="19">
        <v>128.48570000000001</v>
      </c>
    </row>
    <row r="1186" spans="1:2" x14ac:dyDescent="0.3">
      <c r="A1186" s="18">
        <v>43420</v>
      </c>
      <c r="B1186" s="19">
        <v>128.0171</v>
      </c>
    </row>
    <row r="1187" spans="1:2" x14ac:dyDescent="0.3">
      <c r="A1187" s="18">
        <v>43423</v>
      </c>
      <c r="B1187" s="19">
        <v>128.10140000000001</v>
      </c>
    </row>
    <row r="1188" spans="1:2" x14ac:dyDescent="0.3">
      <c r="A1188" s="18">
        <v>43424</v>
      </c>
      <c r="B1188" s="19">
        <v>128.37029999999999</v>
      </c>
    </row>
    <row r="1189" spans="1:2" x14ac:dyDescent="0.3">
      <c r="A1189" s="18">
        <v>43425</v>
      </c>
      <c r="B1189" s="19">
        <v>128.18260000000001</v>
      </c>
    </row>
    <row r="1190" spans="1:2" x14ac:dyDescent="0.3">
      <c r="A1190" s="18">
        <v>43427</v>
      </c>
      <c r="B1190" s="19">
        <v>128.6386</v>
      </c>
    </row>
    <row r="1191" spans="1:2" x14ac:dyDescent="0.3">
      <c r="A1191" s="18">
        <v>43430</v>
      </c>
      <c r="B1191" s="19">
        <v>128.79560000000001</v>
      </c>
    </row>
    <row r="1192" spans="1:2" x14ac:dyDescent="0.3">
      <c r="A1192" s="18">
        <v>43431</v>
      </c>
      <c r="B1192" s="19">
        <v>129.0857</v>
      </c>
    </row>
    <row r="1193" spans="1:2" x14ac:dyDescent="0.3">
      <c r="A1193" s="18">
        <v>43432</v>
      </c>
      <c r="B1193" s="19">
        <v>129.02930000000001</v>
      </c>
    </row>
    <row r="1194" spans="1:2" x14ac:dyDescent="0.3">
      <c r="A1194" s="18">
        <v>43433</v>
      </c>
      <c r="B1194" s="19">
        <v>128.3571</v>
      </c>
    </row>
    <row r="1195" spans="1:2" x14ac:dyDescent="0.3">
      <c r="A1195" s="18">
        <v>43434</v>
      </c>
      <c r="B1195" s="19">
        <v>128.60040000000001</v>
      </c>
    </row>
    <row r="1196" spans="1:2" x14ac:dyDescent="0.3">
      <c r="A1196" s="18">
        <v>43437</v>
      </c>
      <c r="B1196" s="19">
        <v>128.06229999999999</v>
      </c>
    </row>
    <row r="1197" spans="1:2" x14ac:dyDescent="0.3">
      <c r="A1197" s="18">
        <v>43438</v>
      </c>
      <c r="B1197" s="19">
        <v>128.10720000000001</v>
      </c>
    </row>
    <row r="1198" spans="1:2" x14ac:dyDescent="0.3">
      <c r="A1198" s="18">
        <v>43440</v>
      </c>
      <c r="B1198" s="19">
        <v>128.62610000000001</v>
      </c>
    </row>
    <row r="1199" spans="1:2" x14ac:dyDescent="0.3">
      <c r="A1199" s="18">
        <v>43441</v>
      </c>
      <c r="B1199" s="19">
        <v>128.28989999999999</v>
      </c>
    </row>
    <row r="1200" spans="1:2" x14ac:dyDescent="0.3">
      <c r="A1200" s="18">
        <v>43444</v>
      </c>
      <c r="B1200" s="19">
        <v>128.9331</v>
      </c>
    </row>
    <row r="1201" spans="1:4" x14ac:dyDescent="0.3">
      <c r="A1201" s="18">
        <v>43445</v>
      </c>
      <c r="B1201" s="19">
        <v>129.0316</v>
      </c>
    </row>
    <row r="1202" spans="1:4" x14ac:dyDescent="0.3">
      <c r="A1202" s="18">
        <v>43446</v>
      </c>
      <c r="B1202" s="19">
        <v>128.47739999999999</v>
      </c>
    </row>
    <row r="1203" spans="1:4" x14ac:dyDescent="0.3">
      <c r="A1203" s="18">
        <v>43447</v>
      </c>
      <c r="B1203" s="19">
        <v>128.69380000000001</v>
      </c>
    </row>
    <row r="1204" spans="1:4" x14ac:dyDescent="0.3">
      <c r="A1204" s="18">
        <v>43448</v>
      </c>
      <c r="B1204" s="19">
        <v>129.12639999999999</v>
      </c>
    </row>
    <row r="1205" spans="1:4" x14ac:dyDescent="0.3">
      <c r="A1205" s="18">
        <v>43451</v>
      </c>
      <c r="B1205" s="19">
        <v>128.7972</v>
      </c>
    </row>
    <row r="1206" spans="1:4" x14ac:dyDescent="0.3">
      <c r="A1206" s="18">
        <v>43452</v>
      </c>
      <c r="B1206" s="19">
        <v>128.78139999999999</v>
      </c>
    </row>
    <row r="1207" spans="1:4" x14ac:dyDescent="0.3">
      <c r="A1207" s="18">
        <v>43453</v>
      </c>
      <c r="B1207" s="19">
        <v>128.41919999999999</v>
      </c>
    </row>
    <row r="1208" spans="1:4" x14ac:dyDescent="0.3">
      <c r="A1208" s="18">
        <v>43454</v>
      </c>
      <c r="B1208" s="19">
        <v>128.381</v>
      </c>
    </row>
    <row r="1209" spans="1:4" x14ac:dyDescent="0.3">
      <c r="A1209" s="18">
        <v>43455</v>
      </c>
      <c r="B1209" s="19">
        <v>128.62289999999999</v>
      </c>
    </row>
    <row r="1210" spans="1:4" x14ac:dyDescent="0.3">
      <c r="A1210" s="18">
        <v>43458</v>
      </c>
      <c r="B1210" s="19">
        <v>128.61519999999999</v>
      </c>
    </row>
    <row r="1211" spans="1:4" x14ac:dyDescent="0.3">
      <c r="A1211" s="18">
        <v>43460</v>
      </c>
      <c r="B1211" s="19">
        <v>128.5052</v>
      </c>
    </row>
    <row r="1212" spans="1:4" x14ac:dyDescent="0.3">
      <c r="A1212" s="18">
        <v>43461</v>
      </c>
      <c r="B1212" s="19">
        <v>128.35830000000001</v>
      </c>
    </row>
    <row r="1213" spans="1:4" x14ac:dyDescent="0.3">
      <c r="A1213" s="18">
        <v>43462</v>
      </c>
      <c r="B1213" s="19">
        <v>128.1009</v>
      </c>
    </row>
    <row r="1214" spans="1:4" x14ac:dyDescent="0.3">
      <c r="A1214" s="18">
        <v>43465</v>
      </c>
      <c r="B1214" s="19">
        <v>127.9541</v>
      </c>
      <c r="C1214" s="19">
        <f>AVERAGE(B1154:B1214)</f>
        <v>127.85439836065578</v>
      </c>
      <c r="D1214" t="s">
        <v>328</v>
      </c>
    </row>
    <row r="1215" spans="1:4" x14ac:dyDescent="0.3">
      <c r="A1215" s="275">
        <v>43467</v>
      </c>
      <c r="B1215" s="276">
        <v>128.09049999999999</v>
      </c>
    </row>
    <row r="1216" spans="1:4" x14ac:dyDescent="0.3">
      <c r="A1216" s="275">
        <v>43468</v>
      </c>
      <c r="B1216" s="276">
        <v>127.80110000000001</v>
      </c>
    </row>
    <row r="1217" spans="1:5" x14ac:dyDescent="0.3">
      <c r="A1217" s="275">
        <v>43469</v>
      </c>
      <c r="B1217" s="276">
        <v>127.29940000000001</v>
      </c>
    </row>
    <row r="1218" spans="1:5" x14ac:dyDescent="0.3">
      <c r="A1218" s="275">
        <v>43472</v>
      </c>
      <c r="B1218" s="276">
        <v>126.8464</v>
      </c>
    </row>
    <row r="1219" spans="1:5" x14ac:dyDescent="0.3">
      <c r="A1219" s="275">
        <v>43473</v>
      </c>
      <c r="B1219" s="276">
        <v>127.03830000000001</v>
      </c>
    </row>
    <row r="1220" spans="1:5" x14ac:dyDescent="0.3">
      <c r="A1220" s="275">
        <v>43474</v>
      </c>
      <c r="B1220" s="276">
        <v>126.37730000000001</v>
      </c>
    </row>
    <row r="1221" spans="1:5" x14ac:dyDescent="0.3">
      <c r="A1221" s="275">
        <v>43475</v>
      </c>
      <c r="B1221" s="276">
        <v>126.2563</v>
      </c>
    </row>
    <row r="1222" spans="1:5" x14ac:dyDescent="0.3">
      <c r="A1222" s="275">
        <v>43476</v>
      </c>
      <c r="B1222" s="276">
        <v>126.2047</v>
      </c>
    </row>
    <row r="1223" spans="1:5" x14ac:dyDescent="0.3">
      <c r="A1223" s="275">
        <v>43480</v>
      </c>
      <c r="B1223" s="276">
        <v>126.52200000000001</v>
      </c>
    </row>
    <row r="1224" spans="1:5" x14ac:dyDescent="0.3">
      <c r="A1224" s="275">
        <v>43481</v>
      </c>
      <c r="B1224" s="276">
        <v>126.30929999999999</v>
      </c>
    </row>
    <row r="1225" spans="1:5" x14ac:dyDescent="0.3">
      <c r="A1225" s="275">
        <v>43482</v>
      </c>
      <c r="B1225" s="276">
        <v>126.64830000000001</v>
      </c>
    </row>
    <row r="1226" spans="1:5" x14ac:dyDescent="0.3">
      <c r="A1226" s="275">
        <v>43483</v>
      </c>
      <c r="B1226" s="276">
        <v>126.7962</v>
      </c>
    </row>
    <row r="1227" spans="1:5" x14ac:dyDescent="0.3">
      <c r="A1227" s="275">
        <v>43487</v>
      </c>
      <c r="B1227" s="276">
        <v>127.11669999999999</v>
      </c>
    </row>
    <row r="1228" spans="1:5" x14ac:dyDescent="0.3">
      <c r="A1228" s="275">
        <v>43488</v>
      </c>
      <c r="B1228" s="276">
        <v>126.9192</v>
      </c>
    </row>
    <row r="1229" spans="1:5" x14ac:dyDescent="0.3">
      <c r="A1229" s="275">
        <v>43489</v>
      </c>
      <c r="B1229" s="276">
        <v>126.96169999999999</v>
      </c>
    </row>
    <row r="1230" spans="1:5" x14ac:dyDescent="0.3">
      <c r="A1230" s="275">
        <v>43490</v>
      </c>
      <c r="B1230" s="276">
        <v>126.3092</v>
      </c>
    </row>
    <row r="1231" spans="1:5" x14ac:dyDescent="0.3">
      <c r="A1231" s="275">
        <v>43493</v>
      </c>
      <c r="B1231" s="276">
        <v>126.39749999999999</v>
      </c>
      <c r="D1231" s="20">
        <f>AVERAGE(B1215:B1231)</f>
        <v>126.8173</v>
      </c>
      <c r="E1231" t="s">
        <v>331</v>
      </c>
    </row>
    <row r="1232" spans="1:5" x14ac:dyDescent="0.3">
      <c r="A1232" s="277">
        <v>43494</v>
      </c>
      <c r="B1232" s="278">
        <v>126.4248</v>
      </c>
      <c r="D1232" s="20">
        <f>AVERAGE(B1232:B1273)</f>
        <v>126.96886904761905</v>
      </c>
      <c r="E1232" t="s">
        <v>330</v>
      </c>
    </row>
    <row r="1233" spans="1:5" x14ac:dyDescent="0.3">
      <c r="A1233" s="277">
        <v>43495</v>
      </c>
      <c r="B1233" s="278">
        <v>126.42740000000001</v>
      </c>
      <c r="E1233" t="s">
        <v>332</v>
      </c>
    </row>
    <row r="1234" spans="1:5" x14ac:dyDescent="0.3">
      <c r="A1234" s="277">
        <v>43496</v>
      </c>
      <c r="B1234" s="278">
        <v>125.8651</v>
      </c>
    </row>
    <row r="1235" spans="1:5" x14ac:dyDescent="0.3">
      <c r="A1235" s="277">
        <v>43497</v>
      </c>
      <c r="B1235" s="278">
        <v>126.16079999999999</v>
      </c>
    </row>
    <row r="1236" spans="1:5" x14ac:dyDescent="0.3">
      <c r="A1236" s="277">
        <v>43500</v>
      </c>
      <c r="B1236" s="278">
        <v>126.2739</v>
      </c>
    </row>
    <row r="1237" spans="1:5" x14ac:dyDescent="0.3">
      <c r="A1237" s="277">
        <v>43501</v>
      </c>
      <c r="B1237" s="278">
        <v>126.42100000000001</v>
      </c>
    </row>
    <row r="1238" spans="1:5" x14ac:dyDescent="0.3">
      <c r="A1238" s="277">
        <v>43502</v>
      </c>
      <c r="B1238" s="278">
        <v>126.6091</v>
      </c>
    </row>
    <row r="1239" spans="1:5" x14ac:dyDescent="0.3">
      <c r="A1239" s="277">
        <v>43503</v>
      </c>
      <c r="B1239" s="278">
        <v>126.81950000000001</v>
      </c>
    </row>
    <row r="1240" spans="1:5" x14ac:dyDescent="0.3">
      <c r="A1240" s="277">
        <v>43504</v>
      </c>
      <c r="B1240" s="278">
        <v>126.8811</v>
      </c>
    </row>
    <row r="1241" spans="1:5" x14ac:dyDescent="0.3">
      <c r="A1241" s="277">
        <v>43507</v>
      </c>
      <c r="B1241" s="278">
        <v>127.5013</v>
      </c>
    </row>
    <row r="1242" spans="1:5" x14ac:dyDescent="0.3">
      <c r="A1242" s="277">
        <v>43508</v>
      </c>
      <c r="B1242" s="278">
        <v>127.17870000000001</v>
      </c>
    </row>
    <row r="1243" spans="1:5" x14ac:dyDescent="0.3">
      <c r="A1243" s="277">
        <v>43509</v>
      </c>
      <c r="B1243" s="278">
        <v>127.372</v>
      </c>
    </row>
    <row r="1244" spans="1:5" x14ac:dyDescent="0.3">
      <c r="A1244" s="277">
        <v>43510</v>
      </c>
      <c r="B1244" s="278">
        <v>127.545</v>
      </c>
    </row>
    <row r="1245" spans="1:5" x14ac:dyDescent="0.3">
      <c r="A1245" s="277">
        <v>43511</v>
      </c>
      <c r="B1245" s="278">
        <v>127.4294</v>
      </c>
    </row>
    <row r="1246" spans="1:5" x14ac:dyDescent="0.3">
      <c r="A1246" s="277">
        <v>43515</v>
      </c>
      <c r="B1246" s="278">
        <v>127.0074</v>
      </c>
    </row>
    <row r="1247" spans="1:5" x14ac:dyDescent="0.3">
      <c r="A1247" s="277">
        <v>43517</v>
      </c>
      <c r="B1247" s="278">
        <v>126.89400000000001</v>
      </c>
    </row>
    <row r="1248" spans="1:5" x14ac:dyDescent="0.3">
      <c r="A1248" s="277">
        <v>43518</v>
      </c>
      <c r="B1248" s="278">
        <v>126.6305</v>
      </c>
    </row>
    <row r="1249" spans="1:2" x14ac:dyDescent="0.3">
      <c r="A1249" s="277">
        <v>43521</v>
      </c>
      <c r="B1249" s="278">
        <v>126.4529</v>
      </c>
    </row>
    <row r="1250" spans="1:2" x14ac:dyDescent="0.3">
      <c r="A1250" s="277">
        <v>43522</v>
      </c>
      <c r="B1250" s="278">
        <v>126.43040000000001</v>
      </c>
    </row>
    <row r="1251" spans="1:2" x14ac:dyDescent="0.3">
      <c r="A1251" s="277">
        <v>43523</v>
      </c>
      <c r="B1251" s="278">
        <v>126.3836</v>
      </c>
    </row>
    <row r="1252" spans="1:2" x14ac:dyDescent="0.3">
      <c r="A1252" s="277">
        <v>43524</v>
      </c>
      <c r="B1252" s="278">
        <v>126.5825</v>
      </c>
    </row>
    <row r="1253" spans="1:2" x14ac:dyDescent="0.3">
      <c r="A1253" s="277">
        <v>43525</v>
      </c>
      <c r="B1253" s="278">
        <v>126.9546</v>
      </c>
    </row>
    <row r="1254" spans="1:2" x14ac:dyDescent="0.3">
      <c r="A1254" s="277">
        <v>43528</v>
      </c>
      <c r="B1254" s="278">
        <v>127.098</v>
      </c>
    </row>
    <row r="1255" spans="1:2" x14ac:dyDescent="0.3">
      <c r="A1255" s="277">
        <v>43529</v>
      </c>
      <c r="B1255" s="278">
        <v>127.2029</v>
      </c>
    </row>
    <row r="1256" spans="1:2" x14ac:dyDescent="0.3">
      <c r="A1256" s="277">
        <v>43530</v>
      </c>
      <c r="B1256" s="278">
        <v>127.3939</v>
      </c>
    </row>
    <row r="1257" spans="1:2" x14ac:dyDescent="0.3">
      <c r="A1257" s="277">
        <v>43531</v>
      </c>
      <c r="B1257" s="278">
        <v>127.9288</v>
      </c>
    </row>
    <row r="1258" spans="1:2" x14ac:dyDescent="0.3">
      <c r="A1258" s="277">
        <v>43532</v>
      </c>
      <c r="B1258" s="278">
        <v>127.7933</v>
      </c>
    </row>
    <row r="1259" spans="1:2" x14ac:dyDescent="0.3">
      <c r="A1259" s="277">
        <v>43535</v>
      </c>
      <c r="B1259" s="278">
        <v>127.73560000000001</v>
      </c>
    </row>
    <row r="1260" spans="1:2" x14ac:dyDescent="0.3">
      <c r="A1260" s="277">
        <v>43536</v>
      </c>
      <c r="B1260" s="278">
        <v>127.3475</v>
      </c>
    </row>
    <row r="1261" spans="1:2" x14ac:dyDescent="0.3">
      <c r="A1261" s="277">
        <v>43537</v>
      </c>
      <c r="B1261" s="278">
        <v>127.1674</v>
      </c>
    </row>
    <row r="1262" spans="1:2" x14ac:dyDescent="0.3">
      <c r="A1262" s="277">
        <v>43538</v>
      </c>
      <c r="B1262" s="278">
        <v>127.2654</v>
      </c>
    </row>
    <row r="1263" spans="1:2" x14ac:dyDescent="0.3">
      <c r="A1263" s="277">
        <v>43539</v>
      </c>
      <c r="B1263" s="278">
        <v>127.02970000000001</v>
      </c>
    </row>
    <row r="1264" spans="1:2" x14ac:dyDescent="0.3">
      <c r="A1264" s="277">
        <v>43542</v>
      </c>
      <c r="B1264" s="278">
        <v>126.867</v>
      </c>
    </row>
    <row r="1265" spans="1:4" x14ac:dyDescent="0.3">
      <c r="A1265" s="277">
        <v>43543</v>
      </c>
      <c r="B1265" s="278">
        <v>126.65300000000001</v>
      </c>
    </row>
    <row r="1266" spans="1:4" x14ac:dyDescent="0.3">
      <c r="A1266" s="277">
        <v>43544</v>
      </c>
      <c r="B1266" s="278">
        <v>126.5232</v>
      </c>
    </row>
    <row r="1267" spans="1:4" x14ac:dyDescent="0.3">
      <c r="A1267" s="277">
        <v>43545</v>
      </c>
      <c r="B1267" s="278">
        <v>126.5312</v>
      </c>
    </row>
    <row r="1268" spans="1:4" x14ac:dyDescent="0.3">
      <c r="A1268" s="277">
        <v>43546</v>
      </c>
      <c r="B1268" s="278">
        <v>127.1187</v>
      </c>
    </row>
    <row r="1269" spans="1:4" x14ac:dyDescent="0.3">
      <c r="A1269" s="277">
        <v>43549</v>
      </c>
      <c r="B1269" s="278">
        <v>126.8219</v>
      </c>
    </row>
    <row r="1270" spans="1:4" x14ac:dyDescent="0.3">
      <c r="A1270" s="277">
        <v>43550</v>
      </c>
      <c r="B1270" s="278">
        <v>127.07080000000001</v>
      </c>
    </row>
    <row r="1271" spans="1:4" x14ac:dyDescent="0.3">
      <c r="A1271" s="277">
        <v>43551</v>
      </c>
      <c r="B1271" s="278">
        <v>127.5954</v>
      </c>
    </row>
    <row r="1272" spans="1:4" x14ac:dyDescent="0.3">
      <c r="A1272" s="277">
        <v>43552</v>
      </c>
      <c r="B1272" s="278">
        <v>127.73779999999999</v>
      </c>
    </row>
    <row r="1273" spans="1:4" x14ac:dyDescent="0.3">
      <c r="A1273" s="277">
        <v>43553</v>
      </c>
      <c r="B1273" s="278">
        <v>127.566</v>
      </c>
      <c r="C1273" s="19">
        <f>AVERAGE(B1215:B1273)</f>
        <v>126.92519661016954</v>
      </c>
      <c r="D1273" t="s">
        <v>329</v>
      </c>
    </row>
    <row r="1274" spans="1:4" x14ac:dyDescent="0.3">
      <c r="A1274" s="18">
        <v>43556</v>
      </c>
      <c r="B1274" s="19">
        <v>127.3586</v>
      </c>
    </row>
    <row r="1275" spans="1:4" x14ac:dyDescent="0.3">
      <c r="A1275" s="18">
        <v>43557</v>
      </c>
      <c r="B1275" s="19">
        <v>127.55549999999999</v>
      </c>
    </row>
    <row r="1276" spans="1:4" x14ac:dyDescent="0.3">
      <c r="A1276" s="18">
        <v>43558</v>
      </c>
      <c r="B1276" s="19">
        <v>127.1584</v>
      </c>
    </row>
    <row r="1277" spans="1:4" x14ac:dyDescent="0.3">
      <c r="A1277" s="18">
        <v>43559</v>
      </c>
      <c r="B1277" s="19">
        <v>127.40300000000001</v>
      </c>
    </row>
    <row r="1278" spans="1:4" x14ac:dyDescent="0.3">
      <c r="A1278" s="18">
        <v>43560</v>
      </c>
      <c r="B1278" s="19">
        <v>127.4003</v>
      </c>
    </row>
    <row r="1279" spans="1:4" x14ac:dyDescent="0.3">
      <c r="A1279" s="18">
        <v>43563</v>
      </c>
      <c r="B1279" s="19">
        <v>127.11750000000001</v>
      </c>
    </row>
    <row r="1280" spans="1:4" x14ac:dyDescent="0.3">
      <c r="A1280" s="18">
        <v>43564</v>
      </c>
      <c r="B1280" s="19">
        <v>126.943</v>
      </c>
    </row>
    <row r="1281" spans="1:3" x14ac:dyDescent="0.3">
      <c r="A1281" s="18">
        <v>43565</v>
      </c>
      <c r="B1281" s="19">
        <v>126.8383</v>
      </c>
    </row>
    <row r="1282" spans="1:3" x14ac:dyDescent="0.3">
      <c r="A1282" s="18">
        <v>43566</v>
      </c>
      <c r="B1282" s="19">
        <v>127.06</v>
      </c>
    </row>
    <row r="1283" spans="1:3" x14ac:dyDescent="0.3">
      <c r="A1283" s="18">
        <v>43567</v>
      </c>
      <c r="B1283" s="19">
        <v>126.74939999999999</v>
      </c>
    </row>
    <row r="1284" spans="1:3" x14ac:dyDescent="0.3">
      <c r="A1284" s="18">
        <v>43570</v>
      </c>
      <c r="B1284" s="19">
        <v>126.8968</v>
      </c>
    </row>
    <row r="1285" spans="1:3" x14ac:dyDescent="0.3">
      <c r="A1285" s="18">
        <v>43571</v>
      </c>
      <c r="B1285" s="19">
        <v>127.12560000000001</v>
      </c>
    </row>
    <row r="1286" spans="1:3" x14ac:dyDescent="0.3">
      <c r="A1286" s="18">
        <v>43572</v>
      </c>
      <c r="B1286" s="19">
        <v>126.9083</v>
      </c>
    </row>
    <row r="1287" spans="1:3" x14ac:dyDescent="0.3">
      <c r="A1287" s="18">
        <v>43573</v>
      </c>
      <c r="B1287" s="19">
        <v>127.12860000000001</v>
      </c>
    </row>
    <row r="1288" spans="1:3" x14ac:dyDescent="0.3">
      <c r="A1288" s="18">
        <v>43574</v>
      </c>
      <c r="B1288" s="19">
        <v>127.10980000000001</v>
      </c>
    </row>
    <row r="1289" spans="1:3" x14ac:dyDescent="0.3">
      <c r="A1289" s="18">
        <v>43577</v>
      </c>
      <c r="B1289" s="19">
        <v>127.2007</v>
      </c>
    </row>
    <row r="1290" spans="1:3" x14ac:dyDescent="0.3">
      <c r="A1290" s="18">
        <v>43578</v>
      </c>
      <c r="B1290" s="19">
        <v>127.6525</v>
      </c>
    </row>
    <row r="1291" spans="1:3" x14ac:dyDescent="0.3">
      <c r="A1291" s="18">
        <v>43579</v>
      </c>
      <c r="B1291" s="19">
        <v>127.9332</v>
      </c>
    </row>
    <row r="1292" spans="1:3" x14ac:dyDescent="0.3">
      <c r="A1292" s="18">
        <v>43580</v>
      </c>
      <c r="B1292" s="19">
        <v>128.32480000000001</v>
      </c>
    </row>
    <row r="1293" spans="1:3" x14ac:dyDescent="0.3">
      <c r="A1293" s="18">
        <v>43581</v>
      </c>
      <c r="B1293" s="19">
        <v>128.00309999999999</v>
      </c>
    </row>
    <row r="1294" spans="1:3" x14ac:dyDescent="0.3">
      <c r="A1294" s="18">
        <v>43584</v>
      </c>
      <c r="B1294" s="19">
        <v>128.0608</v>
      </c>
    </row>
    <row r="1295" spans="1:3" x14ac:dyDescent="0.3">
      <c r="A1295" s="451">
        <v>43585</v>
      </c>
      <c r="B1295" s="452">
        <v>127.89019999999999</v>
      </c>
      <c r="C1295" s="225" t="s">
        <v>398</v>
      </c>
    </row>
    <row r="1296" spans="1:3" x14ac:dyDescent="0.3">
      <c r="A1296" s="18">
        <v>43586</v>
      </c>
      <c r="B1296" s="19">
        <v>127.5676</v>
      </c>
    </row>
    <row r="1297" spans="1:2" x14ac:dyDescent="0.3">
      <c r="A1297" s="18">
        <v>43587</v>
      </c>
      <c r="B1297" s="19">
        <v>128.14580000000001</v>
      </c>
    </row>
    <row r="1298" spans="1:2" x14ac:dyDescent="0.3">
      <c r="A1298" s="18">
        <v>43588</v>
      </c>
      <c r="B1298" s="19">
        <v>127.8526</v>
      </c>
    </row>
    <row r="1299" spans="1:2" x14ac:dyDescent="0.3">
      <c r="A1299" s="18">
        <v>43591</v>
      </c>
      <c r="B1299" s="19">
        <v>128.00880000000001</v>
      </c>
    </row>
    <row r="1300" spans="1:2" x14ac:dyDescent="0.3">
      <c r="A1300" s="18">
        <v>43592</v>
      </c>
      <c r="B1300" s="19">
        <v>128.25909999999999</v>
      </c>
    </row>
    <row r="1301" spans="1:2" x14ac:dyDescent="0.3">
      <c r="A1301" s="18">
        <v>43593</v>
      </c>
      <c r="B1301" s="19">
        <v>128.15819999999999</v>
      </c>
    </row>
    <row r="1302" spans="1:2" x14ac:dyDescent="0.3">
      <c r="A1302" s="18">
        <v>43594</v>
      </c>
      <c r="B1302" s="19">
        <v>128.58109999999999</v>
      </c>
    </row>
    <row r="1303" spans="1:2" x14ac:dyDescent="0.3">
      <c r="A1303" s="18">
        <v>43595</v>
      </c>
      <c r="B1303" s="19">
        <v>128.25960000000001</v>
      </c>
    </row>
    <row r="1304" spans="1:2" x14ac:dyDescent="0.3">
      <c r="A1304" s="18">
        <v>43598</v>
      </c>
      <c r="B1304" s="19">
        <v>128.74459999999999</v>
      </c>
    </row>
    <row r="1305" spans="1:2" x14ac:dyDescent="0.3">
      <c r="A1305" s="18">
        <v>43599</v>
      </c>
      <c r="B1305" s="19">
        <v>128.75569999999999</v>
      </c>
    </row>
    <row r="1306" spans="1:2" x14ac:dyDescent="0.3">
      <c r="A1306" s="18">
        <v>43600</v>
      </c>
      <c r="B1306" s="19">
        <v>128.66540000000001</v>
      </c>
    </row>
    <row r="1307" spans="1:2" x14ac:dyDescent="0.3">
      <c r="A1307" s="18">
        <v>43601</v>
      </c>
      <c r="B1307" s="19">
        <v>128.85900000000001</v>
      </c>
    </row>
    <row r="1308" spans="1:2" x14ac:dyDescent="0.3">
      <c r="A1308" s="18">
        <v>43602</v>
      </c>
      <c r="B1308" s="19">
        <v>129.33619999999999</v>
      </c>
    </row>
    <row r="1309" spans="1:2" x14ac:dyDescent="0.3">
      <c r="A1309" s="18">
        <v>43605</v>
      </c>
      <c r="B1309" s="19">
        <v>129.19630000000001</v>
      </c>
    </row>
    <row r="1310" spans="1:2" x14ac:dyDescent="0.3">
      <c r="A1310" s="18">
        <v>43606</v>
      </c>
      <c r="B1310" s="19">
        <v>129.15790000000001</v>
      </c>
    </row>
    <row r="1311" spans="1:2" x14ac:dyDescent="0.3">
      <c r="A1311" s="18">
        <v>43607</v>
      </c>
      <c r="B1311" s="19">
        <v>129.1097</v>
      </c>
    </row>
    <row r="1312" spans="1:2" x14ac:dyDescent="0.3">
      <c r="A1312" s="18">
        <v>43608</v>
      </c>
      <c r="B1312" s="19">
        <v>129.10820000000001</v>
      </c>
    </row>
    <row r="1313" spans="1:3" x14ac:dyDescent="0.3">
      <c r="A1313" s="18">
        <v>43609</v>
      </c>
      <c r="B1313" s="19">
        <v>128.934</v>
      </c>
      <c r="C1313" s="7">
        <f>B1313/B1295-1</f>
        <v>8.1616886985866888E-3</v>
      </c>
    </row>
  </sheetData>
  <autoFilter ref="A12:E1273" xr:uid="{C3867B9E-A7FA-4ECF-A0D3-FCEC3461AE94}"/>
  <hyperlinks>
    <hyperlink ref="A1" r:id="rId1" xr:uid="{E83C79E1-4832-4F2B-AEEA-2B93A112B0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Earnings Model</vt:lpstr>
      <vt:lpstr>Charts</vt:lpstr>
      <vt:lpstr>Std Dev</vt:lpstr>
      <vt:lpstr>Dollar Index</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2019-05-30T20:23:25Z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