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dmin\Documents\Articles (2-15-2016)\APC\"/>
    </mc:Choice>
  </mc:AlternateContent>
  <bookViews>
    <workbookView xWindow="0" yWindow="0" windowWidth="23040" windowHeight="9672"/>
  </bookViews>
  <sheets>
    <sheet name="Earnings Model" sheetId="3" r:id="rId1"/>
  </sheets>
  <externalReferences>
    <externalReference r:id="rId2"/>
  </externalReferences>
  <definedNames>
    <definedName name="DATA">'[1]Estimates by Analyst'!$B$6:$M$50</definedName>
    <definedName name="_xlnm.Print_Area" localSheetId="0">'Earnings Model'!$A$1:$W$280</definedName>
  </definedNames>
  <calcPr calcId="162913"/>
</workbook>
</file>

<file path=xl/calcChain.xml><?xml version="1.0" encoding="utf-8"?>
<calcChain xmlns="http://schemas.openxmlformats.org/spreadsheetml/2006/main">
  <c r="Q52" i="3" l="1"/>
  <c r="P52" i="3"/>
  <c r="Q246" i="3"/>
  <c r="C252" i="3" l="1"/>
  <c r="C254" i="3" s="1"/>
  <c r="P246" i="3" l="1"/>
  <c r="C261" i="3"/>
  <c r="C263" i="3" s="1"/>
  <c r="S43" i="3"/>
  <c r="Q92" i="3"/>
  <c r="Q91" i="3"/>
  <c r="Q90" i="3"/>
  <c r="Q104" i="3"/>
  <c r="Q103" i="3"/>
  <c r="P91" i="3"/>
  <c r="P90" i="3"/>
  <c r="P104" i="3"/>
  <c r="P103" i="3"/>
  <c r="P92" i="3"/>
  <c r="S101" i="3"/>
  <c r="T60" i="3"/>
  <c r="U60" i="3" s="1"/>
  <c r="V60" i="3" s="1"/>
  <c r="S57" i="3"/>
  <c r="P132" i="3"/>
  <c r="Q131" i="3"/>
  <c r="Q133" i="3" s="1"/>
  <c r="P131" i="3"/>
  <c r="Q127" i="3"/>
  <c r="P127" i="3"/>
  <c r="S81" i="3" l="1"/>
  <c r="C262" i="3"/>
  <c r="R227" i="3"/>
  <c r="M212" i="3"/>
  <c r="R179" i="3"/>
  <c r="R178" i="3"/>
  <c r="R176" i="3"/>
  <c r="R175" i="3"/>
  <c r="R174" i="3"/>
  <c r="R173" i="3"/>
  <c r="R172" i="3"/>
  <c r="R169" i="3"/>
  <c r="R168" i="3"/>
  <c r="R167" i="3"/>
  <c r="R165" i="3"/>
  <c r="R163" i="3"/>
  <c r="R162" i="3"/>
  <c r="R161" i="3"/>
  <c r="R160" i="3"/>
  <c r="R159" i="3"/>
  <c r="R158" i="3"/>
  <c r="R157" i="3"/>
  <c r="R156" i="3"/>
  <c r="R153" i="3"/>
  <c r="R152" i="3"/>
  <c r="R150" i="3"/>
  <c r="R149" i="3"/>
  <c r="R146" i="3"/>
  <c r="R145" i="3"/>
  <c r="R144" i="3"/>
  <c r="R142" i="3"/>
  <c r="Q164" i="3"/>
  <c r="P164" i="3"/>
  <c r="Q177" i="3"/>
  <c r="R177" i="3" s="1"/>
  <c r="Q170" i="3"/>
  <c r="R170" i="3" s="1"/>
  <c r="R207" i="3"/>
  <c r="Q151" i="3"/>
  <c r="R151" i="3" s="1"/>
  <c r="P147" i="3"/>
  <c r="Q147" i="3"/>
  <c r="R147" i="3" s="1"/>
  <c r="Q76" i="3"/>
  <c r="Q154" i="3" l="1"/>
  <c r="R154" i="3" s="1"/>
  <c r="Q180" i="3"/>
  <c r="R164" i="3"/>
  <c r="O246" i="3"/>
  <c r="R180" i="3" l="1"/>
  <c r="R181" i="3" s="1"/>
  <c r="Q181" i="3"/>
  <c r="Q65" i="3"/>
  <c r="Q62" i="3"/>
  <c r="Q60" i="3"/>
  <c r="Q58" i="3"/>
  <c r="P177" i="3"/>
  <c r="P179" i="3" s="1"/>
  <c r="P170" i="3"/>
  <c r="O164" i="3"/>
  <c r="P151" i="3"/>
  <c r="P154" i="3" s="1"/>
  <c r="O151" i="3"/>
  <c r="O188" i="3"/>
  <c r="P133" i="3"/>
  <c r="O92" i="3"/>
  <c r="O93" i="3"/>
  <c r="O91" i="3"/>
  <c r="O90" i="3"/>
  <c r="P81" i="3"/>
  <c r="P65" i="3"/>
  <c r="P62" i="3"/>
  <c r="P58" i="3"/>
  <c r="O58" i="3"/>
  <c r="O60" i="3"/>
  <c r="N127" i="3"/>
  <c r="O127" i="3"/>
  <c r="P180" i="3" l="1"/>
  <c r="P181" i="3" s="1"/>
  <c r="L41" i="3"/>
  <c r="D246" i="3"/>
  <c r="E246" i="3"/>
  <c r="F246" i="3"/>
  <c r="G246" i="3"/>
  <c r="I246" i="3"/>
  <c r="J246" i="3"/>
  <c r="K246" i="3"/>
  <c r="L246" i="3"/>
  <c r="N246" i="3"/>
  <c r="N92" i="3"/>
  <c r="M92" i="3"/>
  <c r="K92" i="3"/>
  <c r="J92" i="3"/>
  <c r="I92" i="3"/>
  <c r="H92" i="3"/>
  <c r="F92" i="3"/>
  <c r="E92" i="3"/>
  <c r="D92" i="3"/>
  <c r="E90" i="3"/>
  <c r="F90" i="3"/>
  <c r="H90" i="3"/>
  <c r="I90" i="3"/>
  <c r="J90" i="3"/>
  <c r="K90" i="3"/>
  <c r="M90" i="3"/>
  <c r="N90" i="3"/>
  <c r="E91" i="3"/>
  <c r="F91" i="3"/>
  <c r="H91" i="3"/>
  <c r="I91" i="3"/>
  <c r="J91" i="3"/>
  <c r="K91" i="3"/>
  <c r="M91" i="3"/>
  <c r="N91" i="3"/>
  <c r="D91" i="3"/>
  <c r="D90" i="3"/>
  <c r="L76" i="3"/>
  <c r="F76" i="3"/>
  <c r="F85" i="3" s="1"/>
  <c r="K76" i="3"/>
  <c r="K85" i="3" s="1"/>
  <c r="J76" i="3"/>
  <c r="J85" i="3" s="1"/>
  <c r="I76" i="3"/>
  <c r="I85" i="3" s="1"/>
  <c r="N76" i="3"/>
  <c r="N85" i="3" s="1"/>
  <c r="G87" i="3"/>
  <c r="F87" i="3"/>
  <c r="E87" i="3"/>
  <c r="D87" i="3"/>
  <c r="G86" i="3"/>
  <c r="F86" i="3"/>
  <c r="E86" i="3"/>
  <c r="D86" i="3"/>
  <c r="G85" i="3"/>
  <c r="E85" i="3"/>
  <c r="D85" i="3"/>
  <c r="G83" i="3"/>
  <c r="F83" i="3"/>
  <c r="E83" i="3"/>
  <c r="D83" i="3"/>
  <c r="G82" i="3"/>
  <c r="F82" i="3"/>
  <c r="E82" i="3"/>
  <c r="D82" i="3"/>
  <c r="G81" i="3"/>
  <c r="F81" i="3"/>
  <c r="E81" i="3"/>
  <c r="D81" i="3"/>
  <c r="L87" i="3"/>
  <c r="K87" i="3"/>
  <c r="J87" i="3"/>
  <c r="I87" i="3"/>
  <c r="L86" i="3"/>
  <c r="K86" i="3"/>
  <c r="J86" i="3"/>
  <c r="I86" i="3"/>
  <c r="L85" i="3"/>
  <c r="L83" i="3"/>
  <c r="K83" i="3"/>
  <c r="J83" i="3"/>
  <c r="I83" i="3"/>
  <c r="L82" i="3"/>
  <c r="K82" i="3"/>
  <c r="J82" i="3"/>
  <c r="I82" i="3"/>
  <c r="L81" i="3"/>
  <c r="K81" i="3"/>
  <c r="J81" i="3"/>
  <c r="I81" i="3"/>
  <c r="O76" i="3"/>
  <c r="V86" i="3"/>
  <c r="U86" i="3"/>
  <c r="T86" i="3"/>
  <c r="S86" i="3"/>
  <c r="O81" i="3"/>
  <c r="O82" i="3"/>
  <c r="O83" i="3"/>
  <c r="O85" i="3"/>
  <c r="O86" i="3"/>
  <c r="P86" i="3"/>
  <c r="Q86" i="3"/>
  <c r="O87" i="3"/>
  <c r="N86" i="3"/>
  <c r="N87" i="3"/>
  <c r="N83" i="3"/>
  <c r="N82" i="3"/>
  <c r="N81" i="3"/>
  <c r="P87" i="3"/>
  <c r="W36" i="3"/>
  <c r="W35" i="3"/>
  <c r="W32" i="3"/>
  <c r="R32" i="3"/>
  <c r="R35" i="3"/>
  <c r="R36" i="3"/>
  <c r="W16" i="3"/>
  <c r="R16" i="3"/>
  <c r="R15" i="3"/>
  <c r="O37" i="3"/>
  <c r="O28" i="3"/>
  <c r="O29" i="3" s="1"/>
  <c r="O52" i="3" l="1"/>
  <c r="E52" i="3"/>
  <c r="I52" i="3"/>
  <c r="J52" i="3"/>
  <c r="R41" i="3"/>
  <c r="S68" i="3"/>
  <c r="T68" i="3" s="1"/>
  <c r="D52" i="3"/>
  <c r="F52" i="3"/>
  <c r="N52" i="3"/>
  <c r="K52" i="3"/>
  <c r="O38" i="3"/>
  <c r="S87" i="3" l="1"/>
  <c r="Q87" i="3"/>
  <c r="U68" i="3"/>
  <c r="T87" i="3"/>
  <c r="T41" i="3"/>
  <c r="U41" i="3" s="1"/>
  <c r="V41" i="3" s="1"/>
  <c r="D51" i="3"/>
  <c r="I51" i="3"/>
  <c r="N51" i="3"/>
  <c r="V68" i="3" l="1"/>
  <c r="U87" i="3"/>
  <c r="W41" i="3"/>
  <c r="V87" i="3" l="1"/>
  <c r="M203" i="3"/>
  <c r="M202" i="3"/>
  <c r="H205" i="3"/>
  <c r="H203" i="3"/>
  <c r="H202" i="3"/>
  <c r="K110" i="3"/>
  <c r="K127" i="3" s="1"/>
  <c r="K43" i="3" s="1"/>
  <c r="L110" i="3"/>
  <c r="L127" i="3" s="1"/>
  <c r="L43" i="3" s="1"/>
  <c r="N43" i="3"/>
  <c r="G127" i="3"/>
  <c r="G43" i="3" s="1"/>
  <c r="F127" i="3"/>
  <c r="F43" i="3" s="1"/>
  <c r="E127" i="3"/>
  <c r="E43" i="3" s="1"/>
  <c r="D127" i="3"/>
  <c r="D43" i="3" s="1"/>
  <c r="O130" i="3"/>
  <c r="N130" i="3"/>
  <c r="O129" i="3"/>
  <c r="N129" i="3"/>
  <c r="G130" i="3"/>
  <c r="F130" i="3"/>
  <c r="E130" i="3"/>
  <c r="D130" i="3"/>
  <c r="G129" i="3"/>
  <c r="F129" i="3"/>
  <c r="F131" i="3" s="1"/>
  <c r="E129" i="3"/>
  <c r="E131" i="3" s="1"/>
  <c r="D129" i="3"/>
  <c r="D131" i="3" s="1"/>
  <c r="L130" i="3"/>
  <c r="K130" i="3"/>
  <c r="L129" i="3"/>
  <c r="K129" i="3"/>
  <c r="J130" i="3"/>
  <c r="J129" i="3"/>
  <c r="J127" i="3"/>
  <c r="J43" i="3" s="1"/>
  <c r="I130" i="3"/>
  <c r="I129" i="3"/>
  <c r="I127" i="3"/>
  <c r="I43" i="3" s="1"/>
  <c r="I205" i="3"/>
  <c r="M205" i="3" s="1"/>
  <c r="G131" i="3" l="1"/>
  <c r="O43" i="3"/>
  <c r="N131" i="3"/>
  <c r="O131" i="3"/>
  <c r="H43" i="3"/>
  <c r="M43" i="3"/>
  <c r="L131" i="3"/>
  <c r="K131" i="3"/>
  <c r="I131" i="3"/>
  <c r="J131" i="3"/>
  <c r="Q43" i="3" l="1"/>
  <c r="W15" i="3"/>
  <c r="O104" i="3" l="1"/>
  <c r="N104" i="3"/>
  <c r="M104" i="3"/>
  <c r="K104" i="3"/>
  <c r="J104" i="3"/>
  <c r="I104" i="3"/>
  <c r="H104" i="3"/>
  <c r="F104" i="3"/>
  <c r="E104" i="3"/>
  <c r="D104" i="3"/>
  <c r="M103" i="3"/>
  <c r="H103" i="3"/>
  <c r="O103" i="3"/>
  <c r="N103" i="3"/>
  <c r="K103" i="3"/>
  <c r="J103" i="3"/>
  <c r="I103" i="3"/>
  <c r="F103" i="3"/>
  <c r="E103" i="3"/>
  <c r="D103" i="3"/>
  <c r="T43" i="3" l="1"/>
  <c r="O101" i="3"/>
  <c r="N101" i="3"/>
  <c r="O100" i="3"/>
  <c r="N100" i="3"/>
  <c r="O98" i="3"/>
  <c r="N98" i="3"/>
  <c r="O97" i="3"/>
  <c r="N97" i="3"/>
  <c r="O96" i="3"/>
  <c r="N96" i="3"/>
  <c r="O99" i="3"/>
  <c r="K99" i="3"/>
  <c r="J99" i="3"/>
  <c r="F99" i="3"/>
  <c r="E99" i="3"/>
  <c r="V43" i="3" l="1"/>
  <c r="U43" i="3"/>
  <c r="W31" i="3"/>
  <c r="R31" i="3"/>
  <c r="O95" i="3"/>
  <c r="N95" i="3"/>
  <c r="O94" i="3"/>
  <c r="N94" i="3"/>
  <c r="N93" i="3"/>
  <c r="W43" i="3" l="1"/>
  <c r="P85" i="3"/>
  <c r="Q81" i="3"/>
  <c r="P83" i="3"/>
  <c r="S61" i="3" l="1"/>
  <c r="S83" i="3" s="1"/>
  <c r="Q83" i="3"/>
  <c r="Q82" i="3"/>
  <c r="S64" i="3"/>
  <c r="Q85" i="3"/>
  <c r="R14" i="3"/>
  <c r="T57" i="3"/>
  <c r="T81" i="3" s="1"/>
  <c r="S59" i="3"/>
  <c r="S82" i="3" s="1"/>
  <c r="S85" i="3" l="1"/>
  <c r="S12" i="3"/>
  <c r="S20" i="3" s="1"/>
  <c r="S14" i="3"/>
  <c r="T61" i="3"/>
  <c r="T14" i="3" s="1"/>
  <c r="T64" i="3"/>
  <c r="U64" i="3" s="1"/>
  <c r="R12" i="3"/>
  <c r="T59" i="3"/>
  <c r="T82" i="3" s="1"/>
  <c r="S13" i="3"/>
  <c r="U57" i="3"/>
  <c r="U81" i="3" s="1"/>
  <c r="O65" i="3"/>
  <c r="N65" i="3"/>
  <c r="L65" i="3"/>
  <c r="K65" i="3"/>
  <c r="J65" i="3"/>
  <c r="I65" i="3"/>
  <c r="G65" i="3"/>
  <c r="F65" i="3"/>
  <c r="E65" i="3"/>
  <c r="O62" i="3"/>
  <c r="N62" i="3"/>
  <c r="L62" i="3"/>
  <c r="K62" i="3"/>
  <c r="J62" i="3"/>
  <c r="I62" i="3"/>
  <c r="G62" i="3"/>
  <c r="F62" i="3"/>
  <c r="E62" i="3"/>
  <c r="N60" i="3"/>
  <c r="L60" i="3"/>
  <c r="K60" i="3"/>
  <c r="J60" i="3"/>
  <c r="I60" i="3"/>
  <c r="G60" i="3"/>
  <c r="F60" i="3"/>
  <c r="E60" i="3"/>
  <c r="N58" i="3"/>
  <c r="L58" i="3"/>
  <c r="K58" i="3"/>
  <c r="I58" i="3"/>
  <c r="J58" i="3"/>
  <c r="G58" i="3"/>
  <c r="F58" i="3"/>
  <c r="E58" i="3"/>
  <c r="T83" i="3" l="1"/>
  <c r="U61" i="3"/>
  <c r="U14" i="3" s="1"/>
  <c r="S52" i="3"/>
  <c r="T12" i="3"/>
  <c r="T21" i="3" s="1"/>
  <c r="S21" i="3"/>
  <c r="S19" i="3"/>
  <c r="T85" i="3"/>
  <c r="V64" i="3"/>
  <c r="V85" i="3" s="1"/>
  <c r="U85" i="3"/>
  <c r="U83" i="3"/>
  <c r="S17" i="3"/>
  <c r="S22" i="3" s="1"/>
  <c r="V57" i="3"/>
  <c r="U12" i="3"/>
  <c r="U59" i="3"/>
  <c r="U82" i="3" s="1"/>
  <c r="T13" i="3"/>
  <c r="H227" i="3"/>
  <c r="H228" i="3" s="1"/>
  <c r="M227" i="3"/>
  <c r="M228" i="3" s="1"/>
  <c r="G245" i="3"/>
  <c r="O225" i="3"/>
  <c r="P225" i="3" s="1"/>
  <c r="O223" i="3"/>
  <c r="P223" i="3" s="1"/>
  <c r="O222" i="3"/>
  <c r="P222" i="3" s="1"/>
  <c r="O220" i="3"/>
  <c r="P220" i="3" s="1"/>
  <c r="O219" i="3"/>
  <c r="P219" i="3" s="1"/>
  <c r="O218" i="3"/>
  <c r="O217" i="3"/>
  <c r="P217" i="3" s="1"/>
  <c r="O216" i="3"/>
  <c r="P216" i="3" s="1"/>
  <c r="O215" i="3"/>
  <c r="P215" i="3" s="1"/>
  <c r="O214" i="3"/>
  <c r="P214" i="3" s="1"/>
  <c r="O231" i="3"/>
  <c r="O221" i="3" s="1"/>
  <c r="O211" i="3"/>
  <c r="P211" i="3" s="1"/>
  <c r="O210" i="3"/>
  <c r="P210" i="3" s="1"/>
  <c r="O208" i="3"/>
  <c r="P208" i="3" s="1"/>
  <c r="N189" i="3"/>
  <c r="N226" i="3"/>
  <c r="N221" i="3"/>
  <c r="N224" i="3" s="1"/>
  <c r="N212" i="3"/>
  <c r="K245" i="3"/>
  <c r="L245" i="3" s="1"/>
  <c r="K241" i="3"/>
  <c r="L241" i="3" s="1"/>
  <c r="K234" i="3"/>
  <c r="F238" i="3"/>
  <c r="F234" i="3"/>
  <c r="D228" i="3"/>
  <c r="E226" i="3"/>
  <c r="E228" i="3" s="1"/>
  <c r="E225" i="3"/>
  <c r="E221" i="3"/>
  <c r="G221" i="3" s="1"/>
  <c r="E222" i="3"/>
  <c r="F222" i="3" s="1"/>
  <c r="E220" i="3"/>
  <c r="F220" i="3" s="1"/>
  <c r="G220" i="3" s="1"/>
  <c r="E219" i="3"/>
  <c r="E218" i="3"/>
  <c r="E217" i="3"/>
  <c r="F217" i="3" s="1"/>
  <c r="E216" i="3"/>
  <c r="F216" i="3" s="1"/>
  <c r="G216" i="3" s="1"/>
  <c r="E215" i="3"/>
  <c r="E214" i="3"/>
  <c r="E211" i="3"/>
  <c r="F211" i="3" s="1"/>
  <c r="E210" i="3"/>
  <c r="F210" i="3" s="1"/>
  <c r="E209" i="3"/>
  <c r="G209" i="3" s="1"/>
  <c r="E208" i="3"/>
  <c r="E241" i="3"/>
  <c r="E200" i="3"/>
  <c r="E199" i="3"/>
  <c r="E198" i="3"/>
  <c r="E196" i="3"/>
  <c r="F196" i="3" s="1"/>
  <c r="E195" i="3"/>
  <c r="F195" i="3" s="1"/>
  <c r="E192" i="3"/>
  <c r="F192" i="3" s="1"/>
  <c r="E190" i="3"/>
  <c r="E189" i="3"/>
  <c r="F189" i="3" s="1"/>
  <c r="J226" i="3"/>
  <c r="J225" i="3"/>
  <c r="J222" i="3"/>
  <c r="K222" i="3" s="1"/>
  <c r="L222" i="3" s="1"/>
  <c r="J220" i="3"/>
  <c r="K220" i="3" s="1"/>
  <c r="J219" i="3"/>
  <c r="J218" i="3"/>
  <c r="J51" i="3" s="1"/>
  <c r="J217" i="3"/>
  <c r="K217" i="3" s="1"/>
  <c r="L217" i="3" s="1"/>
  <c r="J216" i="3"/>
  <c r="J215" i="3"/>
  <c r="J214" i="3"/>
  <c r="J211" i="3"/>
  <c r="K211" i="3" s="1"/>
  <c r="J210" i="3"/>
  <c r="K210" i="3" s="1"/>
  <c r="J209" i="3"/>
  <c r="L209" i="3" s="1"/>
  <c r="J208" i="3"/>
  <c r="K208" i="3" s="1"/>
  <c r="J231" i="3"/>
  <c r="L231" i="3" s="1"/>
  <c r="J238" i="3"/>
  <c r="I228" i="3"/>
  <c r="J227" i="3" s="1"/>
  <c r="J228" i="3" s="1"/>
  <c r="K227" i="3" s="1"/>
  <c r="H193" i="3"/>
  <c r="I189" i="3"/>
  <c r="O190" i="3"/>
  <c r="O200" i="3"/>
  <c r="P200" i="3" s="1"/>
  <c r="O199" i="3"/>
  <c r="P199" i="3" s="1"/>
  <c r="O194" i="3"/>
  <c r="P194" i="3" s="1"/>
  <c r="O193" i="3"/>
  <c r="O198" i="3"/>
  <c r="P198" i="3" s="1"/>
  <c r="O196" i="3"/>
  <c r="O195" i="3"/>
  <c r="O192" i="3"/>
  <c r="P192" i="3" l="1"/>
  <c r="Q192" i="3" s="1"/>
  <c r="P190" i="3"/>
  <c r="Q190" i="3" s="1"/>
  <c r="Q196" i="3"/>
  <c r="P196" i="3"/>
  <c r="P212" i="3"/>
  <c r="O51" i="3"/>
  <c r="P51" i="3" s="1"/>
  <c r="Q51" i="3" s="1"/>
  <c r="S51" i="3" s="1"/>
  <c r="T51" i="3" s="1"/>
  <c r="U51" i="3" s="1"/>
  <c r="V51" i="3" s="1"/>
  <c r="P218" i="3"/>
  <c r="N228" i="3"/>
  <c r="O227" i="3" s="1"/>
  <c r="P193" i="3"/>
  <c r="Q193" i="3" s="1"/>
  <c r="P195" i="3"/>
  <c r="Q195" i="3" s="1"/>
  <c r="O189" i="3"/>
  <c r="P189" i="3" s="1"/>
  <c r="P221" i="3"/>
  <c r="U19" i="3"/>
  <c r="V61" i="3"/>
  <c r="V14" i="3" s="1"/>
  <c r="W14" i="3" s="1"/>
  <c r="T19" i="3"/>
  <c r="T17" i="3"/>
  <c r="T33" i="3" s="1"/>
  <c r="T20" i="3"/>
  <c r="U20" i="3"/>
  <c r="U21" i="3"/>
  <c r="T52" i="3"/>
  <c r="V12" i="3"/>
  <c r="W12" i="3" s="1"/>
  <c r="V81" i="3"/>
  <c r="F218" i="3"/>
  <c r="F51" i="3" s="1"/>
  <c r="E51" i="3"/>
  <c r="F199" i="3"/>
  <c r="G199" i="3" s="1"/>
  <c r="S24" i="3"/>
  <c r="S27" i="3"/>
  <c r="S26" i="3"/>
  <c r="S23" i="3"/>
  <c r="S25" i="3"/>
  <c r="S33" i="3"/>
  <c r="V59" i="3"/>
  <c r="O212" i="3"/>
  <c r="R212" i="3" s="1"/>
  <c r="E224" i="3"/>
  <c r="G195" i="3"/>
  <c r="J224" i="3"/>
  <c r="O224" i="3"/>
  <c r="G189" i="3"/>
  <c r="G196" i="3"/>
  <c r="F200" i="3"/>
  <c r="G200" i="3" s="1"/>
  <c r="F214" i="3"/>
  <c r="G192" i="3"/>
  <c r="F198" i="3"/>
  <c r="G198" i="3" s="1"/>
  <c r="F208" i="3"/>
  <c r="G208" i="3" s="1"/>
  <c r="F215" i="3"/>
  <c r="G215" i="3" s="1"/>
  <c r="F219" i="3"/>
  <c r="G219" i="3" s="1"/>
  <c r="F225" i="3"/>
  <c r="G225" i="3" s="1"/>
  <c r="K214" i="3"/>
  <c r="K218" i="3"/>
  <c r="K225" i="3"/>
  <c r="L225" i="3" s="1"/>
  <c r="O226" i="3"/>
  <c r="G210" i="3"/>
  <c r="G217" i="3"/>
  <c r="G222" i="3"/>
  <c r="L220" i="3"/>
  <c r="F241" i="3"/>
  <c r="G241" i="3" s="1"/>
  <c r="F226" i="3"/>
  <c r="F228" i="3" s="1"/>
  <c r="K215" i="3"/>
  <c r="L215" i="3" s="1"/>
  <c r="K219" i="3"/>
  <c r="L219" i="3" s="1"/>
  <c r="K226" i="3"/>
  <c r="L226" i="3" s="1"/>
  <c r="G211" i="3"/>
  <c r="J189" i="3"/>
  <c r="K189" i="3" s="1"/>
  <c r="F190" i="3"/>
  <c r="G190" i="3" s="1"/>
  <c r="K216" i="3"/>
  <c r="L216" i="3" s="1"/>
  <c r="J200" i="3"/>
  <c r="J199" i="3"/>
  <c r="J198" i="3"/>
  <c r="J196" i="3"/>
  <c r="J195" i="3"/>
  <c r="J192" i="3"/>
  <c r="J190" i="3"/>
  <c r="J188" i="3"/>
  <c r="K194" i="3"/>
  <c r="I194" i="3"/>
  <c r="F194" i="3"/>
  <c r="E194" i="3"/>
  <c r="O191" i="3"/>
  <c r="N191" i="3"/>
  <c r="K191" i="3"/>
  <c r="J191" i="3"/>
  <c r="I191" i="3"/>
  <c r="F191" i="3"/>
  <c r="E191" i="3"/>
  <c r="D191" i="3"/>
  <c r="N188" i="3"/>
  <c r="K188" i="3"/>
  <c r="I188" i="3"/>
  <c r="F188" i="3"/>
  <c r="E188" i="3"/>
  <c r="D188" i="3"/>
  <c r="P224" i="3" l="1"/>
  <c r="R224" i="3" s="1"/>
  <c r="P188" i="3"/>
  <c r="R188" i="3" s="1"/>
  <c r="P191" i="3"/>
  <c r="R191" i="3" s="1"/>
  <c r="K200" i="3"/>
  <c r="L200" i="3" s="1"/>
  <c r="L189" i="3"/>
  <c r="O228" i="3"/>
  <c r="P227" i="3" s="1"/>
  <c r="P226" i="3"/>
  <c r="Q189" i="3"/>
  <c r="V83" i="3"/>
  <c r="T22" i="3"/>
  <c r="T103" i="3" s="1"/>
  <c r="T26" i="3"/>
  <c r="T24" i="3"/>
  <c r="T23" i="3"/>
  <c r="T27" i="3"/>
  <c r="T25" i="3"/>
  <c r="V20" i="3"/>
  <c r="V19" i="3"/>
  <c r="V21" i="3"/>
  <c r="V82" i="3"/>
  <c r="G218" i="3"/>
  <c r="G51" i="3" s="1"/>
  <c r="L218" i="3"/>
  <c r="L51" i="3" s="1"/>
  <c r="K51" i="3"/>
  <c r="S104" i="3"/>
  <c r="S28" i="3"/>
  <c r="S103" i="3"/>
  <c r="F224" i="3"/>
  <c r="G194" i="3"/>
  <c r="G214" i="3"/>
  <c r="G226" i="3"/>
  <c r="G228" i="3" s="1"/>
  <c r="K196" i="3"/>
  <c r="L196" i="3" s="1"/>
  <c r="K190" i="3"/>
  <c r="L190" i="3" s="1"/>
  <c r="K198" i="3"/>
  <c r="L198" i="3" s="1"/>
  <c r="K192" i="3"/>
  <c r="L192" i="3" s="1"/>
  <c r="K199" i="3"/>
  <c r="L199" i="3" s="1"/>
  <c r="K195" i="3"/>
  <c r="L195" i="3" s="1"/>
  <c r="K228" i="3"/>
  <c r="L227" i="3" s="1"/>
  <c r="L228" i="3" s="1"/>
  <c r="J194" i="3"/>
  <c r="E177" i="3"/>
  <c r="E179" i="3" s="1"/>
  <c r="E132" i="3" s="1"/>
  <c r="E133" i="3" s="1"/>
  <c r="E170" i="3"/>
  <c r="E164" i="3"/>
  <c r="E151" i="3"/>
  <c r="D151" i="3"/>
  <c r="E147" i="3"/>
  <c r="D177" i="3"/>
  <c r="D179" i="3" s="1"/>
  <c r="D132" i="3" s="1"/>
  <c r="D133" i="3" s="1"/>
  <c r="D170" i="3"/>
  <c r="D164" i="3"/>
  <c r="D147" i="3"/>
  <c r="H178" i="3"/>
  <c r="H176" i="3"/>
  <c r="H175" i="3"/>
  <c r="H174" i="3"/>
  <c r="H173" i="3"/>
  <c r="H172" i="3"/>
  <c r="H169" i="3"/>
  <c r="H168" i="3"/>
  <c r="H167" i="3"/>
  <c r="H165" i="3"/>
  <c r="H163" i="3"/>
  <c r="H162" i="3"/>
  <c r="H161" i="3"/>
  <c r="H160" i="3"/>
  <c r="H159" i="3"/>
  <c r="H158" i="3"/>
  <c r="H157" i="3"/>
  <c r="H156" i="3"/>
  <c r="H153" i="3"/>
  <c r="H152" i="3"/>
  <c r="H150" i="3"/>
  <c r="H149" i="3"/>
  <c r="H146" i="3"/>
  <c r="H145" i="3"/>
  <c r="H144" i="3"/>
  <c r="H142" i="3"/>
  <c r="M146" i="3"/>
  <c r="M149" i="3"/>
  <c r="M152" i="3"/>
  <c r="M161" i="3"/>
  <c r="M158" i="3"/>
  <c r="M167" i="3"/>
  <c r="M173" i="3"/>
  <c r="M176" i="3"/>
  <c r="M145" i="3"/>
  <c r="M150" i="3"/>
  <c r="M153" i="3"/>
  <c r="M156" i="3"/>
  <c r="M157" i="3"/>
  <c r="M159" i="3"/>
  <c r="M160" i="3"/>
  <c r="M162" i="3"/>
  <c r="M163" i="3"/>
  <c r="M165" i="3"/>
  <c r="M168" i="3"/>
  <c r="M169" i="3"/>
  <c r="M172" i="3"/>
  <c r="M174" i="3"/>
  <c r="M175" i="3"/>
  <c r="M178" i="3"/>
  <c r="M144" i="3"/>
  <c r="M142" i="3"/>
  <c r="F177" i="3"/>
  <c r="F179" i="3" s="1"/>
  <c r="F132" i="3" s="1"/>
  <c r="F133" i="3" s="1"/>
  <c r="F170" i="3"/>
  <c r="F164" i="3"/>
  <c r="G164" i="3"/>
  <c r="H164" i="3" s="1"/>
  <c r="F151" i="3"/>
  <c r="F147" i="3"/>
  <c r="I177" i="3"/>
  <c r="I179" i="3" s="1"/>
  <c r="I132" i="3" s="1"/>
  <c r="I133" i="3" s="1"/>
  <c r="I170" i="3"/>
  <c r="I164" i="3"/>
  <c r="I151" i="3"/>
  <c r="I147" i="3"/>
  <c r="O177" i="3"/>
  <c r="O179" i="3" s="1"/>
  <c r="O132" i="3" s="1"/>
  <c r="O133" i="3" s="1"/>
  <c r="O170" i="3"/>
  <c r="N164" i="3"/>
  <c r="O147" i="3"/>
  <c r="J177" i="3"/>
  <c r="J179" i="3" s="1"/>
  <c r="J132" i="3" s="1"/>
  <c r="J133" i="3" s="1"/>
  <c r="J170" i="3"/>
  <c r="J164" i="3"/>
  <c r="J151" i="3"/>
  <c r="J147" i="3"/>
  <c r="K177" i="3"/>
  <c r="K179" i="3" s="1"/>
  <c r="K132" i="3" s="1"/>
  <c r="K133" i="3" s="1"/>
  <c r="K170" i="3"/>
  <c r="K164" i="3"/>
  <c r="K151" i="3"/>
  <c r="K147" i="3"/>
  <c r="L177" i="3"/>
  <c r="M177" i="3" s="1"/>
  <c r="L170" i="3"/>
  <c r="M170" i="3" s="1"/>
  <c r="L164" i="3"/>
  <c r="M164" i="3" s="1"/>
  <c r="L151" i="3"/>
  <c r="M151" i="3" s="1"/>
  <c r="L147" i="3"/>
  <c r="M147" i="3" s="1"/>
  <c r="G177" i="3"/>
  <c r="G179" i="3" s="1"/>
  <c r="G170" i="3"/>
  <c r="H170" i="3" s="1"/>
  <c r="G151" i="3"/>
  <c r="H151" i="3" s="1"/>
  <c r="G147" i="3"/>
  <c r="N177" i="3"/>
  <c r="N179" i="3" s="1"/>
  <c r="N132" i="3" s="1"/>
  <c r="N133" i="3" s="1"/>
  <c r="N170" i="3"/>
  <c r="N151" i="3"/>
  <c r="N147" i="3"/>
  <c r="L39" i="3"/>
  <c r="L36" i="3"/>
  <c r="L35" i="3"/>
  <c r="L34" i="3"/>
  <c r="L33" i="3"/>
  <c r="L194" i="3" s="1"/>
  <c r="L31" i="3"/>
  <c r="L27" i="3"/>
  <c r="L26" i="3"/>
  <c r="L191" i="3" s="1"/>
  <c r="L25" i="3"/>
  <c r="L24" i="3"/>
  <c r="L188" i="3" s="1"/>
  <c r="L23" i="3"/>
  <c r="L22" i="3"/>
  <c r="L21" i="3"/>
  <c r="L20" i="3"/>
  <c r="L19" i="3"/>
  <c r="M37" i="3"/>
  <c r="M28" i="3"/>
  <c r="G19" i="3"/>
  <c r="G20" i="3"/>
  <c r="G21" i="3"/>
  <c r="G22" i="3"/>
  <c r="G23" i="3"/>
  <c r="G24" i="3"/>
  <c r="G25" i="3"/>
  <c r="G26" i="3"/>
  <c r="G27" i="3"/>
  <c r="G30" i="3"/>
  <c r="G31" i="3"/>
  <c r="G33" i="3"/>
  <c r="G34" i="3"/>
  <c r="G35" i="3"/>
  <c r="G36" i="3"/>
  <c r="G39" i="3"/>
  <c r="G41" i="3"/>
  <c r="G45" i="3"/>
  <c r="H37" i="3"/>
  <c r="H28" i="3"/>
  <c r="D28" i="3"/>
  <c r="D37" i="3"/>
  <c r="E37" i="3"/>
  <c r="F37" i="3"/>
  <c r="N37" i="3"/>
  <c r="K37" i="3"/>
  <c r="J37" i="3"/>
  <c r="I37" i="3"/>
  <c r="E28" i="3"/>
  <c r="P228" i="3" l="1"/>
  <c r="Q227" i="3" s="1"/>
  <c r="T104" i="3"/>
  <c r="T28" i="3"/>
  <c r="T29" i="3" s="1"/>
  <c r="T105" i="3" s="1"/>
  <c r="H246" i="3"/>
  <c r="S29" i="3"/>
  <c r="H179" i="3"/>
  <c r="G132" i="3"/>
  <c r="G133" i="3" s="1"/>
  <c r="G191" i="3"/>
  <c r="N99" i="3"/>
  <c r="L99" i="3"/>
  <c r="I99" i="3"/>
  <c r="G99" i="3"/>
  <c r="G188" i="3"/>
  <c r="K154" i="3"/>
  <c r="G154" i="3"/>
  <c r="H154" i="3" s="1"/>
  <c r="O154" i="3"/>
  <c r="J180" i="3"/>
  <c r="D180" i="3"/>
  <c r="J154" i="3"/>
  <c r="I154" i="3"/>
  <c r="F180" i="3"/>
  <c r="H177" i="3"/>
  <c r="E154" i="3"/>
  <c r="F154" i="3"/>
  <c r="D154" i="3"/>
  <c r="E180" i="3"/>
  <c r="O180" i="3"/>
  <c r="I180" i="3"/>
  <c r="L179" i="3"/>
  <c r="L154" i="3"/>
  <c r="M154" i="3" s="1"/>
  <c r="K180" i="3"/>
  <c r="G180" i="3"/>
  <c r="H180" i="3" s="1"/>
  <c r="H147" i="3"/>
  <c r="N154" i="3"/>
  <c r="N180" i="3"/>
  <c r="L37" i="3"/>
  <c r="G37" i="3"/>
  <c r="K28" i="3"/>
  <c r="F28" i="3"/>
  <c r="G28" i="3" s="1"/>
  <c r="J28" i="3"/>
  <c r="N28" i="3"/>
  <c r="I28" i="3"/>
  <c r="L16" i="3"/>
  <c r="L15" i="3"/>
  <c r="L14" i="3"/>
  <c r="L13" i="3"/>
  <c r="L12" i="3"/>
  <c r="L92" i="3" s="1"/>
  <c r="M17" i="3"/>
  <c r="J17" i="3"/>
  <c r="K17" i="3"/>
  <c r="I17" i="3"/>
  <c r="F17" i="3"/>
  <c r="E17" i="3"/>
  <c r="D17" i="3"/>
  <c r="H17" i="3"/>
  <c r="G13" i="3"/>
  <c r="G14" i="3"/>
  <c r="G15" i="3"/>
  <c r="G16" i="3"/>
  <c r="G12" i="3"/>
  <c r="G90" i="3" s="1"/>
  <c r="O181" i="3" l="1"/>
  <c r="T106" i="3"/>
  <c r="L90" i="3"/>
  <c r="G91" i="3"/>
  <c r="L91" i="3"/>
  <c r="G92" i="3"/>
  <c r="G52" i="3"/>
  <c r="L52" i="3"/>
  <c r="S106" i="3"/>
  <c r="S105" i="3"/>
  <c r="M179" i="3"/>
  <c r="L132" i="3"/>
  <c r="L133" i="3" s="1"/>
  <c r="N29" i="3"/>
  <c r="H97" i="3"/>
  <c r="H100" i="3"/>
  <c r="H98" i="3"/>
  <c r="H96" i="3"/>
  <c r="H101" i="3"/>
  <c r="D101" i="3"/>
  <c r="D98" i="3"/>
  <c r="D96" i="3"/>
  <c r="D97" i="3"/>
  <c r="D100" i="3"/>
  <c r="K101" i="3"/>
  <c r="K100" i="3"/>
  <c r="K98" i="3"/>
  <c r="K97" i="3"/>
  <c r="K96" i="3"/>
  <c r="K181" i="3"/>
  <c r="L104" i="3"/>
  <c r="L103" i="3"/>
  <c r="J98" i="3"/>
  <c r="J96" i="3"/>
  <c r="J101" i="3"/>
  <c r="J100" i="3"/>
  <c r="J97" i="3"/>
  <c r="I98" i="3"/>
  <c r="I96" i="3"/>
  <c r="I101" i="3"/>
  <c r="I100" i="3"/>
  <c r="I97" i="3"/>
  <c r="O135" i="3"/>
  <c r="O136" i="3" s="1"/>
  <c r="O105" i="3"/>
  <c r="O106" i="3"/>
  <c r="E98" i="3"/>
  <c r="E96" i="3"/>
  <c r="E101" i="3"/>
  <c r="E100" i="3"/>
  <c r="E97" i="3"/>
  <c r="G104" i="3"/>
  <c r="G103" i="3"/>
  <c r="F101" i="3"/>
  <c r="F100" i="3"/>
  <c r="F97" i="3"/>
  <c r="F98" i="3"/>
  <c r="F96" i="3"/>
  <c r="M97" i="3"/>
  <c r="M101" i="3"/>
  <c r="M100" i="3"/>
  <c r="M98" i="3"/>
  <c r="M96" i="3"/>
  <c r="E29" i="3"/>
  <c r="E95" i="3"/>
  <c r="E93" i="3"/>
  <c r="E94" i="3"/>
  <c r="J95" i="3"/>
  <c r="J94" i="3"/>
  <c r="J93" i="3"/>
  <c r="D29" i="3"/>
  <c r="D94" i="3"/>
  <c r="D95" i="3"/>
  <c r="D93" i="3"/>
  <c r="F94" i="3"/>
  <c r="F93" i="3"/>
  <c r="F95" i="3"/>
  <c r="K94" i="3"/>
  <c r="K93" i="3"/>
  <c r="K95" i="3"/>
  <c r="M29" i="3"/>
  <c r="M94" i="3"/>
  <c r="M93" i="3"/>
  <c r="M95" i="3"/>
  <c r="H29" i="3"/>
  <c r="H94" i="3"/>
  <c r="H93" i="3"/>
  <c r="H95" i="3"/>
  <c r="I93" i="3"/>
  <c r="I95" i="3"/>
  <c r="I94" i="3"/>
  <c r="L180" i="3"/>
  <c r="M180" i="3" s="1"/>
  <c r="N181" i="3"/>
  <c r="L28" i="3"/>
  <c r="F29" i="3"/>
  <c r="J29" i="3"/>
  <c r="K29" i="3"/>
  <c r="I29" i="3"/>
  <c r="L17" i="3"/>
  <c r="M191" i="3"/>
  <c r="M194" i="3"/>
  <c r="N38" i="3" l="1"/>
  <c r="N135" i="3" s="1"/>
  <c r="N136" i="3" s="1"/>
  <c r="M38" i="3"/>
  <c r="M102" i="3" s="1"/>
  <c r="O40" i="3"/>
  <c r="N105" i="3"/>
  <c r="N102" i="3"/>
  <c r="N106" i="3"/>
  <c r="O102" i="3"/>
  <c r="H38" i="3"/>
  <c r="H102" i="3" s="1"/>
  <c r="H105" i="3"/>
  <c r="H106" i="3"/>
  <c r="J38" i="3"/>
  <c r="J135" i="3" s="1"/>
  <c r="J136" i="3" s="1"/>
  <c r="J106" i="3"/>
  <c r="J105" i="3"/>
  <c r="E38" i="3"/>
  <c r="E135" i="3" s="1"/>
  <c r="E136" i="3" s="1"/>
  <c r="E106" i="3"/>
  <c r="E105" i="3"/>
  <c r="D38" i="3"/>
  <c r="D135" i="3" s="1"/>
  <c r="D136" i="3" s="1"/>
  <c r="D105" i="3"/>
  <c r="D106" i="3"/>
  <c r="K38" i="3"/>
  <c r="K135" i="3" s="1"/>
  <c r="K136" i="3" s="1"/>
  <c r="K105" i="3"/>
  <c r="K106" i="3"/>
  <c r="L100" i="3"/>
  <c r="L101" i="3"/>
  <c r="I38" i="3"/>
  <c r="I135" i="3" s="1"/>
  <c r="I136" i="3" s="1"/>
  <c r="I106" i="3"/>
  <c r="I105" i="3"/>
  <c r="F38" i="3"/>
  <c r="F135" i="3" s="1"/>
  <c r="F136" i="3" s="1"/>
  <c r="F105" i="3"/>
  <c r="F106" i="3"/>
  <c r="M106" i="3"/>
  <c r="M105" i="3"/>
  <c r="L98" i="3"/>
  <c r="L97" i="3"/>
  <c r="L96" i="3"/>
  <c r="L95" i="3"/>
  <c r="L94" i="3"/>
  <c r="L93" i="3"/>
  <c r="G29" i="3"/>
  <c r="L29" i="3"/>
  <c r="M40" i="3"/>
  <c r="D181" i="3"/>
  <c r="O42" i="3" l="1"/>
  <c r="O44" i="3" s="1"/>
  <c r="O48" i="3" s="1"/>
  <c r="O186" i="3"/>
  <c r="O201" i="3" s="1"/>
  <c r="O204" i="3" s="1"/>
  <c r="O206" i="3" s="1"/>
  <c r="N40" i="3"/>
  <c r="O47" i="3"/>
  <c r="O46" i="3"/>
  <c r="J40" i="3"/>
  <c r="J42" i="3" s="1"/>
  <c r="J44" i="3" s="1"/>
  <c r="J48" i="3" s="1"/>
  <c r="E40" i="3"/>
  <c r="E42" i="3" s="1"/>
  <c r="E44" i="3" s="1"/>
  <c r="E48" i="3" s="1"/>
  <c r="I102" i="3"/>
  <c r="F102" i="3"/>
  <c r="K102" i="3"/>
  <c r="D102" i="3"/>
  <c r="N42" i="3"/>
  <c r="D40" i="3"/>
  <c r="D42" i="3" s="1"/>
  <c r="D44" i="3" s="1"/>
  <c r="D48" i="3" s="1"/>
  <c r="H40" i="3"/>
  <c r="H42" i="3" s="1"/>
  <c r="H44" i="3" s="1"/>
  <c r="I40" i="3"/>
  <c r="I42" i="3" s="1"/>
  <c r="I44" i="3" s="1"/>
  <c r="I48" i="3" s="1"/>
  <c r="K40" i="3"/>
  <c r="E102" i="3"/>
  <c r="J102" i="3"/>
  <c r="L38" i="3"/>
  <c r="L135" i="3" s="1"/>
  <c r="L136" i="3" s="1"/>
  <c r="F40" i="3"/>
  <c r="F42" i="3" s="1"/>
  <c r="F44" i="3" s="1"/>
  <c r="F48" i="3" s="1"/>
  <c r="G38" i="3"/>
  <c r="G135" i="3" s="1"/>
  <c r="G136" i="3" s="1"/>
  <c r="L105" i="3"/>
  <c r="L106" i="3"/>
  <c r="M42" i="3"/>
  <c r="M44" i="3" s="1"/>
  <c r="K42" i="3" l="1"/>
  <c r="K44" i="3" s="1"/>
  <c r="K48" i="3" s="1"/>
  <c r="K186" i="3"/>
  <c r="N186" i="3"/>
  <c r="P186" i="3" s="1"/>
  <c r="P201" i="3" s="1"/>
  <c r="E46" i="3"/>
  <c r="J47" i="3"/>
  <c r="J46" i="3"/>
  <c r="E47" i="3"/>
  <c r="G102" i="3"/>
  <c r="L102" i="3"/>
  <c r="N47" i="3"/>
  <c r="N46" i="3"/>
  <c r="N44" i="3"/>
  <c r="N48" i="3" s="1"/>
  <c r="K46" i="3"/>
  <c r="L40" i="3"/>
  <c r="L186" i="3" s="1"/>
  <c r="F47" i="3"/>
  <c r="F46" i="3"/>
  <c r="D47" i="3"/>
  <c r="D46" i="3"/>
  <c r="G42" i="3"/>
  <c r="L42" i="3"/>
  <c r="M49" i="3" s="1"/>
  <c r="G40" i="3"/>
  <c r="G186" i="3" s="1"/>
  <c r="I46" i="3"/>
  <c r="I47" i="3"/>
  <c r="K47" i="3" l="1"/>
  <c r="N201" i="3"/>
  <c r="N204" i="3" s="1"/>
  <c r="N206" i="3" s="1"/>
  <c r="L47" i="3"/>
  <c r="G46" i="3"/>
  <c r="G47" i="3"/>
  <c r="L46" i="3"/>
  <c r="M50" i="3"/>
  <c r="M246" i="3" s="1"/>
  <c r="L44" i="3"/>
  <c r="L48" i="3" s="1"/>
  <c r="H48" i="3"/>
  <c r="G44" i="3"/>
  <c r="G48" i="3" s="1"/>
  <c r="K224" i="3"/>
  <c r="I224" i="3"/>
  <c r="D224" i="3"/>
  <c r="I212" i="3"/>
  <c r="G212" i="3"/>
  <c r="F212" i="3"/>
  <c r="E212" i="3"/>
  <c r="D212" i="3"/>
  <c r="K212" i="3"/>
  <c r="M207" i="3"/>
  <c r="H188" i="3"/>
  <c r="M48" i="3" l="1"/>
  <c r="M223" i="3"/>
  <c r="G181" i="3"/>
  <c r="H212" i="3"/>
  <c r="J212" i="3"/>
  <c r="E181" i="3"/>
  <c r="I181" i="3"/>
  <c r="F181" i="3"/>
  <c r="H181" i="3" l="1"/>
  <c r="J181" i="3" l="1"/>
  <c r="L181" i="3" l="1"/>
  <c r="M181" i="3" l="1"/>
  <c r="M51" i="3" l="1"/>
  <c r="W51" i="3" l="1"/>
  <c r="K201" i="3" l="1"/>
  <c r="K204" i="3" s="1"/>
  <c r="K206" i="3" s="1"/>
  <c r="I186" i="3" l="1"/>
  <c r="F186" i="3"/>
  <c r="F201" i="3" s="1"/>
  <c r="F204" i="3" s="1"/>
  <c r="F206" i="3" s="1"/>
  <c r="I201" i="3" l="1"/>
  <c r="J186" i="3"/>
  <c r="J201" i="3" s="1"/>
  <c r="J204" i="3" s="1"/>
  <c r="J206" i="3" s="1"/>
  <c r="D186" i="3"/>
  <c r="D201" i="3" s="1"/>
  <c r="D204" i="3" s="1"/>
  <c r="D206" i="3" l="1"/>
  <c r="I204" i="3"/>
  <c r="D247" i="3"/>
  <c r="I206" i="3" l="1"/>
  <c r="E186" i="3"/>
  <c r="E201" i="3" s="1"/>
  <c r="E204" i="3" l="1"/>
  <c r="G201" i="3"/>
  <c r="G204" i="3" s="1"/>
  <c r="G206" i="3" s="1"/>
  <c r="E206" i="3" l="1"/>
  <c r="H206" i="3" s="1"/>
  <c r="H204" i="3"/>
  <c r="E247" i="3"/>
  <c r="F247" i="3" l="1"/>
  <c r="M186" i="3" l="1"/>
  <c r="R51" i="3" l="1"/>
  <c r="G17" i="3" l="1"/>
  <c r="G101" i="3" l="1"/>
  <c r="G100" i="3"/>
  <c r="G105" i="3"/>
  <c r="G106" i="3"/>
  <c r="G98" i="3"/>
  <c r="G96" i="3"/>
  <c r="G97" i="3"/>
  <c r="G94" i="3"/>
  <c r="G93" i="3"/>
  <c r="G95" i="3"/>
  <c r="G247" i="3" l="1"/>
  <c r="H247" i="3" l="1"/>
  <c r="M247" i="3" l="1"/>
  <c r="I247" i="3"/>
  <c r="J247" i="3"/>
  <c r="K247" i="3" l="1"/>
  <c r="L247" i="3"/>
  <c r="M188" i="3" l="1"/>
  <c r="L201" i="3"/>
  <c r="L208" i="3"/>
  <c r="L210" i="3"/>
  <c r="L211" i="3"/>
  <c r="L214" i="3"/>
  <c r="L224" i="3" s="1"/>
  <c r="H191" i="3"/>
  <c r="H186" i="3"/>
  <c r="H201" i="3"/>
  <c r="H223" i="3"/>
  <c r="H224" i="3" s="1"/>
  <c r="G224" i="3"/>
  <c r="M221" i="3"/>
  <c r="M224" i="3" s="1"/>
  <c r="L204" i="3" l="1"/>
  <c r="M201" i="3"/>
  <c r="L212" i="3"/>
  <c r="L206" i="3" l="1"/>
  <c r="M206" i="3" s="1"/>
  <c r="M204" i="3"/>
  <c r="U13" i="3" l="1"/>
  <c r="U52" i="3" s="1"/>
  <c r="Q17" i="3" l="1"/>
  <c r="U17" i="3"/>
  <c r="V13" i="3"/>
  <c r="V52" i="3" s="1"/>
  <c r="Q97" i="3" l="1"/>
  <c r="Q93" i="3"/>
  <c r="Q101" i="3"/>
  <c r="Q96" i="3"/>
  <c r="Q98" i="3"/>
  <c r="Q94" i="3"/>
  <c r="Q100" i="3"/>
  <c r="Q95" i="3"/>
  <c r="U24" i="3"/>
  <c r="U27" i="3"/>
  <c r="U23" i="3"/>
  <c r="U26" i="3"/>
  <c r="U22" i="3"/>
  <c r="U103" i="3" s="1"/>
  <c r="U33" i="3"/>
  <c r="U25" i="3"/>
  <c r="V17" i="3"/>
  <c r="W17" i="3" s="1"/>
  <c r="W13" i="3"/>
  <c r="R21" i="3" l="1"/>
  <c r="R19" i="3"/>
  <c r="R20" i="3"/>
  <c r="V22" i="3"/>
  <c r="W22" i="3" s="1"/>
  <c r="W20" i="3"/>
  <c r="V25" i="3"/>
  <c r="W25" i="3" s="1"/>
  <c r="V27" i="3"/>
  <c r="W27" i="3" s="1"/>
  <c r="V33" i="3"/>
  <c r="W33" i="3" s="1"/>
  <c r="W19" i="3"/>
  <c r="V23" i="3"/>
  <c r="W23" i="3" s="1"/>
  <c r="V34" i="3"/>
  <c r="V24" i="3"/>
  <c r="W24" i="3" s="1"/>
  <c r="W21" i="3"/>
  <c r="V26" i="3"/>
  <c r="W26" i="3" s="1"/>
  <c r="U37" i="3"/>
  <c r="U28" i="3"/>
  <c r="U104" i="3"/>
  <c r="Q37" i="3" l="1"/>
  <c r="Q28" i="3"/>
  <c r="U29" i="3"/>
  <c r="V28" i="3"/>
  <c r="V29" i="3" s="1"/>
  <c r="V103" i="3"/>
  <c r="V104" i="3"/>
  <c r="V37" i="3"/>
  <c r="Q29" i="3" l="1"/>
  <c r="W28" i="3"/>
  <c r="W29" i="3" s="1"/>
  <c r="V38" i="3"/>
  <c r="V106" i="3"/>
  <c r="V105" i="3"/>
  <c r="U105" i="3"/>
  <c r="U106" i="3"/>
  <c r="U38" i="3"/>
  <c r="U135" i="3" s="1"/>
  <c r="Q106" i="3" l="1"/>
  <c r="Q105" i="3"/>
  <c r="Q38" i="3"/>
  <c r="U136" i="3"/>
  <c r="U39" i="3"/>
  <c r="V135" i="3"/>
  <c r="V136" i="3" s="1"/>
  <c r="V39" i="3"/>
  <c r="V40" i="3" s="1"/>
  <c r="V42" i="3" s="1"/>
  <c r="Q102" i="3" l="1"/>
  <c r="Q135" i="3"/>
  <c r="Q136" i="3"/>
  <c r="U40" i="3"/>
  <c r="U42" i="3" s="1"/>
  <c r="U44" i="3" s="1"/>
  <c r="U48" i="3" s="1"/>
  <c r="V44" i="3"/>
  <c r="V48" i="3" s="1"/>
  <c r="V47" i="3"/>
  <c r="V46" i="3"/>
  <c r="U46" i="3" l="1"/>
  <c r="U47" i="3"/>
  <c r="P82" i="3" l="1"/>
  <c r="P60" i="3"/>
  <c r="R13" i="3"/>
  <c r="R17" i="3" s="1"/>
  <c r="P17" i="3" l="1"/>
  <c r="P101" i="3" l="1"/>
  <c r="P96" i="3"/>
  <c r="P100" i="3"/>
  <c r="P95" i="3"/>
  <c r="P98" i="3"/>
  <c r="P97" i="3"/>
  <c r="P93" i="3"/>
  <c r="P94" i="3"/>
  <c r="R27" i="3"/>
  <c r="R26" i="3"/>
  <c r="R23" i="3"/>
  <c r="R25" i="3"/>
  <c r="R24" i="3"/>
  <c r="R34" i="3"/>
  <c r="R33" i="3" l="1"/>
  <c r="P37" i="3"/>
  <c r="R37" i="3" s="1"/>
  <c r="T101" i="3"/>
  <c r="T37" i="3" s="1"/>
  <c r="T38" i="3" s="1"/>
  <c r="P28" i="3"/>
  <c r="R22" i="3"/>
  <c r="T39" i="3" l="1"/>
  <c r="T40" i="3" s="1"/>
  <c r="T42" i="3" s="1"/>
  <c r="T135" i="3"/>
  <c r="T136" i="3" s="1"/>
  <c r="S37" i="3"/>
  <c r="W34" i="3"/>
  <c r="R28" i="3"/>
  <c r="R29" i="3" s="1"/>
  <c r="P29" i="3"/>
  <c r="P105" i="3" l="1"/>
  <c r="P106" i="3"/>
  <c r="W37" i="3"/>
  <c r="W38" i="3" s="1"/>
  <c r="S38" i="3"/>
  <c r="S135" i="3" s="1"/>
  <c r="T47" i="3"/>
  <c r="T46" i="3"/>
  <c r="T44" i="3"/>
  <c r="T48" i="3" s="1"/>
  <c r="P38" i="3"/>
  <c r="P102" i="3" s="1"/>
  <c r="R38" i="3"/>
  <c r="Q40" i="3" l="1"/>
  <c r="P135" i="3"/>
  <c r="P136" i="3" s="1"/>
  <c r="S39" i="3"/>
  <c r="W39" i="3" s="1"/>
  <c r="S136" i="3"/>
  <c r="Q42" i="3" l="1"/>
  <c r="Q46" i="3" s="1"/>
  <c r="Q186" i="3"/>
  <c r="Q201" i="3" s="1"/>
  <c r="R39" i="3"/>
  <c r="Q44" i="3"/>
  <c r="Q48" i="3" s="1"/>
  <c r="P40" i="3"/>
  <c r="P42" i="3" s="1"/>
  <c r="W40" i="3"/>
  <c r="W42" i="3" s="1"/>
  <c r="S40" i="3"/>
  <c r="S42" i="3" s="1"/>
  <c r="W49" i="3" s="1"/>
  <c r="Q47" i="3" l="1"/>
  <c r="W44" i="3"/>
  <c r="Q226" i="3"/>
  <c r="R226" i="3" s="1"/>
  <c r="R228" i="3" s="1"/>
  <c r="S46" i="3"/>
  <c r="S44" i="3"/>
  <c r="S48" i="3" s="1"/>
  <c r="R40" i="3"/>
  <c r="P46" i="3"/>
  <c r="W50" i="3"/>
  <c r="W47" i="3" s="1"/>
  <c r="P47" i="3"/>
  <c r="S47" i="3"/>
  <c r="W46" i="3"/>
  <c r="C6" i="3"/>
  <c r="Q228" i="3" l="1"/>
  <c r="W48" i="3"/>
  <c r="R42" i="3"/>
  <c r="R50" i="3" s="1"/>
  <c r="R186" i="3"/>
  <c r="P43" i="3"/>
  <c r="R49" i="3" l="1"/>
  <c r="R46" i="3" s="1"/>
  <c r="R47" i="3"/>
  <c r="R246" i="3"/>
  <c r="C7" i="3"/>
  <c r="P44" i="3"/>
  <c r="P48" i="3" s="1"/>
  <c r="R43" i="3"/>
  <c r="R44" i="3" s="1"/>
  <c r="R48" i="3" s="1"/>
  <c r="R194" i="3" l="1"/>
  <c r="R201" i="3"/>
</calcChain>
</file>

<file path=xl/comments1.xml><?xml version="1.0" encoding="utf-8"?>
<comments xmlns="http://schemas.openxmlformats.org/spreadsheetml/2006/main">
  <authors>
    <author>newuser</author>
  </authors>
  <commentList>
    <comment ref="Q31" authorId="0" shapeId="0">
      <text>
        <r>
          <rPr>
            <b/>
            <sz val="9"/>
            <color indexed="81"/>
            <rFont val="Tahoma"/>
            <family val="2"/>
          </rPr>
          <t>newuser:</t>
        </r>
        <r>
          <rPr>
            <sz val="9"/>
            <color indexed="81"/>
            <rFont val="Tahoma"/>
            <family val="2"/>
          </rPr>
          <t xml:space="preserve">
210-225
</t>
        </r>
      </text>
    </comment>
  </commentList>
</comments>
</file>

<file path=xl/sharedStrings.xml><?xml version="1.0" encoding="utf-8"?>
<sst xmlns="http://schemas.openxmlformats.org/spreadsheetml/2006/main" count="395" uniqueCount="263">
  <si>
    <t>(Dollars in millions, except per share data)</t>
  </si>
  <si>
    <t>Multiple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</si>
  <si>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</si>
  <si>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</si>
  <si>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</si>
  <si>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</si>
  <si>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</si>
  <si>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</si>
  <si>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</si>
  <si>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</si>
  <si>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</si>
  <si>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</si>
  <si>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</si>
  <si>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</si>
  <si>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</si>
  <si>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</si>
  <si>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</si>
  <si>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</si>
  <si>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</si>
  <si>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FY 2014</t>
  </si>
  <si>
    <t>FY 2017E</t>
  </si>
  <si>
    <t>Implied P/E 12-month target value</t>
  </si>
  <si>
    <t>1Q14</t>
  </si>
  <si>
    <t>2Q14</t>
  </si>
  <si>
    <t>3Q14</t>
  </si>
  <si>
    <t>4Q14</t>
  </si>
  <si>
    <t>1Q15</t>
  </si>
  <si>
    <t>2Q15</t>
  </si>
  <si>
    <t>1Q16E</t>
  </si>
  <si>
    <t>2Q16E</t>
  </si>
  <si>
    <t>3Q16E</t>
  </si>
  <si>
    <t>1Q17E</t>
  </si>
  <si>
    <t>2Q17E</t>
  </si>
  <si>
    <t>3Q17E</t>
  </si>
  <si>
    <t>4Q17E</t>
  </si>
  <si>
    <t>3Q15</t>
  </si>
  <si>
    <t>Gross margin (GAAP)</t>
  </si>
  <si>
    <t>Effective income tax rate</t>
  </si>
  <si>
    <t>Operating Income Margin (GAAP)</t>
  </si>
  <si>
    <t>Operating Income Margin (Non-GAAP)</t>
  </si>
  <si>
    <t>Interest expense</t>
  </si>
  <si>
    <t>Other income (expense), net</t>
  </si>
  <si>
    <t>($ in millions  unless otherwise noted)</t>
  </si>
  <si>
    <t>Ratio Analysis</t>
  </si>
  <si>
    <t>Gross margin (Non-GAAP)</t>
  </si>
  <si>
    <t>Non-GAAP Adjustment Analysis</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</si>
  <si>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</si>
  <si>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</si>
  <si>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</si>
  <si>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</si>
  <si>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</si>
  <si>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</si>
  <si>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</si>
  <si>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</si>
  <si>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</si>
  <si>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</si>
  <si>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</si>
  <si>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</si>
  <si>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Total Assets</t>
  </si>
  <si>
    <t>Accounts payable</t>
  </si>
  <si>
    <t>Other long-term liabilities</t>
  </si>
  <si>
    <t>Total shareholders' equity</t>
  </si>
  <si>
    <t>Total liabilities and equity</t>
  </si>
  <si>
    <t>CASH FLOW STATEMENT</t>
  </si>
  <si>
    <t>Cash flows from operating activities</t>
  </si>
  <si>
    <t>Net income (loss)</t>
  </si>
  <si>
    <t>Cash flows from investing activities</t>
  </si>
  <si>
    <t>Cash flows from financing activities</t>
  </si>
  <si>
    <t>Net increase (decrease) in cash and equivalents</t>
  </si>
  <si>
    <t>Effect of exchange rate changes on cash</t>
  </si>
  <si>
    <t>Cash and equivalents at beginning of period</t>
  </si>
  <si>
    <t>Cash and equivalents at end of period</t>
  </si>
  <si>
    <t>Net cash/(debt) per diluted share (Non-GAAP)</t>
  </si>
  <si>
    <t xml:space="preserve">Common stock </t>
  </si>
  <si>
    <t>Anadarko Petroleum Corporation Income Statement</t>
  </si>
  <si>
    <t xml:space="preserve">Revenues and Other </t>
  </si>
  <si>
    <t>Oil and condensate sales</t>
  </si>
  <si>
    <t xml:space="preserve">Natural - gas sales </t>
  </si>
  <si>
    <t>Natural-gas liquids sales</t>
  </si>
  <si>
    <t xml:space="preserve">Gathering, processing, and marketing sales </t>
  </si>
  <si>
    <t>Gains (losses) on divestitures and other, net</t>
  </si>
  <si>
    <t>Total</t>
  </si>
  <si>
    <t>1Q16</t>
  </si>
  <si>
    <t>2Q16</t>
  </si>
  <si>
    <t>Cost and Expenses</t>
  </si>
  <si>
    <t>Oil and gas operating</t>
  </si>
  <si>
    <t>Oil and gas transportation</t>
  </si>
  <si>
    <t>Exploration</t>
  </si>
  <si>
    <t>Gathering, processing, and marketing</t>
  </si>
  <si>
    <t xml:space="preserve">General and administrative </t>
  </si>
  <si>
    <t>Depreciation, depletion, and amortization</t>
  </si>
  <si>
    <t>Other operating expense</t>
  </si>
  <si>
    <t xml:space="preserve">Total </t>
  </si>
  <si>
    <t xml:space="preserve">Operating Income (Loss) </t>
  </si>
  <si>
    <t>Other (Income) Expense</t>
  </si>
  <si>
    <t xml:space="preserve">Other taxes </t>
  </si>
  <si>
    <t>Impairments</t>
  </si>
  <si>
    <t>(Gains) losses on derivatives, net</t>
  </si>
  <si>
    <t>Tronox-related contingent loss</t>
  </si>
  <si>
    <t xml:space="preserve">Income tax expense (benefit) </t>
  </si>
  <si>
    <t>Net income (Loss)</t>
  </si>
  <si>
    <t xml:space="preserve">Income (Loss) before income taxes </t>
  </si>
  <si>
    <t>Net income (Loss) attributable to noncontrolling interests</t>
  </si>
  <si>
    <t>Net income (Loss) attributable to Common Stockholders</t>
  </si>
  <si>
    <t>Per Common Share</t>
  </si>
  <si>
    <t>Net income (loss) attributable to common stockholders - basic</t>
  </si>
  <si>
    <t>Net income (loss) attributable to common stockholders - diluted</t>
  </si>
  <si>
    <t>Average Number of Common Shares Outstanding - Basic</t>
  </si>
  <si>
    <t>Average Number of Common Shares Outstanding - Diluted</t>
  </si>
  <si>
    <t>Dividends (per Common share)</t>
  </si>
  <si>
    <t>Deepwater Horizon contingent loss</t>
  </si>
  <si>
    <t xml:space="preserve">Accounts receivables (net of allowance) </t>
  </si>
  <si>
    <t>Current Assets</t>
  </si>
  <si>
    <t>Cash and cash equivalents</t>
  </si>
  <si>
    <t xml:space="preserve">Customers </t>
  </si>
  <si>
    <t>Other Current Assets</t>
  </si>
  <si>
    <t xml:space="preserve">Properties and Equipment </t>
  </si>
  <si>
    <t>Cost</t>
  </si>
  <si>
    <t>Less accumulated depreciation, depletion, and amortization</t>
  </si>
  <si>
    <t xml:space="preserve">Net properties and equipment </t>
  </si>
  <si>
    <t>Other Assets</t>
  </si>
  <si>
    <t>Goodwill and Other Intangible Assets</t>
  </si>
  <si>
    <t>Current asset retirement obligations</t>
  </si>
  <si>
    <t>Interest payable</t>
  </si>
  <si>
    <t>Other taxes payable</t>
  </si>
  <si>
    <t>Accrued expenses</t>
  </si>
  <si>
    <t>Short-term debt</t>
  </si>
  <si>
    <t>Curreent Liabilities</t>
  </si>
  <si>
    <t>Long-term debt</t>
  </si>
  <si>
    <t>Deffered income taxes</t>
  </si>
  <si>
    <t>Asset retirement obligations</t>
  </si>
  <si>
    <t>Other</t>
  </si>
  <si>
    <t>Stockholders' Equity</t>
  </si>
  <si>
    <t>Paid-in capital</t>
  </si>
  <si>
    <t>Retained earnings</t>
  </si>
  <si>
    <t>Treasury stock</t>
  </si>
  <si>
    <t>Accumulated other comprehensive income (loss)</t>
  </si>
  <si>
    <t xml:space="preserve">Noncontrolling interests </t>
  </si>
  <si>
    <t>Total Equity</t>
  </si>
  <si>
    <t>Others</t>
  </si>
  <si>
    <t>Litigation-related contingent liability [Deepwater Horizon]</t>
  </si>
  <si>
    <t>Litigation-related contingent liability [Tronox Litigation]</t>
  </si>
  <si>
    <t>Adjustments to reconcile net income (loss) to net cash provided by (used in) operating activities</t>
  </si>
  <si>
    <t xml:space="preserve">Depreciation, depletion, and amortization </t>
  </si>
  <si>
    <t xml:space="preserve">Dry hole expense and impraiments of unproved properties </t>
  </si>
  <si>
    <t>(Gains) losses on divestitures, net</t>
  </si>
  <si>
    <t>Total (gains) losses on derivatives, net</t>
  </si>
  <si>
    <t>Operating portion of net cash received (paid) in settlement of derivative instrument</t>
  </si>
  <si>
    <t>Changes in operating assets and liabilities</t>
  </si>
  <si>
    <t>Increase (decrease) in accounts payable and accrued expenses</t>
  </si>
  <si>
    <t>Other items, net</t>
  </si>
  <si>
    <t>Net cash provided by (used) operating activities</t>
  </si>
  <si>
    <t>Additions to properties and equipment and dry hole costs</t>
  </si>
  <si>
    <t>Divestitures of properties and equipment and other assets</t>
  </si>
  <si>
    <t>Other, net</t>
  </si>
  <si>
    <t>Borrowings, net of issuance costs</t>
  </si>
  <si>
    <t>Repayments of debt</t>
  </si>
  <si>
    <t>Financing portion of net cash received (paid) for derivatives</t>
  </si>
  <si>
    <t>Increase (decrease) in outstanding checks</t>
  </si>
  <si>
    <t>Dividends paid</t>
  </si>
  <si>
    <t>Repurchase of common stock</t>
  </si>
  <si>
    <t>Issuance of common stock, including tax benefit on share-based compensation awards</t>
  </si>
  <si>
    <t>Distributions to noncontrolling interest owners</t>
  </si>
  <si>
    <t>Proceeds from conveyance of future hard minerals royalty revenues, net of transaction costs</t>
  </si>
  <si>
    <t>Net cash provided by (used for) investing activities</t>
  </si>
  <si>
    <t>Net cash provided by (used for) financing activities</t>
  </si>
  <si>
    <t>Subsidiary Equity Transactions [Member]</t>
  </si>
  <si>
    <t>Sale of subsidiary units</t>
  </si>
  <si>
    <t>Tronox Litigation [Member] | Judicial Ruling [Member]</t>
  </si>
  <si>
    <t>Changes in Assets and liabilities</t>
  </si>
  <si>
    <t>Litigation-related contigent loss</t>
  </si>
  <si>
    <t>Excluding Certain International Locations [Member]</t>
  </si>
  <si>
    <t>Adjustments to reconcile net income (loss) to net cash provided by operating activities</t>
  </si>
  <si>
    <t>Deferred Income Taxes</t>
  </si>
  <si>
    <t>Deferred Income Tax</t>
  </si>
  <si>
    <t xml:space="preserve">Loss on early extinguishment of debt </t>
  </si>
  <si>
    <t>Deepwater Horizon [Member] | Pending Litigation [Member]</t>
  </si>
  <si>
    <t>Acquisition of Businesses</t>
  </si>
  <si>
    <t>Equity Component of 7.5% Tangible Equity Units [Member]</t>
  </si>
  <si>
    <t>Proceeds from equity issuances</t>
  </si>
  <si>
    <t xml:space="preserve">International </t>
  </si>
  <si>
    <t>United States</t>
  </si>
  <si>
    <t>Sales Volume</t>
  </si>
  <si>
    <t>Oil and condensate sales (MMBbls)</t>
  </si>
  <si>
    <t>Natural - gas sales (Bcf)</t>
  </si>
  <si>
    <t>Natural-gas liquids sales (MMBbls)</t>
  </si>
  <si>
    <t>Natural - gas sales (USD per Mcf)</t>
  </si>
  <si>
    <t>Oil and condensate sales (USD per Bbl)</t>
  </si>
  <si>
    <t>Natural-gas liquids sales (USD per Bbl)</t>
  </si>
  <si>
    <t xml:space="preserve">Oil &amp; Condensate sales volume growth rate: United States (QoQ) </t>
  </si>
  <si>
    <t>NG sales volume growth rate: United States (QoQ)</t>
  </si>
  <si>
    <t>NGL sales volume growth rate: United States (QoQ)</t>
  </si>
  <si>
    <t xml:space="preserve">Oil &amp; Condensate sales volume growth rate: Intl. (QoQ) </t>
  </si>
  <si>
    <t>NG sales volume growth rate: Intl. (QoQ)</t>
  </si>
  <si>
    <t>Average Sales Prices (ASP)</t>
  </si>
  <si>
    <t>Gathering, processing, and marketing as a % of revenue</t>
  </si>
  <si>
    <t>General and administrative as a % of revenue</t>
  </si>
  <si>
    <t>Depreciation, depletion, and amortization as a % of revenue</t>
  </si>
  <si>
    <t xml:space="preserve">Average interest expense </t>
  </si>
  <si>
    <t>Other taxes as a % of revenue</t>
  </si>
  <si>
    <t>Impairments as a % of revenue</t>
  </si>
  <si>
    <t>Other operating expense as a % of revenue</t>
  </si>
  <si>
    <t>(Gains) losses on derivatives (net) as a % of revenue</t>
  </si>
  <si>
    <t>Other income/expense (net) as a % of revenue</t>
  </si>
  <si>
    <t>Total gains (losses) on derivatives, net less net cash from settlement of commodity derivatives</t>
  </si>
  <si>
    <t>Gains (losses) on divestitures, net</t>
  </si>
  <si>
    <t xml:space="preserve">Impairments </t>
  </si>
  <si>
    <t>Restructuring charges</t>
  </si>
  <si>
    <t>Loss on early extinguishment of debt</t>
  </si>
  <si>
    <t>Third-party well and platform decommissioning obligation</t>
  </si>
  <si>
    <t>Change in uncertain tax positions (FIN 48)</t>
  </si>
  <si>
    <t xml:space="preserve">(Increase) decrease in accounts receivable </t>
  </si>
  <si>
    <t>Discretionary cash flow from operations (Non-GAAP)</t>
  </si>
  <si>
    <t>Current taxes related to asset monetizations and Tronox tax position (Non-GAAP)</t>
  </si>
  <si>
    <t>Certain nonoperating and other excluded items (Non-GAAP)</t>
  </si>
  <si>
    <t>Less certain items affecting comparability (Non-GAAP)</t>
  </si>
  <si>
    <t>Adjusted net income (loss) (Non-GAAP)</t>
  </si>
  <si>
    <t>Net income (loss) attributable to common stockholders - diluted (Non-GAAP)</t>
  </si>
  <si>
    <t>Less CAPEX (Non-GAAP)</t>
  </si>
  <si>
    <t>Free cash flow (Non-GAAP)</t>
  </si>
  <si>
    <t>Early Termination of rig</t>
  </si>
  <si>
    <t xml:space="preserve">Interest Expense related to Tronox settlement </t>
  </si>
  <si>
    <t>Adjustments for certain items affecting comparability (after tax) (NI)</t>
  </si>
  <si>
    <t>Total Debt</t>
  </si>
  <si>
    <t>Less cash and cash equivalents</t>
  </si>
  <si>
    <t>Net Debt</t>
  </si>
  <si>
    <t>Adjusted Capitalization</t>
  </si>
  <si>
    <t>Non-GAAP Adjustments to Balance Sheet</t>
  </si>
  <si>
    <t>Clean Water Act penalty accrual</t>
  </si>
  <si>
    <t>Settlement accrual</t>
  </si>
  <si>
    <t>Inventory adjustments</t>
  </si>
  <si>
    <t>Environmental reserves</t>
  </si>
  <si>
    <t>Other adjustments</t>
  </si>
  <si>
    <t>Litigation settlement</t>
  </si>
  <si>
    <t>Cash received in early settlement of oil derivatives</t>
  </si>
  <si>
    <t>Consolidated Adjusted EBITDAX</t>
  </si>
  <si>
    <t>Adjusted EBITDAX Margin (%)</t>
  </si>
  <si>
    <t>NGL sales volume growth rate: Intl. (QoQ)</t>
  </si>
  <si>
    <t>Revenue by Product</t>
  </si>
  <si>
    <t>Oil and condensate sales ($M)</t>
  </si>
  <si>
    <t>Natural - gas sales ($M)</t>
  </si>
  <si>
    <t>Natural-gas liquids sales ($M)</t>
  </si>
  <si>
    <t>Hedge and other reconciling items</t>
  </si>
  <si>
    <t>Oil and gas operating as a % of oil revenue</t>
  </si>
  <si>
    <t>Oil and gas transportation as a % of oil revenue</t>
  </si>
  <si>
    <t>Exploration as a % of oil revenue</t>
  </si>
  <si>
    <t>Tax Indemnification</t>
  </si>
  <si>
    <t>3Q16</t>
  </si>
  <si>
    <t>4Q16</t>
  </si>
  <si>
    <t>FY 2016</t>
  </si>
  <si>
    <t>Producing and general properties</t>
  </si>
  <si>
    <t>Exploration assets</t>
  </si>
  <si>
    <t>NTM P/E 3-month average</t>
  </si>
  <si>
    <t>NTM P/E 3-month high</t>
  </si>
  <si>
    <t>NTM P/E 3-month low</t>
  </si>
  <si>
    <t>P/E  used for valuation</t>
  </si>
  <si>
    <t>NTM Adjusted  EPS</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</si>
  <si>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2/10/2017.</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</si>
  <si>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2/10/2017. </t>
    </r>
  </si>
  <si>
    <t xml:space="preserve">(a) Multiples based on the 3-month average daily share price compared to the Adjusted EPS estimates for the next twelve month period. </t>
  </si>
  <si>
    <t>Purple cells = Company guidance (last update 2/10/17)</t>
  </si>
  <si>
    <t>Orange cells = Consensus estimates (updated 2/10/17)</t>
  </si>
  <si>
    <t>Blue cells = Gutenberg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</si>
</sst>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0.000%"/>
    <numFmt numFmtId="228" formatCode="&quot;$&quot;#,##0.00"/>
    <numFmt numFmtId="229" formatCode="_(* #,##0.00000_);_(* \(#,##0.00000\);_(* &quot;-&quot;??_);_(@_)"/>
    <numFmt numFmtId="230" formatCode="0.0000%"/>
  </numFmts>
  <fonts count="73"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b/>
      <i/>
      <sz val="11"/>
      <color theme="1"/>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7"/>
      </patternFill>
    </fill>
    <fill>
      <patternFill patternType="solid">
        <fgColor theme="9"/>
      </patternFill>
    </fill>
    <fill>
      <patternFill patternType="solid">
        <fgColor theme="3" tint="0.59999389629810485"/>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dashed">
        <color indexed="64"/>
      </bottom>
      <diagonal/>
    </border>
    <border>
      <left style="thin">
        <color auto="1"/>
      </left>
      <right/>
      <top/>
      <bottom style="dashed">
        <color indexed="64"/>
      </bottom>
      <diagonal/>
    </border>
    <border>
      <left/>
      <right style="thin">
        <color auto="1"/>
      </right>
      <top/>
      <bottom style="dashed">
        <color indexed="64"/>
      </bottom>
      <diagonal/>
    </border>
    <border>
      <left/>
      <right/>
      <top/>
      <bottom style="dashed">
        <color indexed="64"/>
      </bottom>
      <diagonal/>
    </border>
    <border>
      <left style="thin">
        <color indexed="64"/>
      </left>
      <right style="thin">
        <color auto="1"/>
      </right>
      <top style="dashed">
        <color indexed="64"/>
      </top>
      <bottom/>
      <diagonal/>
    </border>
    <border>
      <left style="thin">
        <color auto="1"/>
      </left>
      <right style="thin">
        <color indexed="64"/>
      </right>
      <top style="dotted">
        <color auto="1"/>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thin">
        <color indexed="64"/>
      </right>
      <top style="thin">
        <color indexed="64"/>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1" fillId="0" borderId="0" applyAlignment="0" applyProtection="0"/>
    <xf numFmtId="183" fontId="23"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3" fillId="0" borderId="0" applyFill="0" applyBorder="0" applyAlignment="0"/>
    <xf numFmtId="180" fontId="9" fillId="0" borderId="0" applyFill="0" applyBorder="0" applyAlignment="0"/>
    <xf numFmtId="176" fontId="9" fillId="0" borderId="0" applyFill="0" applyBorder="0" applyAlignment="0"/>
    <xf numFmtId="0" fontId="33" fillId="0" borderId="0" applyFill="0" applyBorder="0" applyProtection="0">
      <alignment horizontal="center"/>
      <protection locked="0"/>
    </xf>
    <xf numFmtId="0" fontId="22" fillId="0" borderId="0"/>
    <xf numFmtId="171" fontId="22" fillId="0" borderId="7"/>
    <xf numFmtId="215" fontId="1" fillId="0" borderId="0"/>
    <xf numFmtId="215" fontId="1" fillId="0" borderId="0"/>
    <xf numFmtId="183"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5" fontId="38" fillId="0" borderId="0" applyFill="0" applyBorder="0" applyProtection="0"/>
    <xf numFmtId="184" fontId="39" fillId="0" borderId="0" applyFont="0" applyFill="0" applyBorder="0" applyAlignment="0" applyProtection="0"/>
    <xf numFmtId="172" fontId="40"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3" fontId="43" fillId="0" borderId="0" applyFill="0" applyBorder="0" applyAlignment="0"/>
    <xf numFmtId="176" fontId="9" fillId="0" borderId="0" applyFill="0" applyBorder="0" applyAlignment="0"/>
    <xf numFmtId="183" fontId="43" fillId="0" borderId="0" applyFill="0" applyBorder="0" applyAlignment="0"/>
    <xf numFmtId="180" fontId="9" fillId="0" borderId="0" applyFill="0" applyBorder="0" applyAlignment="0"/>
    <xf numFmtId="176" fontId="9" fillId="0" borderId="0" applyFill="0" applyBorder="0" applyAlignment="0"/>
    <xf numFmtId="172" fontId="40" fillId="0" borderId="20">
      <protection hidden="1"/>
    </xf>
    <xf numFmtId="193"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9" fontId="29" fillId="0" borderId="7"/>
    <xf numFmtId="37" fontId="51" fillId="0" borderId="0"/>
    <xf numFmtId="170" fontId="22" fillId="0" borderId="0"/>
    <xf numFmtId="170" fontId="1" fillId="0" borderId="0"/>
    <xf numFmtId="175"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4" fontId="35" fillId="0" borderId="0"/>
    <xf numFmtId="173" fontId="40"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9" fontId="29" fillId="0" borderId="0"/>
    <xf numFmtId="0" fontId="52" fillId="10" borderId="24" applyNumberFormat="0" applyFont="0" applyFill="0" applyAlignment="0">
      <alignment horizontal="center" vertical="center"/>
    </xf>
    <xf numFmtId="183" fontId="47" fillId="0" borderId="0" applyFill="0" applyBorder="0" applyAlignment="0"/>
    <xf numFmtId="176" fontId="9" fillId="0" borderId="0" applyFill="0" applyBorder="0" applyAlignment="0"/>
    <xf numFmtId="183" fontId="47" fillId="0" borderId="0" applyFill="0" applyBorder="0" applyAlignment="0"/>
    <xf numFmtId="180" fontId="9" fillId="0" borderId="0" applyFill="0" applyBorder="0" applyAlignment="0"/>
    <xf numFmtId="176"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4"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44" fontId="1" fillId="0" borderId="0" applyFont="0" applyFill="0" applyBorder="0" applyAlignment="0" applyProtection="0"/>
    <xf numFmtId="0" fontId="69" fillId="12" borderId="0" applyNumberFormat="0" applyBorder="0" applyAlignment="0" applyProtection="0"/>
    <xf numFmtId="0" fontId="69" fillId="13" borderId="0" applyNumberFormat="0" applyBorder="0" applyAlignment="0" applyProtection="0"/>
  </cellStyleXfs>
  <cellXfs count="415">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0" fillId="0" borderId="0" xfId="0"/>
    <xf numFmtId="168" fontId="0" fillId="0" borderId="0" xfId="1" applyNumberFormat="1" applyFont="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0" fontId="0" fillId="0" borderId="6" xfId="0" applyFont="1" applyFill="1" applyBorder="1" applyAlignment="1">
      <alignment horizontal="lef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5" fontId="3" fillId="0" borderId="5" xfId="1" quotePrefix="1" applyNumberFormat="1" applyFont="1" applyFill="1" applyBorder="1" applyAlignment="1">
      <alignment horizontal="right"/>
    </xf>
    <xf numFmtId="166" fontId="1" fillId="0" borderId="5" xfId="2"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165" fontId="1" fillId="0" borderId="28" xfId="1" quotePrefix="1" applyNumberFormat="1" applyFont="1" applyFill="1" applyBorder="1" applyAlignment="1">
      <alignment horizontal="right"/>
    </xf>
    <xf numFmtId="165" fontId="1" fillId="0" borderId="27" xfId="1" quotePrefix="1" applyNumberFormat="1" applyFont="1" applyFill="1" applyBorder="1" applyAlignment="1">
      <alignment horizontal="right"/>
    </xf>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0" xfId="0"/>
    <xf numFmtId="165" fontId="1" fillId="0" borderId="29" xfId="1" quotePrefix="1" applyNumberFormat="1" applyFont="1" applyFill="1" applyBorder="1" applyAlignment="1">
      <alignment horizontal="right"/>
    </xf>
    <xf numFmtId="165" fontId="1" fillId="0" borderId="30" xfId="1" quotePrefix="1" applyNumberFormat="1" applyFont="1" applyFill="1" applyBorder="1" applyAlignment="1">
      <alignment horizontal="right"/>
    </xf>
    <xf numFmtId="166" fontId="1" fillId="0" borderId="30" xfId="2" quotePrefix="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4" fontId="65" fillId="5" borderId="11" xfId="1" quotePrefix="1" applyNumberFormat="1" applyFont="1" applyFill="1" applyBorder="1" applyAlignment="1">
      <alignment horizontal="right"/>
    </xf>
    <xf numFmtId="164" fontId="66" fillId="5" borderId="4" xfId="1" quotePrefix="1" applyNumberFormat="1" applyFont="1" applyFill="1" applyBorder="1" applyAlignment="1">
      <alignment horizontal="right"/>
    </xf>
    <xf numFmtId="0" fontId="0" fillId="0" borderId="0" xfId="0" applyFill="1"/>
    <xf numFmtId="165" fontId="2" fillId="0" borderId="0" xfId="0" applyNumberFormat="1" applyFont="1"/>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165" fontId="0" fillId="0" borderId="0" xfId="1" applyNumberFormat="1" applyFont="1"/>
    <xf numFmtId="168" fontId="1" fillId="0" borderId="3"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11" fillId="0" borderId="0" xfId="1" applyNumberFormat="1" applyFont="1" applyFill="1" applyBorder="1" applyAlignment="1">
      <alignment horizontal="right"/>
    </xf>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6" fontId="1" fillId="0" borderId="27" xfId="2" quotePrefix="1" applyNumberFormat="1" applyFont="1" applyFill="1" applyBorder="1" applyAlignment="1">
      <alignment horizontal="right"/>
    </xf>
    <xf numFmtId="168" fontId="0" fillId="0" borderId="0" xfId="1" applyNumberFormat="1" applyFont="1"/>
    <xf numFmtId="168" fontId="0" fillId="0" borderId="0" xfId="1" applyNumberFormat="1" applyFont="1" applyAlignment="1">
      <alignment horizontal="right"/>
    </xf>
    <xf numFmtId="226" fontId="0" fillId="0" borderId="4" xfId="2" applyNumberFormat="1" applyFont="1" applyFill="1" applyBorder="1" applyAlignment="1">
      <alignment horizontal="right"/>
    </xf>
    <xf numFmtId="226" fontId="0" fillId="2" borderId="4" xfId="1" applyNumberFormat="1" applyFont="1" applyFill="1" applyBorder="1" applyAlignment="1">
      <alignment horizontal="right"/>
    </xf>
    <xf numFmtId="0" fontId="2" fillId="0" borderId="28" xfId="0" applyFont="1" applyFill="1" applyBorder="1" applyAlignment="1">
      <alignment horizontal="left"/>
    </xf>
    <xf numFmtId="0" fontId="2" fillId="0" borderId="29"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9" fontId="0" fillId="2" borderId="4" xfId="2" applyFont="1" applyFill="1" applyBorder="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168" fontId="0" fillId="0" borderId="3" xfId="1" applyNumberFormat="1" applyFont="1" applyFill="1" applyBorder="1" applyAlignment="1">
      <alignment horizontal="right"/>
    </xf>
    <xf numFmtId="168" fontId="0" fillId="0" borderId="0"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Fill="1" applyBorder="1" applyAlignment="1">
      <alignment horizontal="right"/>
    </xf>
    <xf numFmtId="0" fontId="0" fillId="0" borderId="0" xfId="0" applyFont="1" applyAlignment="1">
      <alignment horizontal="left"/>
    </xf>
    <xf numFmtId="168" fontId="0" fillId="0" borderId="0" xfId="0" applyNumberFormat="1" applyAlignment="1">
      <alignment horizontal="righ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5" fontId="0" fillId="0" borderId="0"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1" fillId="0" borderId="0" xfId="2" quotePrefix="1" applyNumberFormat="1" applyFont="1" applyFill="1" applyBorder="1" applyAlignment="1">
      <alignment horizontal="right"/>
    </xf>
    <xf numFmtId="165" fontId="13" fillId="0" borderId="0" xfId="1" quotePrefix="1" applyNumberFormat="1" applyFont="1" applyFill="1" applyBorder="1" applyAlignment="1">
      <alignment horizontal="right"/>
    </xf>
    <xf numFmtId="0" fontId="10" fillId="0" borderId="0" xfId="0" applyFont="1"/>
    <xf numFmtId="164" fontId="19" fillId="0" borderId="0" xfId="1" quotePrefix="1" applyNumberFormat="1" applyFont="1" applyFill="1" applyBorder="1" applyAlignment="1">
      <alignment horizontal="right"/>
    </xf>
    <xf numFmtId="164" fontId="19" fillId="0"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Fill="1" applyBorder="1" applyAlignment="1">
      <alignment horizontal="left"/>
    </xf>
    <xf numFmtId="0" fontId="2" fillId="0" borderId="4" xfId="0" applyFont="1" applyFill="1" applyBorder="1" applyAlignment="1">
      <alignment horizontal="left"/>
    </xf>
    <xf numFmtId="0" fontId="10" fillId="0" borderId="3" xfId="0" applyFont="1" applyFill="1" applyBorder="1" applyAlignment="1">
      <alignment horizontal="lef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165" fontId="1" fillId="0" borderId="5" xfId="1" applyNumberFormat="1" applyFont="1" applyFill="1" applyBorder="1" applyAlignment="1">
      <alignment horizontal="right"/>
    </xf>
    <xf numFmtId="165" fontId="1" fillId="0" borderId="3" xfId="1" applyNumberFormat="1" applyFont="1" applyFill="1" applyBorder="1" applyAlignment="1">
      <alignment horizontal="right"/>
    </xf>
    <xf numFmtId="165" fontId="10" fillId="0" borderId="0" xfId="1" applyNumberFormat="1" applyFont="1" applyFill="1" applyBorder="1" applyAlignment="1">
      <alignment horizontal="right"/>
    </xf>
    <xf numFmtId="165" fontId="2"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3" xfId="1" applyNumberFormat="1" applyFont="1" applyFill="1" applyBorder="1" applyAlignment="1">
      <alignment horizontal="right"/>
    </xf>
    <xf numFmtId="165" fontId="11" fillId="0" borderId="0" xfId="1" applyNumberFormat="1" applyFont="1" applyFill="1" applyBorder="1" applyAlignment="1">
      <alignment horizontal="right"/>
    </xf>
    <xf numFmtId="164" fontId="19" fillId="0" borderId="5" xfId="1" quotePrefix="1" applyNumberFormat="1" applyFont="1" applyFill="1" applyBorder="1" applyAlignment="1">
      <alignment horizontal="right"/>
    </xf>
    <xf numFmtId="43" fontId="1" fillId="0" borderId="8" xfId="1" applyNumberFormat="1" applyFont="1" applyFill="1" applyBorder="1" applyAlignment="1">
      <alignment horizontal="right"/>
    </xf>
    <xf numFmtId="165" fontId="10" fillId="0" borderId="0" xfId="1" quotePrefix="1" applyNumberFormat="1" applyFont="1" applyFill="1" applyBorder="1" applyAlignment="1">
      <alignment horizontal="right"/>
    </xf>
    <xf numFmtId="165" fontId="10" fillId="0" borderId="4" xfId="1" quotePrefix="1" applyNumberFormat="1" applyFont="1" applyFill="1" applyBorder="1" applyAlignment="1">
      <alignment horizontal="right"/>
    </xf>
    <xf numFmtId="165" fontId="11" fillId="0" borderId="4" xfId="1" quotePrefix="1"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4" xfId="1" applyNumberFormat="1" applyFont="1" applyFill="1" applyBorder="1" applyAlignment="1">
      <alignment horizontal="right"/>
    </xf>
    <xf numFmtId="165" fontId="10" fillId="0" borderId="5" xfId="1" quotePrefix="1" applyNumberFormat="1" applyFont="1" applyFill="1" applyBorder="1" applyAlignment="1">
      <alignment horizontal="right"/>
    </xf>
    <xf numFmtId="165" fontId="3" fillId="0" borderId="3" xfId="1" applyNumberFormat="1" applyFont="1" applyFill="1" applyBorder="1" applyAlignment="1">
      <alignment horizontal="right"/>
    </xf>
    <xf numFmtId="165" fontId="19" fillId="0" borderId="0" xfId="1" applyNumberFormat="1" applyFont="1" applyFill="1" applyBorder="1" applyAlignment="1">
      <alignment horizontal="right"/>
    </xf>
    <xf numFmtId="165" fontId="3" fillId="0" borderId="5" xfId="1" applyNumberFormat="1" applyFont="1" applyFill="1" applyBorder="1" applyAlignment="1">
      <alignment horizontal="right"/>
    </xf>
    <xf numFmtId="165" fontId="19" fillId="0" borderId="4" xfId="1" quotePrefix="1" applyNumberFormat="1" applyFont="1" applyFill="1" applyBorder="1" applyAlignment="1">
      <alignment horizontal="right"/>
    </xf>
    <xf numFmtId="165" fontId="11" fillId="0" borderId="0" xfId="1" quotePrefix="1" applyNumberFormat="1" applyFont="1" applyFill="1" applyBorder="1" applyAlignment="1">
      <alignment horizontal="right"/>
    </xf>
    <xf numFmtId="165" fontId="19" fillId="0" borderId="0" xfId="1" quotePrefix="1" applyNumberFormat="1" applyFont="1" applyFill="1" applyBorder="1" applyAlignment="1">
      <alignment horizontal="right"/>
    </xf>
    <xf numFmtId="165" fontId="67" fillId="0" borderId="0" xfId="1" applyNumberFormat="1" applyFont="1"/>
    <xf numFmtId="165" fontId="67" fillId="0" borderId="0" xfId="1" applyNumberFormat="1" applyFont="1" applyBorder="1"/>
    <xf numFmtId="165" fontId="8" fillId="0" borderId="0" xfId="1" applyNumberFormat="1" applyFont="1"/>
    <xf numFmtId="165" fontId="8" fillId="0" borderId="10" xfId="1" applyNumberFormat="1" applyFont="1" applyBorder="1"/>
    <xf numFmtId="165" fontId="10" fillId="0" borderId="0" xfId="1" applyNumberFormat="1" applyFont="1" applyFill="1" applyAlignment="1">
      <alignment vertical="top"/>
    </xf>
    <xf numFmtId="165" fontId="8" fillId="0" borderId="7" xfId="1" applyNumberFormat="1" applyFont="1" applyBorder="1"/>
    <xf numFmtId="165" fontId="10" fillId="0" borderId="0" xfId="1" applyNumberFormat="1" applyFont="1" applyBorder="1" applyAlignment="1">
      <alignment horizontal="right"/>
    </xf>
    <xf numFmtId="165" fontId="4" fillId="0" borderId="0" xfId="1" applyNumberFormat="1" applyFont="1" applyBorder="1" applyAlignment="1">
      <alignment horizontal="right"/>
    </xf>
    <xf numFmtId="165" fontId="1" fillId="0" borderId="0" xfId="1" applyNumberFormat="1" applyFont="1" applyBorder="1" applyAlignment="1">
      <alignment horizontal="right"/>
    </xf>
    <xf numFmtId="165" fontId="1" fillId="0" borderId="5" xfId="1" applyNumberFormat="1" applyFont="1" applyBorder="1" applyAlignment="1">
      <alignment horizontal="right"/>
    </xf>
    <xf numFmtId="165" fontId="4" fillId="0" borderId="5" xfId="1" applyNumberFormat="1" applyFont="1" applyBorder="1" applyAlignment="1">
      <alignment horizontal="right"/>
    </xf>
    <xf numFmtId="165" fontId="3" fillId="0" borderId="5" xfId="1" applyNumberFormat="1" applyFont="1" applyBorder="1" applyAlignment="1">
      <alignment horizontal="right"/>
    </xf>
    <xf numFmtId="165" fontId="3" fillId="0" borderId="8" xfId="1" applyNumberFormat="1" applyFont="1" applyBorder="1" applyAlignment="1">
      <alignment horizontal="right"/>
    </xf>
    <xf numFmtId="165" fontId="3" fillId="0" borderId="8" xfId="1" applyNumberFormat="1" applyFont="1" applyFill="1" applyBorder="1" applyAlignment="1">
      <alignment horizontal="right"/>
    </xf>
    <xf numFmtId="165" fontId="1" fillId="0" borderId="0" xfId="1" applyNumberFormat="1"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3" xfId="0" applyFont="1" applyFill="1" applyBorder="1" applyAlignment="1">
      <alignment horizontal="left"/>
    </xf>
    <xf numFmtId="0" fontId="0" fillId="0" borderId="4" xfId="0" applyFont="1" applyFill="1" applyBorder="1" applyAlignment="1">
      <alignment horizontal="left"/>
    </xf>
    <xf numFmtId="165" fontId="0" fillId="0" borderId="5" xfId="1" applyNumberFormat="1" applyFont="1" applyFill="1" applyBorder="1" applyAlignment="1">
      <alignment horizontal="right"/>
    </xf>
    <xf numFmtId="165" fontId="0" fillId="0" borderId="0" xfId="0" applyNumberFormat="1" applyFill="1" applyBorder="1"/>
    <xf numFmtId="165" fontId="0" fillId="0" borderId="4" xfId="1" applyNumberFormat="1" applyFont="1" applyFill="1" applyBorder="1" applyAlignment="1">
      <alignment horizontal="right"/>
    </xf>
    <xf numFmtId="165" fontId="0" fillId="0" borderId="3" xfId="1" applyNumberFormat="1" applyFont="1" applyBorder="1" applyAlignment="1">
      <alignment horizontal="right"/>
    </xf>
    <xf numFmtId="165" fontId="2" fillId="0" borderId="3"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165" fontId="0" fillId="0" borderId="0" xfId="0" applyNumberFormat="1" applyFont="1"/>
    <xf numFmtId="165" fontId="4" fillId="0" borderId="0" xfId="0" applyNumberFormat="1" applyFont="1"/>
    <xf numFmtId="165" fontId="2" fillId="0" borderId="0" xfId="1" applyNumberFormat="1" applyFont="1" applyBorder="1" applyAlignment="1">
      <alignment horizontal="right"/>
    </xf>
    <xf numFmtId="165" fontId="1" fillId="0" borderId="3" xfId="1" applyNumberFormat="1" applyFont="1" applyBorder="1" applyAlignment="1">
      <alignment horizontal="right"/>
    </xf>
    <xf numFmtId="165" fontId="4" fillId="0" borderId="3" xfId="1" applyNumberFormat="1" applyFont="1" applyBorder="1" applyAlignment="1">
      <alignment horizontal="right"/>
    </xf>
    <xf numFmtId="165" fontId="2" fillId="0" borderId="3" xfId="1" applyNumberFormat="1" applyFont="1" applyBorder="1" applyAlignment="1">
      <alignment horizontal="right"/>
    </xf>
    <xf numFmtId="165" fontId="2" fillId="0" borderId="5" xfId="1" applyNumberFormat="1" applyFont="1" applyBorder="1" applyAlignment="1">
      <alignment horizontal="right"/>
    </xf>
    <xf numFmtId="165" fontId="0" fillId="0" borderId="0" xfId="0" applyNumberFormat="1" applyFont="1" applyFill="1"/>
    <xf numFmtId="165" fontId="1" fillId="0" borderId="6" xfId="1" applyNumberFormat="1" applyFont="1" applyFill="1" applyBorder="1" applyAlignment="1">
      <alignment horizontal="right"/>
    </xf>
    <xf numFmtId="165" fontId="1" fillId="0" borderId="7" xfId="1" applyNumberFormat="1" applyFont="1" applyBorder="1" applyAlignment="1">
      <alignment horizontal="right"/>
    </xf>
    <xf numFmtId="165" fontId="1" fillId="0" borderId="8" xfId="1" applyNumberFormat="1" applyFont="1" applyBorder="1" applyAlignment="1">
      <alignment horizontal="right"/>
    </xf>
    <xf numFmtId="165" fontId="1" fillId="0" borderId="7" xfId="1" applyNumberFormat="1" applyFont="1" applyFill="1" applyBorder="1" applyAlignment="1">
      <alignment horizontal="right"/>
    </xf>
    <xf numFmtId="0" fontId="0" fillId="0" borderId="4" xfId="0" applyFont="1" applyFill="1" applyBorder="1" applyAlignment="1"/>
    <xf numFmtId="0" fontId="2" fillId="0" borderId="3" xfId="0" applyFont="1" applyFill="1" applyBorder="1" applyAlignment="1"/>
    <xf numFmtId="0" fontId="2" fillId="0" borderId="4" xfId="0" applyFont="1" applyFill="1" applyBorder="1" applyAlignment="1"/>
    <xf numFmtId="165" fontId="1" fillId="0" borderId="0" xfId="1" quotePrefix="1" applyNumberFormat="1" applyFont="1" applyFill="1" applyBorder="1" applyAlignment="1">
      <alignment horizontal="right" wrapText="1"/>
    </xf>
    <xf numFmtId="0" fontId="0" fillId="0" borderId="0" xfId="0" applyFill="1" applyBorder="1" applyAlignment="1">
      <alignment wrapText="1"/>
    </xf>
    <xf numFmtId="0" fontId="70" fillId="0" borderId="4" xfId="0" applyFont="1" applyFill="1" applyBorder="1" applyAlignment="1">
      <alignment horizontal="left" wrapText="1"/>
    </xf>
    <xf numFmtId="0" fontId="2" fillId="0" borderId="3" xfId="0" applyFont="1" applyFill="1" applyBorder="1" applyAlignment="1">
      <alignment horizontal="left" indent="1"/>
    </xf>
    <xf numFmtId="0" fontId="10" fillId="0" borderId="3" xfId="0" applyFont="1" applyFill="1" applyBorder="1" applyAlignment="1">
      <alignment horizontal="left" indent="2"/>
    </xf>
    <xf numFmtId="0" fontId="0" fillId="0" borderId="0" xfId="0" applyFont="1" applyFill="1" applyBorder="1"/>
    <xf numFmtId="165" fontId="1" fillId="0" borderId="5" xfId="2" quotePrefix="1" applyNumberFormat="1" applyFont="1" applyFill="1" applyBorder="1" applyAlignment="1">
      <alignment horizontal="right"/>
    </xf>
    <xf numFmtId="43" fontId="1" fillId="0" borderId="5" xfId="2" quotePrefix="1" applyNumberFormat="1" applyFont="1" applyFill="1" applyBorder="1" applyAlignment="1">
      <alignment horizontal="right"/>
    </xf>
    <xf numFmtId="43" fontId="0" fillId="0" borderId="5" xfId="1" quotePrefix="1" applyFont="1" applyFill="1" applyBorder="1" applyAlignment="1">
      <alignment horizontal="right"/>
    </xf>
    <xf numFmtId="43" fontId="1" fillId="0" borderId="0" xfId="1" quotePrefix="1" applyNumberFormat="1" applyFont="1" applyFill="1" applyBorder="1" applyAlignment="1">
      <alignment horizontal="right"/>
    </xf>
    <xf numFmtId="43" fontId="1" fillId="0" borderId="5" xfId="1" quotePrefix="1" applyNumberFormat="1" applyFont="1" applyFill="1" applyBorder="1" applyAlignment="1">
      <alignment horizontal="right"/>
    </xf>
    <xf numFmtId="43" fontId="1" fillId="0" borderId="0" xfId="2" quotePrefix="1" applyNumberFormat="1" applyFont="1" applyFill="1" applyBorder="1" applyAlignment="1">
      <alignment horizontal="right"/>
    </xf>
    <xf numFmtId="165" fontId="1" fillId="0" borderId="37" xfId="1" quotePrefix="1" applyNumberFormat="1" applyFont="1" applyFill="1" applyBorder="1" applyAlignment="1">
      <alignment horizontal="right" wrapText="1"/>
    </xf>
    <xf numFmtId="9" fontId="0" fillId="0" borderId="5" xfId="2" quotePrefix="1" applyFont="1" applyFill="1" applyBorder="1" applyAlignment="1">
      <alignment horizontal="right"/>
    </xf>
    <xf numFmtId="10" fontId="1" fillId="0" borderId="5" xfId="2" quotePrefix="1" applyNumberFormat="1" applyFont="1" applyFill="1" applyBorder="1" applyAlignment="1">
      <alignment horizontal="right"/>
    </xf>
    <xf numFmtId="10" fontId="1" fillId="2" borderId="0" xfId="2" quotePrefix="1" applyNumberFormat="1" applyFont="1" applyFill="1" applyBorder="1" applyAlignment="1">
      <alignment horizontal="right"/>
    </xf>
    <xf numFmtId="43" fontId="1" fillId="2" borderId="0" xfId="1" quotePrefix="1" applyFont="1" applyFill="1" applyBorder="1" applyAlignment="1">
      <alignment horizontal="right"/>
    </xf>
    <xf numFmtId="9" fontId="1" fillId="0" borderId="5" xfId="2" quotePrefix="1" applyNumberFormat="1" applyFont="1" applyFill="1" applyBorder="1" applyAlignment="1">
      <alignment horizontal="right"/>
    </xf>
    <xf numFmtId="43" fontId="1" fillId="2" borderId="0" xfId="1" quotePrefix="1" applyNumberFormat="1" applyFont="1" applyFill="1" applyBorder="1" applyAlignment="1">
      <alignment horizontal="right"/>
    </xf>
    <xf numFmtId="10" fontId="0" fillId="2" borderId="0" xfId="2" quotePrefix="1" applyNumberFormat="1" applyFont="1" applyFill="1" applyBorder="1" applyAlignment="1">
      <alignment horizontal="right"/>
    </xf>
    <xf numFmtId="10" fontId="1" fillId="2" borderId="0" xfId="1" quotePrefix="1" applyNumberFormat="1" applyFont="1" applyFill="1" applyBorder="1" applyAlignment="1">
      <alignment horizontal="right"/>
    </xf>
    <xf numFmtId="165" fontId="10" fillId="0" borderId="5" xfId="1" applyNumberFormat="1" applyFont="1" applyFill="1" applyBorder="1" applyAlignment="1">
      <alignment horizontal="right"/>
    </xf>
    <xf numFmtId="43" fontId="0" fillId="0" borderId="0" xfId="1" applyFont="1" applyFill="1" applyAlignment="1">
      <alignment horizontal="left"/>
    </xf>
    <xf numFmtId="0" fontId="0" fillId="0" borderId="0" xfId="0" applyFill="1" applyBorder="1" applyAlignment="1">
      <alignment horizontal="left" wrapText="1"/>
    </xf>
    <xf numFmtId="168" fontId="0" fillId="0" borderId="0" xfId="1" applyNumberFormat="1" applyFont="1" applyFill="1"/>
    <xf numFmtId="165" fontId="19" fillId="0" borderId="5" xfId="1" applyNumberFormat="1" applyFont="1" applyFill="1" applyBorder="1" applyAlignment="1">
      <alignment horizontal="right"/>
    </xf>
    <xf numFmtId="165" fontId="10" fillId="0" borderId="0" xfId="0" applyNumberFormat="1" applyFont="1"/>
    <xf numFmtId="165" fontId="11" fillId="0" borderId="5" xfId="1" quotePrefix="1" applyNumberFormat="1" applyFont="1" applyFill="1" applyBorder="1" applyAlignment="1">
      <alignment horizontal="right"/>
    </xf>
    <xf numFmtId="165" fontId="11" fillId="0" borderId="5" xfId="1" applyNumberFormat="1" applyFont="1" applyFill="1" applyBorder="1" applyAlignment="1">
      <alignment horizontal="right"/>
    </xf>
    <xf numFmtId="0" fontId="0" fillId="0" borderId="3" xfId="0" applyFont="1" applyBorder="1" applyAlignment="1">
      <alignment horizontal="left"/>
    </xf>
    <xf numFmtId="0" fontId="2" fillId="0" borderId="4" xfId="0" applyFont="1" applyBorder="1" applyAlignment="1">
      <alignment horizontal="left"/>
    </xf>
    <xf numFmtId="0" fontId="2" fillId="0" borderId="3" xfId="0" applyFont="1" applyFill="1" applyBorder="1" applyAlignment="1">
      <alignment horizontal="left"/>
    </xf>
    <xf numFmtId="0" fontId="2" fillId="0" borderId="10" xfId="0" applyFont="1" applyBorder="1" applyAlignment="1">
      <alignment horizontal="left"/>
    </xf>
    <xf numFmtId="0" fontId="0" fillId="0" borderId="6" xfId="0" applyFont="1" applyBorder="1" applyAlignment="1">
      <alignment horizontal="left"/>
    </xf>
    <xf numFmtId="0" fontId="2" fillId="0" borderId="4" xfId="0" applyFont="1" applyFill="1" applyBorder="1" applyAlignment="1">
      <alignment horizontal="left"/>
    </xf>
    <xf numFmtId="165" fontId="19" fillId="0" borderId="3" xfId="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Fill="1" applyBorder="1" applyAlignment="1">
      <alignment horizontal="right"/>
    </xf>
    <xf numFmtId="165" fontId="2"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165" fontId="3" fillId="0" borderId="0" xfId="1" quotePrefix="1" applyNumberFormat="1" applyFont="1" applyFill="1" applyBorder="1" applyAlignment="1">
      <alignment horizontal="right"/>
    </xf>
    <xf numFmtId="0" fontId="2" fillId="0" borderId="34" xfId="0" applyFont="1" applyFill="1" applyBorder="1" applyAlignment="1">
      <alignment horizontal="left"/>
    </xf>
    <xf numFmtId="0" fontId="2" fillId="0" borderId="35" xfId="0" applyFont="1" applyFill="1" applyBorder="1" applyAlignment="1">
      <alignment horizontal="left"/>
    </xf>
    <xf numFmtId="165" fontId="3" fillId="0" borderId="34" xfId="1" quotePrefix="1" applyNumberFormat="1" applyFont="1" applyFill="1" applyBorder="1" applyAlignment="1">
      <alignment horizontal="right"/>
    </xf>
    <xf numFmtId="165" fontId="3" fillId="0" borderId="36" xfId="1" quotePrefix="1" applyNumberFormat="1" applyFont="1" applyFill="1" applyBorder="1" applyAlignment="1">
      <alignment horizontal="right"/>
    </xf>
    <xf numFmtId="165" fontId="3" fillId="0" borderId="35" xfId="1" quotePrefix="1" applyNumberFormat="1" applyFont="1" applyFill="1" applyBorder="1" applyAlignment="1">
      <alignment horizontal="right"/>
    </xf>
    <xf numFmtId="165" fontId="3" fillId="0" borderId="33" xfId="1" quotePrefix="1" applyNumberFormat="1" applyFont="1" applyFill="1" applyBorder="1" applyAlignment="1">
      <alignment horizontal="right"/>
    </xf>
    <xf numFmtId="10" fontId="10" fillId="0" borderId="0" xfId="2" applyNumberFormat="1" applyFont="1"/>
    <xf numFmtId="165" fontId="0" fillId="0" borderId="0" xfId="1" applyNumberFormat="1" applyFont="1" applyFill="1"/>
    <xf numFmtId="165" fontId="3" fillId="0" borderId="27" xfId="1" quotePrefix="1" applyNumberFormat="1" applyFont="1" applyFill="1" applyBorder="1" applyAlignment="1">
      <alignment horizontal="right"/>
    </xf>
    <xf numFmtId="165" fontId="3" fillId="0" borderId="29" xfId="1" quotePrefix="1" applyNumberFormat="1" applyFont="1" applyFill="1" applyBorder="1" applyAlignment="1">
      <alignment horizontal="right"/>
    </xf>
    <xf numFmtId="165" fontId="3" fillId="0" borderId="30" xfId="1" quotePrefix="1" applyNumberFormat="1" applyFont="1" applyFill="1" applyBorder="1" applyAlignment="1">
      <alignment horizontal="right"/>
    </xf>
    <xf numFmtId="165" fontId="3" fillId="0" borderId="28" xfId="1" quotePrefix="1" applyNumberFormat="1" applyFont="1" applyFill="1" applyBorder="1" applyAlignment="1">
      <alignment horizontal="right"/>
    </xf>
    <xf numFmtId="165" fontId="10" fillId="0" borderId="0" xfId="2" applyNumberFormat="1" applyFont="1"/>
    <xf numFmtId="165" fontId="10" fillId="0" borderId="4" xfId="2" applyNumberFormat="1" applyFont="1" applyBorder="1"/>
    <xf numFmtId="166" fontId="1" fillId="0" borderId="29" xfId="2" quotePrefix="1" applyNumberFormat="1" applyFont="1" applyFill="1" applyBorder="1" applyAlignment="1">
      <alignment horizontal="right"/>
    </xf>
    <xf numFmtId="166" fontId="1" fillId="0" borderId="33" xfId="2" quotePrefix="1" applyNumberFormat="1" applyFont="1" applyFill="1" applyBorder="1" applyAlignment="1">
      <alignment horizontal="right"/>
    </xf>
    <xf numFmtId="227" fontId="0" fillId="0" borderId="0" xfId="2" quotePrefix="1" applyNumberFormat="1" applyFont="1" applyFill="1" applyBorder="1" applyAlignment="1">
      <alignment horizontal="right"/>
    </xf>
    <xf numFmtId="165" fontId="10" fillId="0" borderId="0" xfId="330" quotePrefix="1" applyNumberFormat="1" applyFont="1" applyFill="1" applyBorder="1" applyAlignment="1">
      <alignment horizontal="right"/>
    </xf>
    <xf numFmtId="43" fontId="10" fillId="0" borderId="7" xfId="1" applyNumberFormat="1" applyFont="1" applyFill="1" applyBorder="1" applyAlignment="1">
      <alignment horizontal="right"/>
    </xf>
    <xf numFmtId="43" fontId="10" fillId="0" borderId="10" xfId="1" applyNumberFormat="1" applyFont="1" applyFill="1" applyBorder="1" applyAlignment="1">
      <alignment horizontal="right"/>
    </xf>
    <xf numFmtId="44" fontId="10" fillId="0" borderId="0" xfId="329" applyFont="1"/>
    <xf numFmtId="165" fontId="1" fillId="0" borderId="10" xfId="1" applyNumberFormat="1" applyFont="1" applyFill="1" applyBorder="1" applyAlignment="1">
      <alignment horizontal="right"/>
    </xf>
    <xf numFmtId="43" fontId="1" fillId="0" borderId="6" xfId="1" applyNumberFormat="1" applyFont="1" applyFill="1" applyBorder="1" applyAlignment="1">
      <alignment horizontal="right"/>
    </xf>
    <xf numFmtId="43" fontId="1" fillId="0" borderId="7" xfId="1" applyNumberFormat="1" applyFont="1" applyBorder="1" applyAlignment="1">
      <alignment horizontal="right"/>
    </xf>
    <xf numFmtId="43" fontId="1" fillId="0" borderId="10" xfId="1" applyNumberFormat="1" applyFont="1" applyBorder="1" applyAlignment="1">
      <alignment horizontal="right"/>
    </xf>
    <xf numFmtId="43" fontId="1" fillId="0" borderId="8" xfId="1" applyNumberFormat="1" applyFont="1" applyBorder="1" applyAlignment="1">
      <alignment horizontal="right"/>
    </xf>
    <xf numFmtId="10" fontId="0" fillId="2" borderId="11" xfId="1" applyNumberFormat="1" applyFont="1" applyFill="1" applyBorder="1" applyAlignment="1">
      <alignment horizontal="right"/>
    </xf>
    <xf numFmtId="6" fontId="0" fillId="0" borderId="32" xfId="0" applyNumberFormat="1" applyFont="1" applyBorder="1" applyAlignment="1">
      <alignment horizontal="right"/>
    </xf>
    <xf numFmtId="168" fontId="10" fillId="0" borderId="0" xfId="0" applyNumberFormat="1" applyFont="1"/>
    <xf numFmtId="0" fontId="0" fillId="0" borderId="3"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43" fontId="10" fillId="2" borderId="0" xfId="1" applyNumberFormat="1" applyFont="1" applyFill="1" applyBorder="1" applyAlignment="1">
      <alignment horizontal="right"/>
    </xf>
    <xf numFmtId="43" fontId="1" fillId="4" borderId="0" xfId="1" applyNumberFormat="1" applyFont="1" applyFill="1" applyBorder="1" applyAlignment="1">
      <alignment horizontal="right"/>
    </xf>
    <xf numFmtId="164" fontId="11" fillId="0" borderId="0" xfId="1" quotePrefix="1" applyNumberFormat="1" applyFont="1" applyFill="1" applyBorder="1" applyAlignment="1">
      <alignment horizontal="right"/>
    </xf>
    <xf numFmtId="164" fontId="11" fillId="0" borderId="4" xfId="1" quotePrefix="1" applyNumberFormat="1" applyFont="1" applyFill="1" applyBorder="1" applyAlignment="1">
      <alignment horizontal="right"/>
    </xf>
    <xf numFmtId="0" fontId="10" fillId="0" borderId="28" xfId="0" applyFont="1" applyFill="1" applyBorder="1" applyAlignment="1">
      <alignment horizontal="left" indent="2"/>
    </xf>
    <xf numFmtId="43" fontId="1" fillId="0" borderId="30" xfId="1" quotePrefix="1" applyFont="1" applyFill="1" applyBorder="1" applyAlignment="1">
      <alignment horizontal="right"/>
    </xf>
    <xf numFmtId="43" fontId="1" fillId="0" borderId="27" xfId="1" quotePrefix="1" applyFont="1" applyFill="1" applyBorder="1" applyAlignment="1">
      <alignment horizontal="right"/>
    </xf>
    <xf numFmtId="43" fontId="1" fillId="0" borderId="30" xfId="1" quotePrefix="1" applyNumberFormat="1" applyFont="1" applyFill="1" applyBorder="1" applyAlignment="1">
      <alignment horizontal="right"/>
    </xf>
    <xf numFmtId="43" fontId="1" fillId="2" borderId="30" xfId="1" quotePrefix="1" applyNumberFormat="1" applyFont="1" applyFill="1" applyBorder="1" applyAlignment="1">
      <alignment horizontal="right"/>
    </xf>
    <xf numFmtId="43" fontId="1" fillId="0" borderId="27" xfId="1" quotePrefix="1" applyNumberFormat="1" applyFont="1" applyFill="1" applyBorder="1" applyAlignment="1">
      <alignment horizontal="right"/>
    </xf>
    <xf numFmtId="43" fontId="1" fillId="0" borderId="27" xfId="2" quotePrefix="1" applyNumberFormat="1" applyFont="1" applyFill="1" applyBorder="1" applyAlignment="1">
      <alignment horizontal="right"/>
    </xf>
    <xf numFmtId="165" fontId="2" fillId="0" borderId="41" xfId="1" quotePrefix="1" applyNumberFormat="1" applyFont="1" applyBorder="1" applyAlignment="1">
      <alignment horizontal="right"/>
    </xf>
    <xf numFmtId="165" fontId="2" fillId="0" borderId="38" xfId="1" quotePrefix="1" applyNumberFormat="1" applyFont="1" applyBorder="1" applyAlignment="1">
      <alignment horizontal="right"/>
    </xf>
    <xf numFmtId="165" fontId="2" fillId="0" borderId="41" xfId="1" quotePrefix="1" applyNumberFormat="1" applyFont="1" applyFill="1" applyBorder="1" applyAlignment="1">
      <alignment horizontal="right"/>
    </xf>
    <xf numFmtId="165" fontId="1" fillId="2" borderId="0" xfId="1"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165" fontId="1" fillId="0" borderId="0" xfId="2" quotePrefix="1" applyNumberFormat="1" applyFont="1" applyFill="1" applyBorder="1" applyAlignment="1">
      <alignment horizontal="right"/>
    </xf>
    <xf numFmtId="165" fontId="19" fillId="0" borderId="5" xfId="331" applyNumberFormat="1" applyFont="1" applyFill="1" applyBorder="1" applyAlignment="1">
      <alignment horizontal="right"/>
    </xf>
    <xf numFmtId="0" fontId="10" fillId="0" borderId="43" xfId="0" applyFont="1" applyFill="1" applyBorder="1" applyAlignment="1">
      <alignment horizontal="left" indent="2"/>
    </xf>
    <xf numFmtId="165" fontId="1" fillId="0" borderId="44" xfId="1" quotePrefix="1" applyNumberFormat="1" applyFont="1" applyFill="1" applyBorder="1" applyAlignment="1">
      <alignment horizontal="right"/>
    </xf>
    <xf numFmtId="165" fontId="1" fillId="0" borderId="42" xfId="1" quotePrefix="1" applyNumberFormat="1" applyFont="1" applyFill="1" applyBorder="1" applyAlignment="1">
      <alignment horizontal="right"/>
    </xf>
    <xf numFmtId="165" fontId="1" fillId="2" borderId="44" xfId="1" quotePrefix="1" applyNumberFormat="1" applyFont="1" applyFill="1" applyBorder="1" applyAlignment="1">
      <alignment horizontal="right"/>
    </xf>
    <xf numFmtId="165" fontId="1" fillId="0" borderId="42" xfId="2" quotePrefix="1" applyNumberFormat="1" applyFont="1" applyFill="1" applyBorder="1" applyAlignment="1">
      <alignment horizontal="right"/>
    </xf>
    <xf numFmtId="165" fontId="10" fillId="0" borderId="0" xfId="330" applyNumberFormat="1" applyFont="1" applyFill="1" applyBorder="1" applyAlignment="1">
      <alignment horizontal="right"/>
    </xf>
    <xf numFmtId="0" fontId="2" fillId="0" borderId="0" xfId="0" applyFont="1" applyFill="1"/>
    <xf numFmtId="165" fontId="10" fillId="2" borderId="0" xfId="1" applyNumberFormat="1" applyFont="1" applyFill="1" applyBorder="1" applyAlignment="1">
      <alignment horizontal="right"/>
    </xf>
    <xf numFmtId="165" fontId="3" fillId="2" borderId="0" xfId="1" quotePrefix="1" applyNumberFormat="1" applyFont="1" applyFill="1" applyBorder="1" applyAlignment="1">
      <alignment horizontal="right"/>
    </xf>
    <xf numFmtId="43" fontId="10" fillId="0" borderId="0" xfId="331" applyNumberFormat="1" applyFont="1" applyFill="1" applyBorder="1" applyAlignment="1">
      <alignment horizontal="right"/>
    </xf>
    <xf numFmtId="43" fontId="10" fillId="0" borderId="5" xfId="331" applyNumberFormat="1" applyFont="1" applyFill="1" applyBorder="1" applyAlignment="1">
      <alignment horizontal="right"/>
    </xf>
    <xf numFmtId="165" fontId="19" fillId="4" borderId="0" xfId="331" applyNumberFormat="1" applyFont="1" applyFill="1" applyBorder="1" applyAlignment="1">
      <alignment horizontal="right"/>
    </xf>
    <xf numFmtId="165" fontId="19" fillId="4" borderId="0" xfId="1" applyNumberFormat="1" applyFont="1" applyFill="1" applyBorder="1" applyAlignment="1">
      <alignment horizontal="right"/>
    </xf>
    <xf numFmtId="43" fontId="1" fillId="4" borderId="3" xfId="1" applyNumberFormat="1" applyFont="1" applyFill="1" applyBorder="1" applyAlignment="1">
      <alignment horizontal="right"/>
    </xf>
    <xf numFmtId="43" fontId="0" fillId="0" borderId="4" xfId="1" applyNumberFormat="1" applyFont="1" applyFill="1" applyBorder="1" applyAlignment="1">
      <alignment horizontal="right"/>
    </xf>
    <xf numFmtId="228" fontId="2" fillId="0" borderId="4" xfId="2" applyNumberFormat="1" applyFont="1" applyFill="1" applyBorder="1" applyAlignment="1">
      <alignment horizontal="right"/>
    </xf>
    <xf numFmtId="164" fontId="65" fillId="0" borderId="0" xfId="1" applyNumberFormat="1" applyFont="1" applyFill="1" applyBorder="1" applyAlignment="1">
      <alignment horizontal="right"/>
    </xf>
    <xf numFmtId="164" fontId="66" fillId="0" borderId="0" xfId="1" applyNumberFormat="1" applyFont="1" applyFill="1" applyBorder="1" applyAlignment="1">
      <alignment horizontal="right"/>
    </xf>
    <xf numFmtId="0" fontId="10" fillId="0" borderId="0" xfId="0" applyFont="1" applyFill="1" applyBorder="1"/>
    <xf numFmtId="0" fontId="10" fillId="0" borderId="0" xfId="0" applyFont="1" applyBorder="1"/>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165" fontId="11" fillId="0" borderId="0" xfId="330" applyNumberFormat="1" applyFont="1" applyFill="1" applyBorder="1" applyAlignment="1">
      <alignment horizontal="right"/>
    </xf>
    <xf numFmtId="165" fontId="19" fillId="0" borderId="0" xfId="331" applyNumberFormat="1" applyFont="1" applyFill="1" applyBorder="1" applyAlignment="1">
      <alignment horizontal="right"/>
    </xf>
    <xf numFmtId="0" fontId="10" fillId="0" borderId="4" xfId="0" applyFont="1" applyFill="1" applyBorder="1" applyAlignment="1">
      <alignment horizontal="left"/>
    </xf>
    <xf numFmtId="0" fontId="0" fillId="0" borderId="10" xfId="0" applyFont="1" applyFill="1" applyBorder="1" applyAlignment="1">
      <alignment horizontal="left"/>
    </xf>
    <xf numFmtId="0" fontId="0" fillId="0" borderId="0" xfId="0" applyBorder="1"/>
    <xf numFmtId="165" fontId="0" fillId="0" borderId="0" xfId="1" applyNumberFormat="1" applyFont="1" applyBorder="1"/>
    <xf numFmtId="165" fontId="8" fillId="0" borderId="0" xfId="1" applyNumberFormat="1" applyFont="1" applyBorder="1"/>
    <xf numFmtId="165" fontId="1" fillId="0" borderId="0" xfId="1" applyNumberFormat="1" applyFont="1" applyBorder="1"/>
    <xf numFmtId="165" fontId="0" fillId="0" borderId="0" xfId="0" applyNumberFormat="1" applyBorder="1"/>
    <xf numFmtId="165" fontId="4" fillId="0" borderId="0" xfId="0" applyNumberFormat="1" applyFont="1" applyBorder="1"/>
    <xf numFmtId="165" fontId="0" fillId="0" borderId="0" xfId="0" applyNumberFormat="1" applyFont="1" applyBorder="1"/>
    <xf numFmtId="165" fontId="2" fillId="0" borderId="0" xfId="0" applyNumberFormat="1" applyFont="1" applyBorder="1"/>
    <xf numFmtId="165" fontId="0" fillId="0" borderId="0" xfId="0" applyNumberFormat="1" applyFont="1" applyFill="1" applyBorder="1"/>
    <xf numFmtId="43" fontId="1" fillId="0" borderId="9" xfId="1" applyNumberFormat="1" applyFont="1" applyBorder="1" applyAlignment="1">
      <alignment horizontal="right"/>
    </xf>
    <xf numFmtId="43" fontId="10" fillId="0" borderId="0" xfId="0" applyNumberFormat="1" applyFont="1"/>
    <xf numFmtId="229" fontId="10" fillId="0" borderId="0" xfId="0" applyNumberFormat="1" applyFont="1"/>
    <xf numFmtId="230" fontId="10" fillId="0" borderId="0" xfId="2" applyNumberFormat="1" applyFont="1"/>
    <xf numFmtId="166" fontId="0" fillId="2" borderId="0" xfId="2" quotePrefix="1" applyNumberFormat="1" applyFont="1" applyFill="1" applyBorder="1" applyAlignment="1">
      <alignment horizontal="right"/>
    </xf>
    <xf numFmtId="0" fontId="0" fillId="0" borderId="29" xfId="0" applyFont="1" applyFill="1" applyBorder="1" applyAlignment="1"/>
    <xf numFmtId="0" fontId="0" fillId="0" borderId="45" xfId="0" applyFont="1" applyFill="1" applyBorder="1" applyAlignment="1"/>
    <xf numFmtId="0" fontId="0" fillId="0" borderId="5" xfId="0" applyFont="1" applyBorder="1" applyAlignment="1">
      <alignment horizontal="left"/>
    </xf>
    <xf numFmtId="0" fontId="10" fillId="0" borderId="0" xfId="1" applyNumberFormat="1" applyFont="1" applyFill="1" applyBorder="1" applyAlignment="1">
      <alignment horizontal="right"/>
    </xf>
    <xf numFmtId="165" fontId="10" fillId="14" borderId="0" xfId="1" applyNumberFormat="1" applyFont="1" applyFill="1" applyBorder="1" applyAlignment="1">
      <alignment horizontal="right"/>
    </xf>
    <xf numFmtId="43" fontId="10" fillId="14" borderId="0" xfId="1" applyNumberFormat="1" applyFont="1" applyFill="1" applyBorder="1" applyAlignment="1">
      <alignment horizontal="right"/>
    </xf>
    <xf numFmtId="164" fontId="16" fillId="3" borderId="0" xfId="1" quotePrefix="1" applyNumberFormat="1" applyFont="1" applyFill="1" applyBorder="1" applyAlignment="1">
      <alignment horizontal="right"/>
    </xf>
    <xf numFmtId="165" fontId="0" fillId="0" borderId="7" xfId="0" applyNumberFormat="1" applyBorder="1"/>
    <xf numFmtId="0" fontId="0" fillId="0" borderId="0" xfId="0" applyFont="1" applyBorder="1"/>
    <xf numFmtId="165" fontId="0" fillId="0" borderId="0" xfId="1" applyNumberFormat="1" applyFont="1" applyFill="1" applyBorder="1"/>
    <xf numFmtId="164" fontId="16" fillId="3" borderId="46" xfId="1" quotePrefix="1" applyNumberFormat="1" applyFont="1" applyFill="1" applyBorder="1" applyAlignment="1">
      <alignment horizontal="right"/>
    </xf>
    <xf numFmtId="164" fontId="18" fillId="3" borderId="5" xfId="1" quotePrefix="1" applyNumberFormat="1" applyFont="1" applyFill="1" applyBorder="1" applyAlignment="1">
      <alignment horizontal="right"/>
    </xf>
    <xf numFmtId="0" fontId="0" fillId="0" borderId="5" xfId="0" applyBorder="1"/>
    <xf numFmtId="43" fontId="1" fillId="0" borderId="12"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Border="1" applyAlignment="1">
      <alignment horizontal="left"/>
    </xf>
    <xf numFmtId="0" fontId="2" fillId="0" borderId="4" xfId="0" applyFont="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39" xfId="0" applyFont="1" applyBorder="1" applyAlignment="1">
      <alignment horizontal="left"/>
    </xf>
    <xf numFmtId="0" fontId="2" fillId="0" borderId="40" xfId="0" applyFont="1" applyBorder="1" applyAlignment="1">
      <alignment horizontal="left"/>
    </xf>
    <xf numFmtId="0" fontId="12" fillId="0" borderId="3" xfId="0" applyFont="1" applyFill="1" applyBorder="1" applyAlignment="1">
      <alignment horizontal="left"/>
    </xf>
    <xf numFmtId="0" fontId="12" fillId="0" borderId="4" xfId="0" applyFont="1" applyFill="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cellXfs>
  <cellStyles count="332">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Accent4" xfId="330" builtinId="41"/>
    <cellStyle name="Accent6" xfId="331" builtinId="49"/>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xfId="329" builtinId="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127102336"/>
        <c:axId val="137718016"/>
      </c:lineChart>
      <c:catAx>
        <c:axId val="12710233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7718016"/>
        <c:crosses val="autoZero"/>
        <c:auto val="1"/>
        <c:lblAlgn val="ctr"/>
        <c:lblOffset val="100"/>
        <c:tickLblSkip val="7"/>
        <c:noMultiLvlLbl val="1"/>
      </c:catAx>
      <c:valAx>
        <c:axId val="137718016"/>
        <c:scaling>
          <c:orientation val="minMax"/>
        </c:scaling>
        <c:delete val="0"/>
        <c:axPos val="l"/>
        <c:majorGridlines/>
        <c:numFmt formatCode="0.0\x" sourceLinked="0"/>
        <c:majorTickMark val="out"/>
        <c:minorTickMark val="none"/>
        <c:tickLblPos val="nextTo"/>
        <c:crossAx val="1271023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127101952"/>
        <c:axId val="132637440"/>
      </c:lineChart>
      <c:catAx>
        <c:axId val="12710195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1271019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134466944"/>
        <c:axId val="137718016"/>
      </c:lineChart>
      <c:catAx>
        <c:axId val="13446694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7718016"/>
        <c:crosses val="autoZero"/>
        <c:auto val="1"/>
        <c:lblAlgn val="ctr"/>
        <c:lblOffset val="100"/>
        <c:tickLblSkip val="7"/>
        <c:noMultiLvlLbl val="1"/>
      </c:catAx>
      <c:valAx>
        <c:axId val="137718016"/>
        <c:scaling>
          <c:orientation val="minMax"/>
        </c:scaling>
        <c:delete val="0"/>
        <c:axPos val="l"/>
        <c:majorGridlines/>
        <c:numFmt formatCode="0.0\x" sourceLinked="0"/>
        <c:majorTickMark val="out"/>
        <c:minorTickMark val="none"/>
        <c:tickLblPos val="nextTo"/>
        <c:crossAx val="1344669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53</xdr:row>
      <xdr:rowOff>0</xdr:rowOff>
    </xdr:from>
    <xdr:to>
      <xdr:col>11</xdr:col>
      <xdr:colOff>718343</xdr:colOff>
      <xdr:row>53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139</xdr:row>
      <xdr:rowOff>0</xdr:rowOff>
    </xdr:from>
    <xdr:to>
      <xdr:col>11</xdr:col>
      <xdr:colOff>718343</xdr:colOff>
      <xdr:row>139</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183</xdr:row>
      <xdr:rowOff>0</xdr:rowOff>
    </xdr:from>
    <xdr:to>
      <xdr:col>11</xdr:col>
      <xdr:colOff>718343</xdr:colOff>
      <xdr:row>183</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1"/>
  <sheetViews>
    <sheetView showGridLines="0" tabSelected="1" zoomScale="85" zoomScaleNormal="85" workbookViewId="0">
      <selection activeCell="B2" sqref="B2:C2"/>
    </sheetView>
  </sheetViews>
  <sheetFormatPr defaultRowHeight="14.4" outlineLevelRow="1" outlineLevelCol="1" x14ac:dyDescent="0.3"/>
  <cols>
    <col min="1" max="1" width="1.77734375" customWidth="1"/>
    <col min="2" max="2" width="31.6640625" customWidth="1"/>
    <col min="3" max="3" width="38.21875" style="9" customWidth="1"/>
    <col min="4" max="4" width="11.33203125" style="1" hidden="1" customWidth="1" outlineLevel="1"/>
    <col min="5" max="7" width="11.5546875" style="1" hidden="1" customWidth="1" outlineLevel="1"/>
    <col min="8" max="8" width="11.5546875" style="1" customWidth="1" collapsed="1"/>
    <col min="9" max="10" width="11.5546875" style="1" hidden="1" customWidth="1" outlineLevel="1"/>
    <col min="11" max="12" width="11.5546875" style="2" hidden="1" customWidth="1" outlineLevel="1"/>
    <col min="13" max="13" width="11.5546875" style="2" customWidth="1" collapsed="1"/>
    <col min="14" max="15" width="11.5546875" style="1" customWidth="1" outlineLevel="1"/>
    <col min="16" max="17" width="11.5546875" style="2" customWidth="1" outlineLevel="1"/>
    <col min="18" max="18" width="11.5546875" style="2" customWidth="1"/>
    <col min="19" max="20" width="11.5546875" style="1" customWidth="1" outlineLevel="1"/>
    <col min="21" max="22" width="11.5546875" style="2" customWidth="1" outlineLevel="1"/>
    <col min="23" max="23" width="11.5546875" style="2" customWidth="1"/>
    <col min="24" max="24" width="4.33203125" customWidth="1"/>
    <col min="25" max="25" width="16.109375" customWidth="1"/>
    <col min="26" max="26" width="9.44140625" bestFit="1" customWidth="1"/>
  </cols>
  <sheetData>
    <row r="1" spans="1:30" s="49" customFormat="1" ht="7.2" customHeight="1" x14ac:dyDescent="0.3">
      <c r="A1" s="91"/>
      <c r="C1" s="50"/>
      <c r="D1" s="1"/>
      <c r="E1" s="1"/>
      <c r="F1" s="1"/>
      <c r="G1" s="1"/>
      <c r="H1" s="1"/>
      <c r="I1" s="1"/>
      <c r="J1" s="1"/>
      <c r="K1" s="2"/>
      <c r="L1" s="2"/>
      <c r="M1" s="2"/>
      <c r="N1" s="1"/>
      <c r="O1" s="1"/>
      <c r="P1" s="2"/>
      <c r="Q1" s="2"/>
      <c r="R1" s="2"/>
      <c r="S1" s="1"/>
      <c r="T1" s="1"/>
      <c r="U1" s="2"/>
      <c r="V1" s="2"/>
      <c r="W1" s="2"/>
      <c r="AD1" s="91" t="s">
        <v>56</v>
      </c>
    </row>
    <row r="2" spans="1:30" ht="46.2" customHeight="1" x14ac:dyDescent="0.3">
      <c r="B2" s="407" t="s">
        <v>55</v>
      </c>
      <c r="C2" s="408"/>
    </row>
    <row r="3" spans="1:30" x14ac:dyDescent="0.3">
      <c r="B3" s="401" t="s">
        <v>262</v>
      </c>
      <c r="C3" s="402"/>
      <c r="I3" s="10"/>
    </row>
    <row r="4" spans="1:30" x14ac:dyDescent="0.3">
      <c r="B4" s="403" t="s">
        <v>260</v>
      </c>
      <c r="C4" s="404"/>
      <c r="D4" s="8"/>
      <c r="I4" s="10"/>
    </row>
    <row r="5" spans="1:30" x14ac:dyDescent="0.3">
      <c r="B5" s="405" t="s">
        <v>261</v>
      </c>
      <c r="C5" s="406"/>
      <c r="D5" s="8"/>
      <c r="G5" s="73"/>
      <c r="I5" s="10"/>
      <c r="J5" s="10"/>
      <c r="K5" s="10"/>
      <c r="L5" s="73"/>
      <c r="N5" s="232"/>
      <c r="O5" s="15"/>
      <c r="P5" s="15"/>
      <c r="Q5" s="15"/>
      <c r="R5" s="15"/>
      <c r="S5" s="15"/>
      <c r="T5" s="15"/>
      <c r="U5" s="15"/>
      <c r="V5" s="15"/>
      <c r="W5" s="15"/>
    </row>
    <row r="6" spans="1:30" x14ac:dyDescent="0.3">
      <c r="B6" s="84" t="s">
        <v>21</v>
      </c>
      <c r="C6" s="85">
        <f>C254</f>
        <v>71.658999999999992</v>
      </c>
      <c r="I6" s="10"/>
      <c r="J6" s="10"/>
      <c r="K6" s="10"/>
      <c r="L6" s="10"/>
      <c r="N6" s="10"/>
      <c r="O6" s="10"/>
      <c r="P6" s="10"/>
      <c r="Q6" s="10"/>
      <c r="R6" s="10"/>
      <c r="S6" s="10"/>
      <c r="T6" s="10"/>
      <c r="U6" s="10"/>
      <c r="V6" s="10"/>
      <c r="W6" s="10"/>
    </row>
    <row r="7" spans="1:30" s="49" customFormat="1" x14ac:dyDescent="0.3">
      <c r="B7" s="55" t="s">
        <v>48</v>
      </c>
      <c r="C7" s="78" t="str">
        <f>TEXT(C263,"$0")&amp;" to "&amp;TEXT(C262,"$0")</f>
        <v>$57 to $86</v>
      </c>
      <c r="D7" s="1"/>
      <c r="E7" s="1"/>
      <c r="F7" s="1"/>
      <c r="G7" s="1"/>
      <c r="H7" s="1"/>
      <c r="I7" s="10"/>
      <c r="J7" s="10"/>
      <c r="K7" s="10"/>
      <c r="L7" s="10"/>
      <c r="M7" s="2"/>
      <c r="N7" s="10"/>
      <c r="O7" s="10"/>
      <c r="P7" s="10"/>
      <c r="Q7" s="10"/>
      <c r="R7" s="89"/>
      <c r="S7" s="10"/>
      <c r="T7" s="10"/>
      <c r="U7" s="10"/>
      <c r="V7" s="10"/>
      <c r="W7" s="10"/>
      <c r="Z7" s="97"/>
    </row>
    <row r="8" spans="1:30" ht="4.5" customHeight="1" x14ac:dyDescent="0.3">
      <c r="C8" s="16"/>
      <c r="D8" s="8"/>
      <c r="E8" s="8"/>
      <c r="F8" s="8"/>
      <c r="G8" s="8"/>
      <c r="H8" s="8"/>
      <c r="I8" s="8"/>
      <c r="J8" s="8"/>
      <c r="K8" s="8"/>
      <c r="L8" s="13"/>
      <c r="M8" s="14"/>
      <c r="N8" s="13"/>
      <c r="O8" s="13"/>
      <c r="P8" s="13"/>
      <c r="Q8" s="15"/>
      <c r="R8" s="15"/>
      <c r="S8" s="13"/>
      <c r="T8" s="13"/>
      <c r="U8" s="13"/>
      <c r="V8" s="15"/>
      <c r="W8" s="15"/>
      <c r="Z8" s="97"/>
    </row>
    <row r="9" spans="1:30" ht="15.6" x14ac:dyDescent="0.3">
      <c r="B9" s="395" t="s">
        <v>74</v>
      </c>
      <c r="C9" s="396"/>
      <c r="D9" s="40" t="s">
        <v>4</v>
      </c>
      <c r="E9" s="40" t="s">
        <v>3</v>
      </c>
      <c r="F9" s="40" t="s">
        <v>2</v>
      </c>
      <c r="G9" s="40" t="s">
        <v>5</v>
      </c>
      <c r="H9" s="40" t="s">
        <v>5</v>
      </c>
      <c r="I9" s="40" t="s">
        <v>6</v>
      </c>
      <c r="J9" s="40" t="s">
        <v>7</v>
      </c>
      <c r="K9" s="40" t="s">
        <v>8</v>
      </c>
      <c r="L9" s="51" t="s">
        <v>10</v>
      </c>
      <c r="M9" s="51" t="s">
        <v>10</v>
      </c>
      <c r="N9" s="51" t="s">
        <v>11</v>
      </c>
      <c r="O9" s="51" t="s">
        <v>12</v>
      </c>
      <c r="P9" s="51" t="s">
        <v>13</v>
      </c>
      <c r="Q9" s="51" t="s">
        <v>9</v>
      </c>
      <c r="R9" s="51" t="s">
        <v>9</v>
      </c>
      <c r="S9" s="42" t="s">
        <v>14</v>
      </c>
      <c r="T9" s="42" t="s">
        <v>15</v>
      </c>
      <c r="U9" s="42" t="s">
        <v>16</v>
      </c>
      <c r="V9" s="42" t="s">
        <v>17</v>
      </c>
      <c r="W9" s="57" t="s">
        <v>17</v>
      </c>
      <c r="Z9" s="317"/>
    </row>
    <row r="10" spans="1:30" ht="16.2" x14ac:dyDescent="0.45">
      <c r="B10" s="383" t="s">
        <v>0</v>
      </c>
      <c r="C10" s="384"/>
      <c r="D10" s="41" t="s">
        <v>22</v>
      </c>
      <c r="E10" s="41" t="s">
        <v>23</v>
      </c>
      <c r="F10" s="41" t="s">
        <v>24</v>
      </c>
      <c r="G10" s="41" t="s">
        <v>25</v>
      </c>
      <c r="H10" s="52" t="s">
        <v>19</v>
      </c>
      <c r="I10" s="41" t="s">
        <v>26</v>
      </c>
      <c r="J10" s="41" t="s">
        <v>27</v>
      </c>
      <c r="K10" s="41" t="s">
        <v>35</v>
      </c>
      <c r="L10" s="52" t="s">
        <v>46</v>
      </c>
      <c r="M10" s="52" t="s">
        <v>47</v>
      </c>
      <c r="N10" s="52" t="s">
        <v>82</v>
      </c>
      <c r="O10" s="52" t="s">
        <v>83</v>
      </c>
      <c r="P10" s="52" t="s">
        <v>247</v>
      </c>
      <c r="Q10" s="52" t="s">
        <v>248</v>
      </c>
      <c r="R10" s="52" t="s">
        <v>249</v>
      </c>
      <c r="S10" s="43" t="s">
        <v>31</v>
      </c>
      <c r="T10" s="43" t="s">
        <v>32</v>
      </c>
      <c r="U10" s="43" t="s">
        <v>33</v>
      </c>
      <c r="V10" s="43" t="s">
        <v>34</v>
      </c>
      <c r="W10" s="58" t="s">
        <v>20</v>
      </c>
      <c r="Z10" s="318"/>
    </row>
    <row r="11" spans="1:30" s="127" customFormat="1" ht="16.2" x14ac:dyDescent="0.45">
      <c r="B11" s="411" t="s">
        <v>75</v>
      </c>
      <c r="C11" s="412"/>
      <c r="D11" s="128"/>
      <c r="E11" s="128"/>
      <c r="F11" s="128"/>
      <c r="G11" s="129"/>
      <c r="H11" s="129"/>
      <c r="I11" s="128"/>
      <c r="J11" s="128"/>
      <c r="K11" s="128"/>
      <c r="L11" s="129"/>
      <c r="M11" s="151"/>
      <c r="N11" s="128"/>
      <c r="O11" s="128"/>
      <c r="P11" s="128"/>
      <c r="Q11" s="129"/>
      <c r="R11" s="151"/>
      <c r="S11" s="128"/>
      <c r="T11" s="128"/>
      <c r="U11" s="128"/>
      <c r="V11" s="129"/>
      <c r="W11" s="129"/>
      <c r="Z11" s="319"/>
    </row>
    <row r="12" spans="1:30" s="127" customFormat="1" x14ac:dyDescent="0.3">
      <c r="B12" s="139" t="s">
        <v>76</v>
      </c>
      <c r="C12" s="331"/>
      <c r="D12" s="153">
        <v>2424</v>
      </c>
      <c r="E12" s="153">
        <v>2705</v>
      </c>
      <c r="F12" s="153">
        <v>2637</v>
      </c>
      <c r="G12" s="154">
        <f>H12-(F12+E12+D12)</f>
        <v>1982</v>
      </c>
      <c r="H12" s="158">
        <v>9748</v>
      </c>
      <c r="I12" s="153">
        <v>1419</v>
      </c>
      <c r="J12" s="153">
        <v>1616</v>
      </c>
      <c r="K12" s="153">
        <v>1229</v>
      </c>
      <c r="L12" s="154">
        <f>M12-(SUM(I12:K12))</f>
        <v>1156</v>
      </c>
      <c r="M12" s="158">
        <v>5420</v>
      </c>
      <c r="N12" s="153">
        <v>850</v>
      </c>
      <c r="O12" s="153">
        <v>1125</v>
      </c>
      <c r="P12" s="153">
        <v>1239</v>
      </c>
      <c r="Q12" s="153">
        <v>1454</v>
      </c>
      <c r="R12" s="158">
        <f>SUM(N12:Q12)</f>
        <v>4668</v>
      </c>
      <c r="S12" s="153">
        <f>(S57*S72+S64*S76)</f>
        <v>1730.3000000000002</v>
      </c>
      <c r="T12" s="153">
        <f>(T57*T72+T64*T76)</f>
        <v>1797.62</v>
      </c>
      <c r="U12" s="153">
        <f>(U57*U72+U64*U76)</f>
        <v>1896.0700000000002</v>
      </c>
      <c r="V12" s="153">
        <f>(V57*V72+V64*V76)</f>
        <v>1930.3735000000001</v>
      </c>
      <c r="W12" s="158">
        <f>SUM(S12:V12)</f>
        <v>7354.3634999999995</v>
      </c>
      <c r="Y12" s="236"/>
      <c r="Z12" s="320"/>
    </row>
    <row r="13" spans="1:30" s="127" customFormat="1" x14ac:dyDescent="0.3">
      <c r="B13" s="139" t="s">
        <v>77</v>
      </c>
      <c r="C13" s="331"/>
      <c r="D13" s="153">
        <v>1217</v>
      </c>
      <c r="E13" s="153">
        <v>991</v>
      </c>
      <c r="F13" s="153">
        <v>830</v>
      </c>
      <c r="G13" s="154">
        <f t="shared" ref="G13:G45" si="0">H13-(F13+E13+D13)</f>
        <v>811</v>
      </c>
      <c r="H13" s="158">
        <v>3849</v>
      </c>
      <c r="I13" s="153">
        <v>641</v>
      </c>
      <c r="J13" s="153">
        <v>487</v>
      </c>
      <c r="K13" s="153">
        <v>484</v>
      </c>
      <c r="L13" s="154">
        <f t="shared" ref="L13:L17" si="1">M13-(SUM(I13:K13))</f>
        <v>395</v>
      </c>
      <c r="M13" s="158">
        <v>2007</v>
      </c>
      <c r="N13" s="153">
        <v>366</v>
      </c>
      <c r="O13" s="153">
        <v>320</v>
      </c>
      <c r="P13" s="153">
        <v>435</v>
      </c>
      <c r="Q13" s="153">
        <v>443</v>
      </c>
      <c r="R13" s="158">
        <f>SUM(N13:Q13)</f>
        <v>1564</v>
      </c>
      <c r="S13" s="153">
        <f>(S59*S73+S66*S77)</f>
        <v>449.8</v>
      </c>
      <c r="T13" s="153">
        <f>(T59*T73+T66*T77)</f>
        <v>449.8</v>
      </c>
      <c r="U13" s="153">
        <f>(U59*U73+U66*U77)</f>
        <v>449.8</v>
      </c>
      <c r="V13" s="153">
        <f>(V59*V73+V66*V77)</f>
        <v>449.8</v>
      </c>
      <c r="W13" s="158">
        <f t="shared" ref="W13:W15" si="2">SUM(S13:V13)</f>
        <v>1799.2</v>
      </c>
      <c r="Y13" s="236"/>
      <c r="Z13" s="320"/>
    </row>
    <row r="14" spans="1:30" s="127" customFormat="1" x14ac:dyDescent="0.3">
      <c r="B14" s="139" t="s">
        <v>78</v>
      </c>
      <c r="C14" s="331"/>
      <c r="D14" s="153">
        <v>386</v>
      </c>
      <c r="E14" s="153">
        <v>411</v>
      </c>
      <c r="F14" s="153">
        <v>424</v>
      </c>
      <c r="G14" s="154">
        <f t="shared" si="0"/>
        <v>351</v>
      </c>
      <c r="H14" s="158">
        <v>1572</v>
      </c>
      <c r="I14" s="153">
        <v>232</v>
      </c>
      <c r="J14" s="153">
        <v>229</v>
      </c>
      <c r="K14" s="153">
        <v>183</v>
      </c>
      <c r="L14" s="154">
        <f t="shared" si="1"/>
        <v>189</v>
      </c>
      <c r="M14" s="158">
        <v>833</v>
      </c>
      <c r="N14" s="153">
        <v>178</v>
      </c>
      <c r="O14" s="153">
        <v>235</v>
      </c>
      <c r="P14" s="153">
        <v>227</v>
      </c>
      <c r="Q14" s="153">
        <v>281</v>
      </c>
      <c r="R14" s="158">
        <f>SUM(N14:Q14)</f>
        <v>921</v>
      </c>
      <c r="S14" s="153">
        <f>(S61*S74+S68*S78)</f>
        <v>287.25</v>
      </c>
      <c r="T14" s="153">
        <f>(T61*T74+T68*T78)</f>
        <v>300.11250000000001</v>
      </c>
      <c r="U14" s="153">
        <f>(U61*U74+U68*U78)</f>
        <v>313.61812500000002</v>
      </c>
      <c r="V14" s="153">
        <f>(V61*V74+V68*V78)</f>
        <v>327.79903125000004</v>
      </c>
      <c r="W14" s="158">
        <f t="shared" si="2"/>
        <v>1228.77965625</v>
      </c>
      <c r="Y14" s="236"/>
    </row>
    <row r="15" spans="1:30" s="127" customFormat="1" x14ac:dyDescent="0.3">
      <c r="B15" s="139" t="s">
        <v>79</v>
      </c>
      <c r="C15" s="331"/>
      <c r="D15" s="153">
        <v>311</v>
      </c>
      <c r="E15" s="153">
        <v>278</v>
      </c>
      <c r="F15" s="153">
        <v>339</v>
      </c>
      <c r="G15" s="154">
        <f t="shared" si="0"/>
        <v>278</v>
      </c>
      <c r="H15" s="158">
        <v>1206</v>
      </c>
      <c r="I15" s="153">
        <v>293</v>
      </c>
      <c r="J15" s="153">
        <v>305</v>
      </c>
      <c r="K15" s="153">
        <v>334</v>
      </c>
      <c r="L15" s="154">
        <f t="shared" si="1"/>
        <v>294</v>
      </c>
      <c r="M15" s="158">
        <v>1226</v>
      </c>
      <c r="N15" s="153">
        <v>240</v>
      </c>
      <c r="O15" s="153">
        <v>305</v>
      </c>
      <c r="P15" s="153">
        <v>350</v>
      </c>
      <c r="Q15" s="154">
        <v>399</v>
      </c>
      <c r="R15" s="158">
        <f>SUM(N15:Q15)</f>
        <v>1294</v>
      </c>
      <c r="S15" s="153">
        <v>368.36500000000228</v>
      </c>
      <c r="T15" s="153">
        <v>291.78000000000065</v>
      </c>
      <c r="U15" s="153">
        <v>256.82605000000001</v>
      </c>
      <c r="V15" s="154">
        <v>210.79735249999959</v>
      </c>
      <c r="W15" s="158">
        <f t="shared" si="2"/>
        <v>1127.7684025000026</v>
      </c>
      <c r="Y15" s="236"/>
    </row>
    <row r="16" spans="1:30" s="127" customFormat="1" ht="16.2" x14ac:dyDescent="0.45">
      <c r="B16" s="139" t="s">
        <v>80</v>
      </c>
      <c r="C16" s="331"/>
      <c r="D16" s="163">
        <v>1506</v>
      </c>
      <c r="E16" s="163">
        <v>54</v>
      </c>
      <c r="F16" s="163">
        <v>780</v>
      </c>
      <c r="G16" s="155">
        <f t="shared" si="0"/>
        <v>-245</v>
      </c>
      <c r="H16" s="237">
        <v>2095</v>
      </c>
      <c r="I16" s="163">
        <v>-264</v>
      </c>
      <c r="J16" s="163">
        <v>-1</v>
      </c>
      <c r="K16" s="163">
        <v>-542</v>
      </c>
      <c r="L16" s="155">
        <f t="shared" si="1"/>
        <v>19</v>
      </c>
      <c r="M16" s="237">
        <v>-788</v>
      </c>
      <c r="N16" s="163">
        <v>40</v>
      </c>
      <c r="O16" s="163">
        <v>-70</v>
      </c>
      <c r="P16" s="163">
        <v>-358</v>
      </c>
      <c r="Q16" s="155">
        <v>-190</v>
      </c>
      <c r="R16" s="237">
        <f>SUM(N16:Q16)</f>
        <v>-578</v>
      </c>
      <c r="S16" s="285">
        <v>5.6849999999972365</v>
      </c>
      <c r="T16" s="285">
        <v>-71.232500000000925</v>
      </c>
      <c r="U16" s="285">
        <v>-40.084174999999988</v>
      </c>
      <c r="V16" s="286">
        <v>76.220116249999549</v>
      </c>
      <c r="W16" s="237">
        <f>SUM(S16:V16)</f>
        <v>-29.411558750004133</v>
      </c>
      <c r="Y16" s="236"/>
    </row>
    <row r="17" spans="2:26" s="50" customFormat="1" ht="16.2" x14ac:dyDescent="0.45">
      <c r="B17" s="379" t="s">
        <v>81</v>
      </c>
      <c r="C17" s="380"/>
      <c r="D17" s="156">
        <f>SUM(D12:D16)</f>
        <v>5844</v>
      </c>
      <c r="E17" s="156">
        <f>SUM(E12:E16)</f>
        <v>4439</v>
      </c>
      <c r="F17" s="156">
        <f>SUM(F12:F16)</f>
        <v>5010</v>
      </c>
      <c r="G17" s="162">
        <f t="shared" si="0"/>
        <v>3177</v>
      </c>
      <c r="H17" s="161">
        <f>SUM(H12:H16)</f>
        <v>18470</v>
      </c>
      <c r="I17" s="156">
        <f>SUM(I12:I16)</f>
        <v>2321</v>
      </c>
      <c r="J17" s="156">
        <f t="shared" ref="J17:K17" si="3">SUM(J12:J16)</f>
        <v>2636</v>
      </c>
      <c r="K17" s="156">
        <f t="shared" si="3"/>
        <v>1688</v>
      </c>
      <c r="L17" s="162">
        <f t="shared" si="1"/>
        <v>2053</v>
      </c>
      <c r="M17" s="161">
        <f>SUM(M12:M16)</f>
        <v>8698</v>
      </c>
      <c r="N17" s="160">
        <v>1674</v>
      </c>
      <c r="O17" s="160">
        <v>1915</v>
      </c>
      <c r="P17" s="330">
        <f>SUM(P12:P16)</f>
        <v>1893</v>
      </c>
      <c r="Q17" s="330">
        <f>SUM(Q12:Q16)</f>
        <v>2387</v>
      </c>
      <c r="R17" s="300">
        <f>SUM(R12:R16)</f>
        <v>7869</v>
      </c>
      <c r="S17" s="312">
        <f t="shared" ref="S17:V17" si="4">SUM(S12:S16)</f>
        <v>2841.4</v>
      </c>
      <c r="T17" s="313">
        <f t="shared" si="4"/>
        <v>2768.08</v>
      </c>
      <c r="U17" s="313">
        <f t="shared" si="4"/>
        <v>2876.2300000000005</v>
      </c>
      <c r="V17" s="313">
        <f t="shared" si="4"/>
        <v>2994.99</v>
      </c>
      <c r="W17" s="161">
        <f>SUM(S17:V17)</f>
        <v>11480.699999999999</v>
      </c>
      <c r="Y17" s="236"/>
    </row>
    <row r="18" spans="2:26" s="39" customFormat="1" ht="17.25" customHeight="1" x14ac:dyDescent="0.45">
      <c r="B18" s="379" t="s">
        <v>84</v>
      </c>
      <c r="C18" s="380"/>
      <c r="D18" s="146"/>
      <c r="E18" s="146"/>
      <c r="F18" s="146"/>
      <c r="G18" s="154"/>
      <c r="H18" s="148"/>
      <c r="I18" s="146"/>
      <c r="J18" s="144"/>
      <c r="K18" s="144"/>
      <c r="L18" s="144"/>
      <c r="M18" s="142"/>
      <c r="N18" s="150"/>
      <c r="O18" s="150"/>
      <c r="P18" s="150"/>
      <c r="Q18" s="150"/>
      <c r="R18" s="148"/>
      <c r="S18" s="68"/>
      <c r="T18" s="68"/>
      <c r="U18" s="68"/>
      <c r="V18" s="68"/>
      <c r="W18" s="148"/>
      <c r="Y18" s="236"/>
    </row>
    <row r="19" spans="2:26" s="50" customFormat="1" ht="17.25" customHeight="1" x14ac:dyDescent="0.3">
      <c r="B19" s="324" t="s">
        <v>85</v>
      </c>
      <c r="C19" s="325"/>
      <c r="D19" s="140">
        <v>313</v>
      </c>
      <c r="E19" s="140">
        <v>273</v>
      </c>
      <c r="F19" s="140">
        <v>275</v>
      </c>
      <c r="G19" s="154">
        <f t="shared" si="0"/>
        <v>310</v>
      </c>
      <c r="H19" s="142">
        <v>1171</v>
      </c>
      <c r="I19" s="143">
        <v>296</v>
      </c>
      <c r="J19" s="144">
        <v>226</v>
      </c>
      <c r="K19" s="144">
        <v>262</v>
      </c>
      <c r="L19" s="154">
        <f t="shared" ref="L19:L29" si="5">M19-(K19+J19+I19)</f>
        <v>230</v>
      </c>
      <c r="M19" s="142">
        <v>1014</v>
      </c>
      <c r="N19" s="144">
        <v>208</v>
      </c>
      <c r="O19" s="144">
        <v>202</v>
      </c>
      <c r="P19" s="306">
        <v>198</v>
      </c>
      <c r="Q19" s="144">
        <v>203</v>
      </c>
      <c r="R19" s="158">
        <f>SUM(N19:Q19)</f>
        <v>811</v>
      </c>
      <c r="S19" s="144">
        <f t="shared" ref="S19:V19" si="6">S90*S12</f>
        <v>242.24200000000005</v>
      </c>
      <c r="T19" s="144">
        <f t="shared" si="6"/>
        <v>233.69059999999999</v>
      </c>
      <c r="U19" s="350">
        <f>U90*U12</f>
        <v>189.60700000000003</v>
      </c>
      <c r="V19" s="144">
        <f t="shared" si="6"/>
        <v>193.03735000000003</v>
      </c>
      <c r="W19" s="158">
        <f>SUM(S19:V19)</f>
        <v>858.57695000000012</v>
      </c>
      <c r="Y19" s="236"/>
    </row>
    <row r="20" spans="2:26" s="50" customFormat="1" ht="17.25" customHeight="1" x14ac:dyDescent="0.3">
      <c r="B20" s="324" t="s">
        <v>86</v>
      </c>
      <c r="C20" s="325"/>
      <c r="D20" s="140">
        <v>266</v>
      </c>
      <c r="E20" s="140">
        <v>281</v>
      </c>
      <c r="F20" s="140">
        <v>322</v>
      </c>
      <c r="G20" s="154">
        <f t="shared" si="0"/>
        <v>315</v>
      </c>
      <c r="H20" s="142">
        <v>1184</v>
      </c>
      <c r="I20" s="143">
        <v>305</v>
      </c>
      <c r="J20" s="144">
        <v>283</v>
      </c>
      <c r="K20" s="144">
        <v>271</v>
      </c>
      <c r="L20" s="154">
        <f t="shared" si="5"/>
        <v>258</v>
      </c>
      <c r="M20" s="142">
        <v>1117</v>
      </c>
      <c r="N20" s="144">
        <v>242</v>
      </c>
      <c r="O20" s="144">
        <v>246</v>
      </c>
      <c r="P20" s="306">
        <v>256</v>
      </c>
      <c r="Q20" s="144">
        <v>258</v>
      </c>
      <c r="R20" s="158">
        <f t="shared" ref="R20:R28" si="7">SUM(N20:Q20)</f>
        <v>1002</v>
      </c>
      <c r="S20" s="144">
        <f t="shared" ref="S20:V20" si="8">S91*S12</f>
        <v>204.17540000000002</v>
      </c>
      <c r="T20" s="144">
        <f t="shared" si="8"/>
        <v>179.762</v>
      </c>
      <c r="U20" s="144">
        <f t="shared" si="8"/>
        <v>189.60700000000003</v>
      </c>
      <c r="V20" s="144">
        <f t="shared" si="8"/>
        <v>193.03735000000003</v>
      </c>
      <c r="W20" s="158">
        <f t="shared" ref="W20:W28" si="9">SUM(S20:V20)</f>
        <v>766.58175000000006</v>
      </c>
      <c r="Y20" s="236"/>
    </row>
    <row r="21" spans="2:26" s="50" customFormat="1" ht="17.25" customHeight="1" x14ac:dyDescent="0.3">
      <c r="B21" s="324" t="s">
        <v>87</v>
      </c>
      <c r="C21" s="325"/>
      <c r="D21" s="140">
        <v>299</v>
      </c>
      <c r="E21" s="140">
        <v>502</v>
      </c>
      <c r="F21" s="140">
        <v>199</v>
      </c>
      <c r="G21" s="154">
        <f t="shared" si="0"/>
        <v>639</v>
      </c>
      <c r="H21" s="142">
        <v>1639</v>
      </c>
      <c r="I21" s="143">
        <v>1083</v>
      </c>
      <c r="J21" s="144">
        <v>103</v>
      </c>
      <c r="K21" s="144">
        <v>1074</v>
      </c>
      <c r="L21" s="154">
        <f t="shared" si="5"/>
        <v>384</v>
      </c>
      <c r="M21" s="142">
        <v>2644</v>
      </c>
      <c r="N21" s="144">
        <v>126</v>
      </c>
      <c r="O21" s="144">
        <v>76</v>
      </c>
      <c r="P21" s="306">
        <v>304</v>
      </c>
      <c r="Q21" s="144">
        <v>440</v>
      </c>
      <c r="R21" s="158">
        <f t="shared" si="7"/>
        <v>946</v>
      </c>
      <c r="S21" s="144">
        <f t="shared" ref="S21:V21" si="10">S92*S12</f>
        <v>259.54500000000002</v>
      </c>
      <c r="T21" s="144">
        <f t="shared" si="10"/>
        <v>251.66679999999999</v>
      </c>
      <c r="U21" s="144">
        <f t="shared" si="10"/>
        <v>232.26857500000003</v>
      </c>
      <c r="V21" s="144">
        <f t="shared" si="10"/>
        <v>212.34108500000002</v>
      </c>
      <c r="W21" s="158">
        <f t="shared" si="9"/>
        <v>955.82146000000012</v>
      </c>
      <c r="Y21" s="236"/>
    </row>
    <row r="22" spans="2:26" s="50" customFormat="1" ht="17.25" customHeight="1" x14ac:dyDescent="0.3">
      <c r="B22" s="324" t="s">
        <v>88</v>
      </c>
      <c r="C22" s="325"/>
      <c r="D22" s="140">
        <v>252</v>
      </c>
      <c r="E22" s="140">
        <v>250</v>
      </c>
      <c r="F22" s="140">
        <v>269</v>
      </c>
      <c r="G22" s="154">
        <f t="shared" si="0"/>
        <v>259</v>
      </c>
      <c r="H22" s="142">
        <v>1030</v>
      </c>
      <c r="I22" s="143">
        <v>254</v>
      </c>
      <c r="J22" s="144">
        <v>255</v>
      </c>
      <c r="K22" s="144">
        <v>289</v>
      </c>
      <c r="L22" s="154">
        <f t="shared" si="5"/>
        <v>256</v>
      </c>
      <c r="M22" s="142">
        <v>1054</v>
      </c>
      <c r="N22" s="144">
        <v>215</v>
      </c>
      <c r="O22" s="144">
        <v>252</v>
      </c>
      <c r="P22" s="144">
        <v>291</v>
      </c>
      <c r="Q22" s="144">
        <v>329</v>
      </c>
      <c r="R22" s="158">
        <f t="shared" si="7"/>
        <v>1087</v>
      </c>
      <c r="S22" s="144">
        <f t="shared" ref="S22:V27" si="11">S93*S$17</f>
        <v>284.14000000000004</v>
      </c>
      <c r="T22" s="144">
        <f t="shared" si="11"/>
        <v>276.80799999999999</v>
      </c>
      <c r="U22" s="144">
        <f t="shared" si="11"/>
        <v>287.62300000000005</v>
      </c>
      <c r="V22" s="144">
        <f t="shared" si="11"/>
        <v>299.49899999999997</v>
      </c>
      <c r="W22" s="158">
        <f t="shared" si="9"/>
        <v>1148.0700000000002</v>
      </c>
      <c r="Y22" s="236"/>
    </row>
    <row r="23" spans="2:26" s="50" customFormat="1" ht="17.25" customHeight="1" x14ac:dyDescent="0.3">
      <c r="B23" s="324" t="s">
        <v>89</v>
      </c>
      <c r="C23" s="325"/>
      <c r="D23" s="140">
        <v>298</v>
      </c>
      <c r="E23" s="140">
        <v>305</v>
      </c>
      <c r="F23" s="140">
        <v>381</v>
      </c>
      <c r="G23" s="154">
        <f t="shared" si="0"/>
        <v>332</v>
      </c>
      <c r="H23" s="142">
        <v>1316</v>
      </c>
      <c r="I23" s="143">
        <v>307</v>
      </c>
      <c r="J23" s="144">
        <v>278</v>
      </c>
      <c r="K23" s="144">
        <v>345</v>
      </c>
      <c r="L23" s="154">
        <f t="shared" si="5"/>
        <v>246</v>
      </c>
      <c r="M23" s="142">
        <v>1176</v>
      </c>
      <c r="N23" s="144">
        <v>449</v>
      </c>
      <c r="O23" s="144">
        <v>305</v>
      </c>
      <c r="P23" s="306">
        <v>362</v>
      </c>
      <c r="Q23" s="144">
        <v>324</v>
      </c>
      <c r="R23" s="158">
        <f t="shared" si="7"/>
        <v>1440</v>
      </c>
      <c r="S23" s="144">
        <f t="shared" si="11"/>
        <v>284.14000000000004</v>
      </c>
      <c r="T23" s="144">
        <f t="shared" si="11"/>
        <v>276.80799999999999</v>
      </c>
      <c r="U23" s="144">
        <f t="shared" si="11"/>
        <v>287.62300000000005</v>
      </c>
      <c r="V23" s="144">
        <f t="shared" si="11"/>
        <v>299.49899999999997</v>
      </c>
      <c r="W23" s="158">
        <f t="shared" si="9"/>
        <v>1148.0700000000002</v>
      </c>
      <c r="Y23" s="343"/>
    </row>
    <row r="24" spans="2:26" s="50" customFormat="1" ht="17.25" customHeight="1" x14ac:dyDescent="0.3">
      <c r="B24" s="324" t="s">
        <v>90</v>
      </c>
      <c r="C24" s="325"/>
      <c r="D24" s="140">
        <v>1124</v>
      </c>
      <c r="E24" s="140">
        <v>1048</v>
      </c>
      <c r="F24" s="140">
        <v>1163</v>
      </c>
      <c r="G24" s="154">
        <f t="shared" si="0"/>
        <v>1215</v>
      </c>
      <c r="H24" s="142">
        <v>4550</v>
      </c>
      <c r="I24" s="143">
        <v>1256</v>
      </c>
      <c r="J24" s="144">
        <v>1214</v>
      </c>
      <c r="K24" s="144">
        <v>1111</v>
      </c>
      <c r="L24" s="154">
        <f t="shared" si="5"/>
        <v>1022</v>
      </c>
      <c r="M24" s="142">
        <v>4603</v>
      </c>
      <c r="N24" s="144">
        <v>1149</v>
      </c>
      <c r="O24" s="144">
        <v>984</v>
      </c>
      <c r="P24" s="306">
        <v>1069</v>
      </c>
      <c r="Q24" s="144">
        <v>1099</v>
      </c>
      <c r="R24" s="158">
        <f t="shared" si="7"/>
        <v>4301</v>
      </c>
      <c r="S24" s="144">
        <f t="shared" si="11"/>
        <v>1136.5600000000002</v>
      </c>
      <c r="T24" s="144">
        <f t="shared" si="11"/>
        <v>1107.232</v>
      </c>
      <c r="U24" s="144">
        <f t="shared" si="11"/>
        <v>1150.4920000000002</v>
      </c>
      <c r="V24" s="144">
        <f t="shared" si="11"/>
        <v>1197.9959999999999</v>
      </c>
      <c r="W24" s="158">
        <f t="shared" si="9"/>
        <v>4592.2800000000007</v>
      </c>
      <c r="Y24" s="344"/>
    </row>
    <row r="25" spans="2:26" s="50" customFormat="1" ht="17.25" customHeight="1" x14ac:dyDescent="0.3">
      <c r="B25" s="324" t="s">
        <v>95</v>
      </c>
      <c r="C25" s="325"/>
      <c r="D25" s="140">
        <v>314</v>
      </c>
      <c r="E25" s="140">
        <v>361</v>
      </c>
      <c r="F25" s="140">
        <v>306</v>
      </c>
      <c r="G25" s="154">
        <f t="shared" si="0"/>
        <v>263</v>
      </c>
      <c r="H25" s="142">
        <v>1244</v>
      </c>
      <c r="I25" s="143">
        <v>182</v>
      </c>
      <c r="J25" s="144">
        <v>151</v>
      </c>
      <c r="K25" s="144">
        <v>127</v>
      </c>
      <c r="L25" s="154">
        <f t="shared" si="5"/>
        <v>93</v>
      </c>
      <c r="M25" s="142">
        <v>553</v>
      </c>
      <c r="N25" s="144">
        <v>117</v>
      </c>
      <c r="O25" s="144">
        <v>157</v>
      </c>
      <c r="P25" s="306">
        <v>148</v>
      </c>
      <c r="Q25" s="144">
        <v>114</v>
      </c>
      <c r="R25" s="158">
        <f t="shared" si="7"/>
        <v>536</v>
      </c>
      <c r="S25" s="144">
        <f t="shared" si="11"/>
        <v>142.07000000000002</v>
      </c>
      <c r="T25" s="144">
        <f t="shared" si="11"/>
        <v>138.404</v>
      </c>
      <c r="U25" s="144">
        <f t="shared" si="11"/>
        <v>129.43035</v>
      </c>
      <c r="V25" s="144">
        <f t="shared" si="11"/>
        <v>134.77454999999998</v>
      </c>
      <c r="W25" s="158">
        <f t="shared" si="9"/>
        <v>544.6789</v>
      </c>
      <c r="Y25" s="236"/>
    </row>
    <row r="26" spans="2:26" s="50" customFormat="1" ht="17.25" customHeight="1" x14ac:dyDescent="0.3">
      <c r="B26" s="324" t="s">
        <v>96</v>
      </c>
      <c r="C26" s="325"/>
      <c r="D26" s="140">
        <v>3</v>
      </c>
      <c r="E26" s="140">
        <v>117</v>
      </c>
      <c r="F26" s="140">
        <v>394</v>
      </c>
      <c r="G26" s="153">
        <f t="shared" si="0"/>
        <v>322</v>
      </c>
      <c r="H26" s="142">
        <v>836</v>
      </c>
      <c r="I26" s="140">
        <v>2783</v>
      </c>
      <c r="J26" s="144">
        <v>30</v>
      </c>
      <c r="K26" s="144">
        <v>758</v>
      </c>
      <c r="L26" s="153">
        <f t="shared" si="5"/>
        <v>1504</v>
      </c>
      <c r="M26" s="142">
        <v>5075</v>
      </c>
      <c r="N26" s="144">
        <v>16</v>
      </c>
      <c r="O26" s="144">
        <v>18</v>
      </c>
      <c r="P26" s="144">
        <v>27</v>
      </c>
      <c r="Q26" s="144">
        <v>166</v>
      </c>
      <c r="R26" s="158">
        <f t="shared" si="7"/>
        <v>227</v>
      </c>
      <c r="S26" s="144">
        <f t="shared" si="11"/>
        <v>28.414000000000001</v>
      </c>
      <c r="T26" s="144">
        <f t="shared" si="11"/>
        <v>27.680800000000001</v>
      </c>
      <c r="U26" s="144">
        <f t="shared" si="11"/>
        <v>28.762300000000007</v>
      </c>
      <c r="V26" s="144">
        <f t="shared" si="11"/>
        <v>29.9499</v>
      </c>
      <c r="W26" s="158">
        <f t="shared" si="9"/>
        <v>114.80700000000002</v>
      </c>
      <c r="Y26" s="236"/>
    </row>
    <row r="27" spans="2:26" s="50" customFormat="1" ht="17.25" customHeight="1" x14ac:dyDescent="0.45">
      <c r="B27" s="324" t="s">
        <v>91</v>
      </c>
      <c r="C27" s="325"/>
      <c r="D27" s="146">
        <v>0</v>
      </c>
      <c r="E27" s="146">
        <v>0</v>
      </c>
      <c r="F27" s="146">
        <v>0</v>
      </c>
      <c r="G27" s="163">
        <f t="shared" si="0"/>
        <v>0</v>
      </c>
      <c r="H27" s="148">
        <v>0</v>
      </c>
      <c r="I27" s="146">
        <v>63</v>
      </c>
      <c r="J27" s="150">
        <v>6</v>
      </c>
      <c r="K27" s="150">
        <v>0</v>
      </c>
      <c r="L27" s="163">
        <f t="shared" si="5"/>
        <v>202</v>
      </c>
      <c r="M27" s="148">
        <v>271</v>
      </c>
      <c r="N27" s="150">
        <v>16</v>
      </c>
      <c r="O27" s="150">
        <v>7</v>
      </c>
      <c r="P27" s="329">
        <v>31</v>
      </c>
      <c r="Q27" s="150">
        <v>64</v>
      </c>
      <c r="R27" s="237">
        <f t="shared" si="7"/>
        <v>118</v>
      </c>
      <c r="S27" s="150">
        <f t="shared" si="11"/>
        <v>28.414000000000001</v>
      </c>
      <c r="T27" s="150">
        <f t="shared" si="11"/>
        <v>27.680800000000001</v>
      </c>
      <c r="U27" s="150">
        <f t="shared" si="11"/>
        <v>28.762300000000007</v>
      </c>
      <c r="V27" s="150">
        <f t="shared" si="11"/>
        <v>29.9499</v>
      </c>
      <c r="W27" s="237">
        <f t="shared" si="9"/>
        <v>114.80700000000002</v>
      </c>
      <c r="Y27" s="345"/>
    </row>
    <row r="28" spans="2:26" s="50" customFormat="1" ht="17.25" customHeight="1" x14ac:dyDescent="0.45">
      <c r="B28" s="324" t="s">
        <v>92</v>
      </c>
      <c r="C28" s="325"/>
      <c r="D28" s="146">
        <f>SUM(D19:D27)</f>
        <v>2869</v>
      </c>
      <c r="E28" s="146">
        <f>SUM(E19:E27)</f>
        <v>3137</v>
      </c>
      <c r="F28" s="146">
        <f>SUM(F19:F27)</f>
        <v>3309</v>
      </c>
      <c r="G28" s="163">
        <f t="shared" si="0"/>
        <v>3655</v>
      </c>
      <c r="H28" s="148">
        <f>SUM(H19:H27)</f>
        <v>12970</v>
      </c>
      <c r="I28" s="146">
        <f>SUM(I19:I27)</f>
        <v>6529</v>
      </c>
      <c r="J28" s="146">
        <f>SUM(J19:J27)</f>
        <v>2546</v>
      </c>
      <c r="K28" s="146">
        <f>SUM(K19:K27)</f>
        <v>4237</v>
      </c>
      <c r="L28" s="163">
        <f t="shared" si="5"/>
        <v>4195</v>
      </c>
      <c r="M28" s="148">
        <f>SUM(M19:M27)</f>
        <v>17507</v>
      </c>
      <c r="N28" s="146">
        <f>SUM(N19:N27)</f>
        <v>2538</v>
      </c>
      <c r="O28" s="146">
        <f>SUM(O19:O27)</f>
        <v>2247</v>
      </c>
      <c r="P28" s="146">
        <f>SUM(P19:P27)</f>
        <v>2686</v>
      </c>
      <c r="Q28" s="146">
        <f>SUM(Q19:Q27)</f>
        <v>2997</v>
      </c>
      <c r="R28" s="237">
        <f t="shared" si="7"/>
        <v>10468</v>
      </c>
      <c r="S28" s="146">
        <f>SUM(S19:S27)</f>
        <v>2609.7004000000011</v>
      </c>
      <c r="T28" s="146">
        <f>SUM(T19:T27)</f>
        <v>2519.7330000000002</v>
      </c>
      <c r="U28" s="146">
        <f>SUM(U19:U27)</f>
        <v>2524.1755250000001</v>
      </c>
      <c r="V28" s="146">
        <f>SUM(V19:V27)</f>
        <v>2590.0841350000001</v>
      </c>
      <c r="W28" s="237">
        <f t="shared" si="9"/>
        <v>10243.693060000001</v>
      </c>
      <c r="Y28" s="236"/>
      <c r="Z28" s="195"/>
    </row>
    <row r="29" spans="2:26" s="50" customFormat="1" ht="17.25" customHeight="1" x14ac:dyDescent="0.45">
      <c r="B29" s="326" t="s">
        <v>93</v>
      </c>
      <c r="C29" s="325"/>
      <c r="D29" s="156">
        <f>D17-D28</f>
        <v>2975</v>
      </c>
      <c r="E29" s="156">
        <f>E17-E28</f>
        <v>1302</v>
      </c>
      <c r="F29" s="156">
        <f>F17-F28</f>
        <v>1701</v>
      </c>
      <c r="G29" s="164">
        <f t="shared" si="0"/>
        <v>-478</v>
      </c>
      <c r="H29" s="161">
        <f>H17-H28</f>
        <v>5500</v>
      </c>
      <c r="I29" s="156">
        <f>I17-I28</f>
        <v>-4208</v>
      </c>
      <c r="J29" s="156">
        <f>J17-J28</f>
        <v>90</v>
      </c>
      <c r="K29" s="156">
        <f>K17-K28</f>
        <v>-2549</v>
      </c>
      <c r="L29" s="164">
        <f t="shared" si="5"/>
        <v>-2142</v>
      </c>
      <c r="M29" s="161">
        <f t="shared" ref="M29:V29" si="12">M17-M28</f>
        <v>-8809</v>
      </c>
      <c r="N29" s="156">
        <f t="shared" si="12"/>
        <v>-864</v>
      </c>
      <c r="O29" s="156">
        <f>O17-O28</f>
        <v>-332</v>
      </c>
      <c r="P29" s="156">
        <f>P17-P28</f>
        <v>-793</v>
      </c>
      <c r="Q29" s="156">
        <f t="shared" si="12"/>
        <v>-610</v>
      </c>
      <c r="R29" s="161">
        <f t="shared" si="12"/>
        <v>-2599</v>
      </c>
      <c r="S29" s="156">
        <f t="shared" si="12"/>
        <v>231.69959999999901</v>
      </c>
      <c r="T29" s="156">
        <f t="shared" si="12"/>
        <v>248.34699999999975</v>
      </c>
      <c r="U29" s="156">
        <f t="shared" si="12"/>
        <v>352.05447500000037</v>
      </c>
      <c r="V29" s="156">
        <f t="shared" si="12"/>
        <v>404.90586499999972</v>
      </c>
      <c r="W29" s="161">
        <f t="shared" ref="W29" si="13">W17-W28</f>
        <v>1237.0069399999975</v>
      </c>
      <c r="Y29" s="236"/>
    </row>
    <row r="30" spans="2:26" s="50" customFormat="1" ht="17.25" customHeight="1" x14ac:dyDescent="0.45">
      <c r="B30" s="326" t="s">
        <v>94</v>
      </c>
      <c r="C30" s="325"/>
      <c r="D30" s="146"/>
      <c r="E30" s="146"/>
      <c r="F30" s="146"/>
      <c r="G30" s="153">
        <f t="shared" si="0"/>
        <v>0</v>
      </c>
      <c r="H30" s="148"/>
      <c r="I30" s="146"/>
      <c r="J30" s="146"/>
      <c r="K30" s="146"/>
      <c r="L30" s="150"/>
      <c r="M30" s="148"/>
      <c r="N30" s="146"/>
      <c r="O30" s="146"/>
      <c r="P30" s="150"/>
      <c r="Q30" s="150"/>
      <c r="R30" s="148"/>
      <c r="S30" s="68"/>
      <c r="T30" s="68"/>
      <c r="U30" s="68"/>
      <c r="V30" s="68"/>
      <c r="W30" s="148"/>
      <c r="Y30" s="236"/>
    </row>
    <row r="31" spans="2:26" s="49" customFormat="1" x14ac:dyDescent="0.3">
      <c r="B31" s="324" t="s">
        <v>40</v>
      </c>
      <c r="C31" s="325"/>
      <c r="D31" s="140">
        <v>183</v>
      </c>
      <c r="E31" s="140">
        <v>186</v>
      </c>
      <c r="F31" s="140">
        <v>204</v>
      </c>
      <c r="G31" s="154">
        <f t="shared" si="0"/>
        <v>199</v>
      </c>
      <c r="H31" s="142">
        <v>772</v>
      </c>
      <c r="I31" s="143">
        <v>216</v>
      </c>
      <c r="J31" s="144">
        <v>201</v>
      </c>
      <c r="K31" s="144">
        <v>199</v>
      </c>
      <c r="L31" s="154">
        <f t="shared" ref="L31:L42" si="14">M31-(K31+J31+I31)</f>
        <v>209</v>
      </c>
      <c r="M31" s="142">
        <v>825</v>
      </c>
      <c r="N31" s="144">
        <v>220</v>
      </c>
      <c r="O31" s="144">
        <v>217</v>
      </c>
      <c r="P31" s="306">
        <v>220</v>
      </c>
      <c r="Q31" s="144">
        <v>233</v>
      </c>
      <c r="R31" s="231">
        <f>SUM(N31:Q31)</f>
        <v>890</v>
      </c>
      <c r="S31" s="144">
        <v>225</v>
      </c>
      <c r="T31" s="144">
        <v>225</v>
      </c>
      <c r="U31" s="144">
        <v>225</v>
      </c>
      <c r="V31" s="144">
        <v>225</v>
      </c>
      <c r="W31" s="231">
        <f>SUM(S31:V31)</f>
        <v>900</v>
      </c>
      <c r="Y31" s="236"/>
    </row>
    <row r="32" spans="2:26" s="49" customFormat="1" x14ac:dyDescent="0.3">
      <c r="B32" s="324" t="s">
        <v>175</v>
      </c>
      <c r="C32" s="325"/>
      <c r="D32" s="140"/>
      <c r="E32" s="140"/>
      <c r="F32" s="140"/>
      <c r="G32" s="154"/>
      <c r="H32" s="142"/>
      <c r="I32" s="143"/>
      <c r="J32" s="144"/>
      <c r="K32" s="144"/>
      <c r="L32" s="154"/>
      <c r="M32" s="142"/>
      <c r="N32" s="144"/>
      <c r="O32" s="144">
        <v>124</v>
      </c>
      <c r="P32" s="144">
        <v>0</v>
      </c>
      <c r="Q32" s="144">
        <v>31</v>
      </c>
      <c r="R32" s="231">
        <f t="shared" ref="R32:R36" si="15">SUM(N32:Q32)</f>
        <v>155</v>
      </c>
      <c r="S32" s="144"/>
      <c r="T32" s="144"/>
      <c r="U32" s="144"/>
      <c r="V32" s="144"/>
      <c r="W32" s="231">
        <f t="shared" ref="W32:W37" si="16">SUM(S32:V32)</f>
        <v>0</v>
      </c>
      <c r="Y32" s="236"/>
    </row>
    <row r="33" spans="2:26" s="49" customFormat="1" x14ac:dyDescent="0.3">
      <c r="B33" s="324" t="s">
        <v>97</v>
      </c>
      <c r="C33" s="325"/>
      <c r="D33" s="140">
        <v>453</v>
      </c>
      <c r="E33" s="140">
        <v>323</v>
      </c>
      <c r="F33" s="140">
        <v>-323</v>
      </c>
      <c r="G33" s="154">
        <f t="shared" si="0"/>
        <v>-256</v>
      </c>
      <c r="H33" s="142">
        <v>197</v>
      </c>
      <c r="I33" s="143">
        <v>152</v>
      </c>
      <c r="J33" s="144">
        <v>-311</v>
      </c>
      <c r="K33" s="144">
        <v>282</v>
      </c>
      <c r="L33" s="154">
        <f t="shared" si="14"/>
        <v>-222</v>
      </c>
      <c r="M33" s="142">
        <v>-99</v>
      </c>
      <c r="N33" s="144">
        <v>297</v>
      </c>
      <c r="O33" s="144">
        <v>311</v>
      </c>
      <c r="P33" s="144">
        <v>25</v>
      </c>
      <c r="Q33" s="144">
        <v>-343</v>
      </c>
      <c r="R33" s="231">
        <f t="shared" si="15"/>
        <v>290</v>
      </c>
      <c r="S33" s="144">
        <f t="shared" ref="S33:V34" si="17">S$17*S100</f>
        <v>0</v>
      </c>
      <c r="T33" s="144">
        <f t="shared" si="17"/>
        <v>0</v>
      </c>
      <c r="U33" s="144">
        <f t="shared" si="17"/>
        <v>0</v>
      </c>
      <c r="V33" s="144">
        <f t="shared" si="17"/>
        <v>0</v>
      </c>
      <c r="W33" s="231">
        <f t="shared" si="16"/>
        <v>0</v>
      </c>
      <c r="Y33" s="236"/>
    </row>
    <row r="34" spans="2:26" x14ac:dyDescent="0.3">
      <c r="B34" s="375" t="s">
        <v>41</v>
      </c>
      <c r="C34" s="376"/>
      <c r="D34" s="140">
        <v>1</v>
      </c>
      <c r="E34" s="140">
        <v>-13</v>
      </c>
      <c r="F34" s="140">
        <v>24</v>
      </c>
      <c r="G34" s="154">
        <f t="shared" si="0"/>
        <v>8</v>
      </c>
      <c r="H34" s="142">
        <v>20</v>
      </c>
      <c r="I34" s="143">
        <v>47</v>
      </c>
      <c r="J34" s="144">
        <v>15</v>
      </c>
      <c r="K34" s="144">
        <v>47</v>
      </c>
      <c r="L34" s="154">
        <f t="shared" si="14"/>
        <v>40</v>
      </c>
      <c r="M34" s="142">
        <v>149</v>
      </c>
      <c r="N34" s="144">
        <v>0</v>
      </c>
      <c r="O34" s="144">
        <v>-59.000000000000313</v>
      </c>
      <c r="P34" s="144">
        <v>-31</v>
      </c>
      <c r="Q34" s="144">
        <v>-15</v>
      </c>
      <c r="R34" s="231">
        <f t="shared" si="15"/>
        <v>-105.00000000000031</v>
      </c>
      <c r="S34" s="144">
        <v>-15</v>
      </c>
      <c r="T34" s="144">
        <v>-30</v>
      </c>
      <c r="U34" s="144">
        <v>-5</v>
      </c>
      <c r="V34" s="144">
        <f t="shared" si="17"/>
        <v>-14.97495</v>
      </c>
      <c r="W34" s="231">
        <f t="shared" si="16"/>
        <v>-64.974950000000007</v>
      </c>
      <c r="Y34" s="236"/>
    </row>
    <row r="35" spans="2:26" s="49" customFormat="1" x14ac:dyDescent="0.3">
      <c r="B35" s="324" t="s">
        <v>98</v>
      </c>
      <c r="C35" s="325"/>
      <c r="D35" s="140">
        <v>4300</v>
      </c>
      <c r="E35" s="140">
        <v>19</v>
      </c>
      <c r="F35" s="140">
        <v>19</v>
      </c>
      <c r="G35" s="154">
        <f t="shared" si="0"/>
        <v>22</v>
      </c>
      <c r="H35" s="142">
        <v>4360</v>
      </c>
      <c r="I35" s="143">
        <v>5</v>
      </c>
      <c r="J35" s="144">
        <v>0</v>
      </c>
      <c r="K35" s="144">
        <v>0</v>
      </c>
      <c r="L35" s="154">
        <f t="shared" si="14"/>
        <v>0</v>
      </c>
      <c r="M35" s="142">
        <v>5</v>
      </c>
      <c r="N35" s="144">
        <v>0</v>
      </c>
      <c r="O35" s="144">
        <v>0</v>
      </c>
      <c r="P35" s="144">
        <v>0</v>
      </c>
      <c r="Q35" s="144">
        <v>0</v>
      </c>
      <c r="R35" s="231">
        <f t="shared" si="15"/>
        <v>0</v>
      </c>
      <c r="S35" s="67">
        <v>0</v>
      </c>
      <c r="T35" s="67">
        <v>0</v>
      </c>
      <c r="U35" s="67">
        <v>0</v>
      </c>
      <c r="V35" s="67">
        <v>0</v>
      </c>
      <c r="W35" s="231">
        <f t="shared" si="16"/>
        <v>0</v>
      </c>
      <c r="Y35" s="236"/>
    </row>
    <row r="36" spans="2:26" s="49" customFormat="1" ht="16.2" x14ac:dyDescent="0.45">
      <c r="B36" s="324" t="s">
        <v>110</v>
      </c>
      <c r="C36" s="325"/>
      <c r="D36" s="146">
        <v>0</v>
      </c>
      <c r="E36" s="146">
        <v>93</v>
      </c>
      <c r="F36" s="146">
        <v>3</v>
      </c>
      <c r="G36" s="155">
        <f t="shared" si="0"/>
        <v>1</v>
      </c>
      <c r="H36" s="148">
        <v>97</v>
      </c>
      <c r="I36" s="149">
        <v>0</v>
      </c>
      <c r="J36" s="150">
        <v>0</v>
      </c>
      <c r="K36" s="150">
        <v>0</v>
      </c>
      <c r="L36" s="155">
        <f t="shared" si="14"/>
        <v>0</v>
      </c>
      <c r="M36" s="148">
        <v>0</v>
      </c>
      <c r="N36" s="150">
        <v>0</v>
      </c>
      <c r="O36" s="150">
        <v>0</v>
      </c>
      <c r="P36" s="150">
        <v>0</v>
      </c>
      <c r="Q36" s="150">
        <v>0</v>
      </c>
      <c r="R36" s="238">
        <f t="shared" si="15"/>
        <v>0</v>
      </c>
      <c r="S36" s="68">
        <v>0</v>
      </c>
      <c r="T36" s="68">
        <v>0</v>
      </c>
      <c r="U36" s="68">
        <v>0</v>
      </c>
      <c r="V36" s="68">
        <v>0</v>
      </c>
      <c r="W36" s="238">
        <f t="shared" si="16"/>
        <v>0</v>
      </c>
      <c r="Y36" s="236"/>
    </row>
    <row r="37" spans="2:26" s="49" customFormat="1" ht="16.2" x14ac:dyDescent="0.45">
      <c r="B37" s="324" t="s">
        <v>81</v>
      </c>
      <c r="C37" s="325"/>
      <c r="D37" s="146">
        <f>SUM(D31:D36)</f>
        <v>4937</v>
      </c>
      <c r="E37" s="146">
        <f>SUM(E31:E36)</f>
        <v>608</v>
      </c>
      <c r="F37" s="146">
        <f>SUM(F31:F36)</f>
        <v>-73</v>
      </c>
      <c r="G37" s="155">
        <f t="shared" si="0"/>
        <v>-26</v>
      </c>
      <c r="H37" s="149">
        <f>SUM(H31:H36)</f>
        <v>5446</v>
      </c>
      <c r="I37" s="149">
        <f>SUM(I31:I36)</f>
        <v>420</v>
      </c>
      <c r="J37" s="146">
        <f>SUM(J31:J36)</f>
        <v>-95</v>
      </c>
      <c r="K37" s="146">
        <f>SUM(K31:K36)</f>
        <v>528</v>
      </c>
      <c r="L37" s="155">
        <f t="shared" si="14"/>
        <v>27</v>
      </c>
      <c r="M37" s="148">
        <f>SUM(M31:M36)</f>
        <v>880</v>
      </c>
      <c r="N37" s="146">
        <f>SUM(N31:N36)</f>
        <v>517</v>
      </c>
      <c r="O37" s="146">
        <f>SUM(O31:O36)</f>
        <v>592.99999999999966</v>
      </c>
      <c r="P37" s="146">
        <f>SUM(P31:P36)</f>
        <v>214</v>
      </c>
      <c r="Q37" s="146">
        <f>SUM(Q31:Q36)</f>
        <v>-94</v>
      </c>
      <c r="R37" s="238">
        <f t="shared" ref="R37" si="18">SUM(N37:Q37)</f>
        <v>1229.9999999999995</v>
      </c>
      <c r="S37" s="146">
        <f>SUM(S31:S36)</f>
        <v>210</v>
      </c>
      <c r="T37" s="146">
        <f>SUM(T31:T36)</f>
        <v>195</v>
      </c>
      <c r="U37" s="146">
        <f>SUM(U31:U36)</f>
        <v>220</v>
      </c>
      <c r="V37" s="146">
        <f>SUM(V31:V36)</f>
        <v>210.02504999999999</v>
      </c>
      <c r="W37" s="238">
        <f t="shared" si="16"/>
        <v>835.02504999999996</v>
      </c>
      <c r="Y37" s="257"/>
    </row>
    <row r="38" spans="2:26" ht="16.2" x14ac:dyDescent="0.45">
      <c r="B38" s="379" t="s">
        <v>101</v>
      </c>
      <c r="C38" s="380"/>
      <c r="D38" s="156">
        <f>D29-D37</f>
        <v>-1962</v>
      </c>
      <c r="E38" s="156">
        <f>E29-E37</f>
        <v>694</v>
      </c>
      <c r="F38" s="156">
        <f>F29-F37</f>
        <v>1774</v>
      </c>
      <c r="G38" s="162">
        <f t="shared" si="0"/>
        <v>-452</v>
      </c>
      <c r="H38" s="159">
        <f>H29-H37</f>
        <v>54</v>
      </c>
      <c r="I38" s="159">
        <f>I29-I37</f>
        <v>-4628</v>
      </c>
      <c r="J38" s="156">
        <f>J29-J37</f>
        <v>185</v>
      </c>
      <c r="K38" s="156">
        <f>K29-K37</f>
        <v>-3077</v>
      </c>
      <c r="L38" s="162">
        <f t="shared" si="14"/>
        <v>-2169</v>
      </c>
      <c r="M38" s="161">
        <f t="shared" ref="M38:V38" si="19">M29-M37</f>
        <v>-9689</v>
      </c>
      <c r="N38" s="160">
        <f t="shared" si="19"/>
        <v>-1381</v>
      </c>
      <c r="O38" s="160">
        <f>O29-O37</f>
        <v>-924.99999999999966</v>
      </c>
      <c r="P38" s="160">
        <f>P29-P37</f>
        <v>-1007</v>
      </c>
      <c r="Q38" s="160">
        <f t="shared" si="19"/>
        <v>-516</v>
      </c>
      <c r="R38" s="235">
        <f t="shared" si="19"/>
        <v>-3828.9999999999995</v>
      </c>
      <c r="S38" s="160">
        <f t="shared" si="19"/>
        <v>21.699599999999009</v>
      </c>
      <c r="T38" s="160">
        <f t="shared" si="19"/>
        <v>53.346999999999753</v>
      </c>
      <c r="U38" s="160">
        <f t="shared" si="19"/>
        <v>132.05447500000037</v>
      </c>
      <c r="V38" s="160">
        <f t="shared" si="19"/>
        <v>194.88081499999973</v>
      </c>
      <c r="W38" s="235">
        <f t="shared" ref="W38" si="20">W29-W37</f>
        <v>401.98188999999752</v>
      </c>
      <c r="Y38" s="271"/>
      <c r="Z38" s="271"/>
    </row>
    <row r="39" spans="2:26" x14ac:dyDescent="0.3">
      <c r="B39" s="375" t="s">
        <v>99</v>
      </c>
      <c r="C39" s="376"/>
      <c r="D39" s="140">
        <v>664</v>
      </c>
      <c r="E39" s="140">
        <v>428</v>
      </c>
      <c r="F39" s="140">
        <v>627</v>
      </c>
      <c r="G39" s="154">
        <f t="shared" si="0"/>
        <v>-102</v>
      </c>
      <c r="H39" s="142">
        <v>1617</v>
      </c>
      <c r="I39" s="143">
        <v>-1392</v>
      </c>
      <c r="J39" s="144">
        <v>77</v>
      </c>
      <c r="K39" s="144">
        <v>-917</v>
      </c>
      <c r="L39" s="154">
        <f t="shared" si="14"/>
        <v>-645</v>
      </c>
      <c r="M39" s="142">
        <v>-2877</v>
      </c>
      <c r="N39" s="144">
        <v>-383</v>
      </c>
      <c r="O39" s="144">
        <v>-314</v>
      </c>
      <c r="P39" s="144">
        <v>-260</v>
      </c>
      <c r="Q39" s="144">
        <v>-64</v>
      </c>
      <c r="R39" s="231">
        <f>SUM(N39:Q39)</f>
        <v>-1021</v>
      </c>
      <c r="S39" s="144">
        <f>S38*S102</f>
        <v>5.4248999999997523</v>
      </c>
      <c r="T39" s="144">
        <f>T38*T102</f>
        <v>13.336749999999938</v>
      </c>
      <c r="U39" s="144">
        <f>U38*U102</f>
        <v>33.013618750000091</v>
      </c>
      <c r="V39" s="144">
        <f>V38*V102</f>
        <v>48.720203749999932</v>
      </c>
      <c r="W39" s="231">
        <f>SUM(S39:V39)</f>
        <v>100.49547249999972</v>
      </c>
      <c r="Y39" s="236"/>
    </row>
    <row r="40" spans="2:26" ht="16.2" x14ac:dyDescent="0.45">
      <c r="B40" s="379" t="s">
        <v>100</v>
      </c>
      <c r="C40" s="380"/>
      <c r="D40" s="156">
        <f>D38-D39</f>
        <v>-2626</v>
      </c>
      <c r="E40" s="156">
        <f>E38-E39</f>
        <v>266</v>
      </c>
      <c r="F40" s="156">
        <f>F38-F39</f>
        <v>1147</v>
      </c>
      <c r="G40" s="162">
        <f t="shared" si="0"/>
        <v>-350</v>
      </c>
      <c r="H40" s="159">
        <f>H38-H39</f>
        <v>-1563</v>
      </c>
      <c r="I40" s="159">
        <f>I38-I39</f>
        <v>-3236</v>
      </c>
      <c r="J40" s="156">
        <f>J38-J39</f>
        <v>108</v>
      </c>
      <c r="K40" s="156">
        <f>K38-K39</f>
        <v>-2160</v>
      </c>
      <c r="L40" s="162">
        <f t="shared" si="14"/>
        <v>-1524</v>
      </c>
      <c r="M40" s="161">
        <f>M38-M39</f>
        <v>-6812</v>
      </c>
      <c r="N40" s="160">
        <f>N38-N39</f>
        <v>-998</v>
      </c>
      <c r="O40" s="160">
        <f>O38-O39</f>
        <v>-610.99999999999966</v>
      </c>
      <c r="P40" s="160">
        <f t="shared" ref="P40:Q40" si="21">P38-P39</f>
        <v>-747</v>
      </c>
      <c r="Q40" s="160">
        <f t="shared" si="21"/>
        <v>-452</v>
      </c>
      <c r="R40" s="235">
        <f>R38-R39</f>
        <v>-2807.9999999999995</v>
      </c>
      <c r="S40" s="160">
        <f t="shared" ref="S40" si="22">S38-S39</f>
        <v>16.274699999999257</v>
      </c>
      <c r="T40" s="160">
        <f t="shared" ref="T40" si="23">T38-T39</f>
        <v>40.010249999999814</v>
      </c>
      <c r="U40" s="160">
        <f t="shared" ref="U40" si="24">U38-U39</f>
        <v>99.040856250000274</v>
      </c>
      <c r="V40" s="160">
        <f t="shared" ref="V40" si="25">V38-V39</f>
        <v>146.16061124999979</v>
      </c>
      <c r="W40" s="235">
        <f>W38-W39</f>
        <v>301.4864174999978</v>
      </c>
    </row>
    <row r="41" spans="2:26" s="50" customFormat="1" x14ac:dyDescent="0.3">
      <c r="B41" s="324" t="s">
        <v>102</v>
      </c>
      <c r="C41" s="325"/>
      <c r="D41" s="140">
        <v>43</v>
      </c>
      <c r="E41" s="140">
        <v>39</v>
      </c>
      <c r="F41" s="140">
        <v>60</v>
      </c>
      <c r="G41" s="154">
        <f t="shared" si="0"/>
        <v>45</v>
      </c>
      <c r="H41" s="142">
        <v>187</v>
      </c>
      <c r="I41" s="143">
        <v>32</v>
      </c>
      <c r="J41" s="144">
        <v>47</v>
      </c>
      <c r="K41" s="144">
        <v>75</v>
      </c>
      <c r="L41" s="154">
        <f>M41-(K41+J41+I41)</f>
        <v>-274</v>
      </c>
      <c r="M41" s="142">
        <v>-120</v>
      </c>
      <c r="N41" s="144">
        <v>36</v>
      </c>
      <c r="O41" s="144">
        <v>81</v>
      </c>
      <c r="P41" s="144">
        <v>83</v>
      </c>
      <c r="Q41" s="144">
        <v>63</v>
      </c>
      <c r="R41" s="231">
        <f>SUM(N41:Q41)</f>
        <v>263</v>
      </c>
      <c r="S41" s="144">
        <v>0</v>
      </c>
      <c r="T41" s="144">
        <f>S41</f>
        <v>0</v>
      </c>
      <c r="U41" s="144">
        <f>T41</f>
        <v>0</v>
      </c>
      <c r="V41" s="144">
        <f>U41</f>
        <v>0</v>
      </c>
      <c r="W41" s="231">
        <f>SUM(S41:V41)</f>
        <v>0</v>
      </c>
      <c r="Y41" s="236"/>
    </row>
    <row r="42" spans="2:26" s="21" customFormat="1" ht="16.2" x14ac:dyDescent="0.45">
      <c r="B42" s="379" t="s">
        <v>103</v>
      </c>
      <c r="C42" s="380"/>
      <c r="D42" s="156">
        <f>D40-D41</f>
        <v>-2669</v>
      </c>
      <c r="E42" s="156">
        <f>E40-E41</f>
        <v>227</v>
      </c>
      <c r="F42" s="156">
        <f>F40-F41</f>
        <v>1087</v>
      </c>
      <c r="G42" s="162">
        <f t="shared" si="0"/>
        <v>-395</v>
      </c>
      <c r="H42" s="159">
        <f>H40-H41</f>
        <v>-1750</v>
      </c>
      <c r="I42" s="159">
        <f>I40-I41</f>
        <v>-3268</v>
      </c>
      <c r="J42" s="156">
        <f>J40-J41</f>
        <v>61</v>
      </c>
      <c r="K42" s="156">
        <f>K40-K41</f>
        <v>-2235</v>
      </c>
      <c r="L42" s="162">
        <f t="shared" si="14"/>
        <v>-1250</v>
      </c>
      <c r="M42" s="161">
        <f>M40-M41</f>
        <v>-6692</v>
      </c>
      <c r="N42" s="160">
        <f>N40-N41</f>
        <v>-1034</v>
      </c>
      <c r="O42" s="160">
        <f>O40-O41</f>
        <v>-691.99999999999966</v>
      </c>
      <c r="P42" s="160">
        <f t="shared" ref="P42:Q42" si="26">P40-P41</f>
        <v>-830</v>
      </c>
      <c r="Q42" s="160">
        <f t="shared" si="26"/>
        <v>-515</v>
      </c>
      <c r="R42" s="161">
        <f>R40-R41</f>
        <v>-3070.9999999999995</v>
      </c>
      <c r="S42" s="160">
        <f>S40-S41</f>
        <v>16.274699999999257</v>
      </c>
      <c r="T42" s="160">
        <f>T40-T41</f>
        <v>40.010249999999814</v>
      </c>
      <c r="U42" s="160">
        <f t="shared" ref="U42" si="27">U40-U41</f>
        <v>99.040856250000274</v>
      </c>
      <c r="V42" s="160">
        <f t="shared" ref="V42" si="28">V40-V41</f>
        <v>146.16061124999979</v>
      </c>
      <c r="W42" s="161">
        <f>W40-W41</f>
        <v>301.4864174999978</v>
      </c>
      <c r="Y42" s="236"/>
    </row>
    <row r="43" spans="2:26" s="49" customFormat="1" x14ac:dyDescent="0.3">
      <c r="B43" s="321" t="s">
        <v>215</v>
      </c>
      <c r="C43" s="328"/>
      <c r="D43" s="140">
        <f>D127</f>
        <v>-3308</v>
      </c>
      <c r="E43" s="140">
        <f>E127</f>
        <v>-442</v>
      </c>
      <c r="F43" s="140">
        <f t="shared" ref="F43:G43" si="29">F127</f>
        <v>487</v>
      </c>
      <c r="G43" s="140">
        <f t="shared" si="29"/>
        <v>-582</v>
      </c>
      <c r="H43" s="143">
        <f>SUM(D43:G43)</f>
        <v>-3845</v>
      </c>
      <c r="I43" s="143">
        <f>I127</f>
        <v>-2903</v>
      </c>
      <c r="J43" s="140">
        <f>J127</f>
        <v>57</v>
      </c>
      <c r="K43" s="140">
        <f t="shared" ref="K43:L43" si="30">K127</f>
        <v>-1877</v>
      </c>
      <c r="L43" s="140">
        <f t="shared" si="30"/>
        <v>-954</v>
      </c>
      <c r="M43" s="143">
        <f>SUM(I43:L43)</f>
        <v>-5677</v>
      </c>
      <c r="N43" s="143">
        <f>N127</f>
        <v>-465</v>
      </c>
      <c r="O43" s="140">
        <f>O127</f>
        <v>-388</v>
      </c>
      <c r="P43" s="140">
        <f>P127</f>
        <v>-371</v>
      </c>
      <c r="Q43" s="140">
        <f>Q127</f>
        <v>-243</v>
      </c>
      <c r="R43" s="143">
        <f>SUM(N43:Q43)</f>
        <v>-1467</v>
      </c>
      <c r="S43" s="143">
        <f>S127</f>
        <v>-10</v>
      </c>
      <c r="T43" s="140">
        <f>T127</f>
        <v>-20</v>
      </c>
      <c r="U43" s="140">
        <f>U127</f>
        <v>-15</v>
      </c>
      <c r="V43" s="140">
        <f>V127</f>
        <v>-15</v>
      </c>
      <c r="W43" s="142">
        <f>SUM(S43:V43)</f>
        <v>-60</v>
      </c>
      <c r="Y43" s="236"/>
    </row>
    <row r="44" spans="2:26" s="49" customFormat="1" ht="16.2" x14ac:dyDescent="0.45">
      <c r="B44" s="327" t="s">
        <v>216</v>
      </c>
      <c r="C44" s="328"/>
      <c r="D44" s="160">
        <f>D42-D43</f>
        <v>639</v>
      </c>
      <c r="E44" s="160">
        <f>E42-E43</f>
        <v>669</v>
      </c>
      <c r="F44" s="160">
        <f t="shared" ref="F44" si="31">F42-F43</f>
        <v>600</v>
      </c>
      <c r="G44" s="160">
        <f t="shared" ref="G44" si="32">G42-G43</f>
        <v>187</v>
      </c>
      <c r="H44" s="159">
        <f>H42-H43</f>
        <v>2095</v>
      </c>
      <c r="I44" s="245">
        <f>I42-I43</f>
        <v>-365</v>
      </c>
      <c r="J44" s="160">
        <f>J42-J43</f>
        <v>4</v>
      </c>
      <c r="K44" s="160">
        <f t="shared" ref="K44:L44" si="33">K42-K43</f>
        <v>-358</v>
      </c>
      <c r="L44" s="160">
        <f t="shared" si="33"/>
        <v>-296</v>
      </c>
      <c r="M44" s="159">
        <f t="shared" ref="M44:V44" si="34">M42-M43</f>
        <v>-1015</v>
      </c>
      <c r="N44" s="245">
        <f t="shared" si="34"/>
        <v>-569</v>
      </c>
      <c r="O44" s="160">
        <f>O42-O43</f>
        <v>-303.99999999999966</v>
      </c>
      <c r="P44" s="160">
        <f>P42-P43</f>
        <v>-459</v>
      </c>
      <c r="Q44" s="160">
        <f t="shared" si="34"/>
        <v>-272</v>
      </c>
      <c r="R44" s="159">
        <f t="shared" si="34"/>
        <v>-1603.9999999999995</v>
      </c>
      <c r="S44" s="245">
        <f>S42-S43</f>
        <v>26.274699999999257</v>
      </c>
      <c r="T44" s="160">
        <f t="shared" si="34"/>
        <v>60.010249999999814</v>
      </c>
      <c r="U44" s="160">
        <f t="shared" si="34"/>
        <v>114.04085625000027</v>
      </c>
      <c r="V44" s="160">
        <f t="shared" si="34"/>
        <v>161.16061124999979</v>
      </c>
      <c r="W44" s="161">
        <f>W42-W43</f>
        <v>361.4864174999978</v>
      </c>
      <c r="Y44" s="236"/>
    </row>
    <row r="45" spans="2:26" x14ac:dyDescent="0.3">
      <c r="B45" s="385" t="s">
        <v>104</v>
      </c>
      <c r="C45" s="386"/>
      <c r="D45" s="140"/>
      <c r="E45" s="140"/>
      <c r="F45" s="140"/>
      <c r="G45" s="154">
        <f t="shared" si="0"/>
        <v>0</v>
      </c>
      <c r="H45" s="66"/>
      <c r="I45" s="65"/>
      <c r="J45" s="67"/>
      <c r="K45" s="67"/>
      <c r="L45" s="67"/>
      <c r="M45" s="66"/>
      <c r="N45" s="67"/>
      <c r="O45" s="67"/>
      <c r="P45" s="67"/>
      <c r="Q45" s="67"/>
      <c r="R45" s="66"/>
      <c r="S45" s="67"/>
      <c r="T45" s="67"/>
      <c r="U45" s="67"/>
      <c r="V45" s="67"/>
      <c r="W45" s="66"/>
      <c r="Y45" s="236"/>
    </row>
    <row r="46" spans="2:26" ht="15.75" customHeight="1" x14ac:dyDescent="0.3">
      <c r="B46" s="363" t="s">
        <v>105</v>
      </c>
      <c r="C46" s="364"/>
      <c r="D46" s="34">
        <f>D42/D49</f>
        <v>-5.2956349206349209</v>
      </c>
      <c r="E46" s="34">
        <f>E42/E49</f>
        <v>0.44950495049504952</v>
      </c>
      <c r="F46" s="34">
        <f>F42/F49</f>
        <v>2.1482213438735176</v>
      </c>
      <c r="G46" s="34">
        <f>G42/G49</f>
        <v>-0.78063241106719372</v>
      </c>
      <c r="H46" s="63">
        <v>-3.47</v>
      </c>
      <c r="I46" s="63">
        <f>I42/I49</f>
        <v>-6.445759368836292</v>
      </c>
      <c r="J46" s="34">
        <f>J42/J49</f>
        <v>0.12007874015748031</v>
      </c>
      <c r="K46" s="34">
        <f>K42/K49</f>
        <v>-4.3996062992125982</v>
      </c>
      <c r="L46" s="34">
        <f>M46-(SUM(I46:K46))</f>
        <v>-2.4547130721085892</v>
      </c>
      <c r="M46" s="31">
        <v>-13.18</v>
      </c>
      <c r="N46" s="30">
        <f t="shared" ref="N46:V46" si="35">N42/N49</f>
        <v>-2.031434184675835</v>
      </c>
      <c r="O46" s="30">
        <f t="shared" si="35"/>
        <v>-1.3568627450980386</v>
      </c>
      <c r="P46" s="310">
        <f>P42/P49</f>
        <v>-1.6054158607350097</v>
      </c>
      <c r="Q46" s="310">
        <f>Q42/Q49</f>
        <v>-0.93466424682395643</v>
      </c>
      <c r="R46" s="311">
        <f>R42/R49</f>
        <v>-5.9236449195120144</v>
      </c>
      <c r="S46" s="310">
        <f t="shared" si="35"/>
        <v>2.9483152173911696E-2</v>
      </c>
      <c r="T46" s="30">
        <f t="shared" si="35"/>
        <v>7.2482336956521398E-2</v>
      </c>
      <c r="U46" s="30">
        <f t="shared" si="35"/>
        <v>0.17942184103260919</v>
      </c>
      <c r="V46" s="30">
        <f t="shared" si="35"/>
        <v>0.26478371603260831</v>
      </c>
      <c r="W46" s="31">
        <f>W42/W49</f>
        <v>0.54617104619564572</v>
      </c>
      <c r="Y46" s="236"/>
    </row>
    <row r="47" spans="2:26" s="49" customFormat="1" ht="15.75" customHeight="1" x14ac:dyDescent="0.3">
      <c r="B47" s="363" t="s">
        <v>106</v>
      </c>
      <c r="C47" s="364"/>
      <c r="D47" s="34">
        <f>D42/D50</f>
        <v>-5.2956349206349209</v>
      </c>
      <c r="E47" s="34">
        <f>E42/E50</f>
        <v>0.44773175542406313</v>
      </c>
      <c r="F47" s="34">
        <f>F42/F50</f>
        <v>2.1397637795275593</v>
      </c>
      <c r="G47" s="34">
        <f>G42/G50</f>
        <v>-0.78063241106719372</v>
      </c>
      <c r="H47" s="63">
        <v>-3.47</v>
      </c>
      <c r="I47" s="63">
        <f>I42/I50</f>
        <v>-6.445759368836292</v>
      </c>
      <c r="J47" s="34">
        <f>J42/J50</f>
        <v>0.11984282907662082</v>
      </c>
      <c r="K47" s="34">
        <f>K42/K50</f>
        <v>-4.3996062992125982</v>
      </c>
      <c r="L47" s="34">
        <f>M47-(SUM(I47:K47))</f>
        <v>-2.4544771610277305</v>
      </c>
      <c r="M47" s="31">
        <v>-13.18</v>
      </c>
      <c r="N47" s="30">
        <f t="shared" ref="N47:V47" si="36">N42/N50</f>
        <v>-2.031434184675835</v>
      </c>
      <c r="O47" s="30">
        <f t="shared" si="36"/>
        <v>-1.3568627450980386</v>
      </c>
      <c r="P47" s="310">
        <f t="shared" si="36"/>
        <v>-1.6054158607350097</v>
      </c>
      <c r="Q47" s="310">
        <f t="shared" si="36"/>
        <v>-0.93466424682395643</v>
      </c>
      <c r="R47" s="311">
        <f>R42/R50</f>
        <v>-5.9236449195120144</v>
      </c>
      <c r="S47" s="310">
        <f t="shared" si="36"/>
        <v>2.9483152173911696E-2</v>
      </c>
      <c r="T47" s="30">
        <f t="shared" si="36"/>
        <v>7.2482336956521398E-2</v>
      </c>
      <c r="U47" s="30">
        <f t="shared" si="36"/>
        <v>0.17942184103260919</v>
      </c>
      <c r="V47" s="30">
        <f t="shared" si="36"/>
        <v>0.26478371603260831</v>
      </c>
      <c r="W47" s="31">
        <f>W42/W50</f>
        <v>0.54617104619564572</v>
      </c>
      <c r="Y47" s="279"/>
    </row>
    <row r="48" spans="2:26" s="49" customFormat="1" ht="15.75" customHeight="1" x14ac:dyDescent="0.3">
      <c r="B48" s="363" t="s">
        <v>217</v>
      </c>
      <c r="C48" s="364"/>
      <c r="D48" s="34">
        <f>D44/D50</f>
        <v>1.2678571428571428</v>
      </c>
      <c r="E48" s="34">
        <f t="shared" ref="E48:H48" si="37">E44/E50</f>
        <v>1.319526627218935</v>
      </c>
      <c r="F48" s="34">
        <f t="shared" si="37"/>
        <v>1.1811023622047243</v>
      </c>
      <c r="G48" s="34">
        <f t="shared" si="37"/>
        <v>0.36956521739130432</v>
      </c>
      <c r="H48" s="31">
        <f t="shared" si="37"/>
        <v>4.1403162055335967</v>
      </c>
      <c r="I48" s="63">
        <f>I44/I50</f>
        <v>-0.71992110453648916</v>
      </c>
      <c r="J48" s="34">
        <f t="shared" ref="J48:M48" si="38">J44/J50</f>
        <v>7.8585461689587421E-3</v>
      </c>
      <c r="K48" s="34">
        <f t="shared" si="38"/>
        <v>-0.70472440944881887</v>
      </c>
      <c r="L48" s="34">
        <f t="shared" si="38"/>
        <v>-0.58267716535433067</v>
      </c>
      <c r="M48" s="31">
        <f t="shared" si="38"/>
        <v>-1.9999899888316583</v>
      </c>
      <c r="N48" s="63">
        <f>N44/N50</f>
        <v>-1.117878192534381</v>
      </c>
      <c r="O48" s="34">
        <f>O44/O50</f>
        <v>-0.59607843137254835</v>
      </c>
      <c r="P48" s="34">
        <f>P44/P50</f>
        <v>-0.88781431334622829</v>
      </c>
      <c r="Q48" s="34">
        <f t="shared" ref="Q48:V48" si="39">Q44/Q50</f>
        <v>-0.49364791288566245</v>
      </c>
      <c r="R48" s="31">
        <f>R44/R50</f>
        <v>-3.093951954053165</v>
      </c>
      <c r="S48" s="314">
        <f>S44/S50</f>
        <v>4.7599094202897207E-2</v>
      </c>
      <c r="T48" s="284">
        <f t="shared" si="39"/>
        <v>0.10871422101449242</v>
      </c>
      <c r="U48" s="284">
        <f t="shared" si="39"/>
        <v>0.20659575407608746</v>
      </c>
      <c r="V48" s="284">
        <f t="shared" si="39"/>
        <v>0.29195762907608658</v>
      </c>
      <c r="W48" s="31">
        <f>W44/W50</f>
        <v>0.65486669836955824</v>
      </c>
      <c r="Y48" s="279"/>
    </row>
    <row r="49" spans="2:25" s="50" customFormat="1" ht="15.75" customHeight="1" x14ac:dyDescent="0.3">
      <c r="B49" s="385" t="s">
        <v>107</v>
      </c>
      <c r="C49" s="386"/>
      <c r="D49" s="140">
        <v>504</v>
      </c>
      <c r="E49" s="140">
        <v>505</v>
      </c>
      <c r="F49" s="140">
        <v>506</v>
      </c>
      <c r="G49" s="154">
        <v>506</v>
      </c>
      <c r="H49" s="142">
        <v>506</v>
      </c>
      <c r="I49" s="143">
        <v>507</v>
      </c>
      <c r="J49" s="144">
        <v>508</v>
      </c>
      <c r="K49" s="144">
        <v>508</v>
      </c>
      <c r="L49" s="144">
        <v>508</v>
      </c>
      <c r="M49" s="31">
        <f>(I49*I42/M42)+(J49*J42/M42)+(K49*K42/M42)+(L49*L42/M42)</f>
        <v>507.51165570830835</v>
      </c>
      <c r="N49" s="144">
        <v>509</v>
      </c>
      <c r="O49" s="144">
        <v>510</v>
      </c>
      <c r="P49" s="306">
        <v>517</v>
      </c>
      <c r="Q49" s="144">
        <v>551</v>
      </c>
      <c r="R49" s="31">
        <f>(N49*N42/R42)+(O49*O42/R42)+(P49*P42/R42)+(Q49*Q42/R42)</f>
        <v>518.43080429827421</v>
      </c>
      <c r="S49" s="308">
        <v>552</v>
      </c>
      <c r="T49" s="308">
        <v>552</v>
      </c>
      <c r="U49" s="308">
        <v>552</v>
      </c>
      <c r="V49" s="351">
        <v>552</v>
      </c>
      <c r="W49" s="142">
        <f>(S49*S42/W42)+(T49*T42/W42)+(U49*U42/W42)+(V49*V42/W42)</f>
        <v>552.0000000000025</v>
      </c>
      <c r="Y49" s="236"/>
    </row>
    <row r="50" spans="2:25" x14ac:dyDescent="0.3">
      <c r="B50" s="385" t="s">
        <v>108</v>
      </c>
      <c r="C50" s="386"/>
      <c r="D50" s="140">
        <v>504</v>
      </c>
      <c r="E50" s="140">
        <v>507</v>
      </c>
      <c r="F50" s="140">
        <v>508</v>
      </c>
      <c r="G50" s="154">
        <v>506</v>
      </c>
      <c r="H50" s="142">
        <v>506</v>
      </c>
      <c r="I50" s="143">
        <v>507</v>
      </c>
      <c r="J50" s="144">
        <v>509</v>
      </c>
      <c r="K50" s="144">
        <v>508</v>
      </c>
      <c r="L50" s="144">
        <v>508</v>
      </c>
      <c r="M50" s="142">
        <f>(I50*I42/M42)+(J50*J42/M42)+(K50*K42/M42)+(L50*L42/M42)</f>
        <v>507.50254034668262</v>
      </c>
      <c r="N50" s="144">
        <v>509</v>
      </c>
      <c r="O50" s="144">
        <v>510</v>
      </c>
      <c r="P50" s="306">
        <v>517</v>
      </c>
      <c r="Q50" s="144">
        <v>551</v>
      </c>
      <c r="R50" s="142">
        <f>(N50*N42/R42)+(O50*O42/R42)+(P50*P42/R42)+(Q50*Q42/R42)</f>
        <v>518.43080429827421</v>
      </c>
      <c r="S50" s="308">
        <v>552</v>
      </c>
      <c r="T50" s="308">
        <v>552</v>
      </c>
      <c r="U50" s="308">
        <v>552</v>
      </c>
      <c r="V50" s="351">
        <v>552</v>
      </c>
      <c r="W50" s="142">
        <f>(S50*S42/W42)+(T50*T42/W42)+(U50*U42/W42)+(V50*V42/W42)</f>
        <v>552.0000000000025</v>
      </c>
      <c r="Y50" s="236"/>
    </row>
    <row r="51" spans="2:25" s="9" customFormat="1" x14ac:dyDescent="0.3">
      <c r="B51" s="29" t="s">
        <v>109</v>
      </c>
      <c r="C51" s="332"/>
      <c r="D51" s="269">
        <f>-D218/D50</f>
        <v>0.18253968253968253</v>
      </c>
      <c r="E51" s="269">
        <f>-E218/E50</f>
        <v>0.27218934911242604</v>
      </c>
      <c r="F51" s="269">
        <f>-F218/F50</f>
        <v>0.27165354330708663</v>
      </c>
      <c r="G51" s="270">
        <f>-G218/G50</f>
        <v>0.27075098814229248</v>
      </c>
      <c r="H51" s="31">
        <v>0.36</v>
      </c>
      <c r="I51" s="30">
        <f>-I218/I50</f>
        <v>0.27416173570019725</v>
      </c>
      <c r="J51" s="30">
        <f>-J218/J50</f>
        <v>0.27111984282907664</v>
      </c>
      <c r="K51" s="30">
        <f>-K218/K50</f>
        <v>0.27165354330708663</v>
      </c>
      <c r="L51" s="30">
        <f>-L218/L50</f>
        <v>0.27165354330708663</v>
      </c>
      <c r="M51" s="152">
        <f>SUM(I51:L51)</f>
        <v>1.0885886651434471</v>
      </c>
      <c r="N51" s="30">
        <f>-N218/N50</f>
        <v>4.9115913555992138E-2</v>
      </c>
      <c r="O51" s="30">
        <f>-O218/O50</f>
        <v>5.0980392156862744E-2</v>
      </c>
      <c r="P51" s="30">
        <f>O51</f>
        <v>5.0980392156862744E-2</v>
      </c>
      <c r="Q51" s="30">
        <f>P51</f>
        <v>5.0980392156862744E-2</v>
      </c>
      <c r="R51" s="152">
        <f>SUM(N51:Q51)</f>
        <v>0.20205709002658034</v>
      </c>
      <c r="S51" s="283">
        <f>Q51</f>
        <v>5.0980392156862744E-2</v>
      </c>
      <c r="T51" s="283">
        <f>S51</f>
        <v>5.0980392156862744E-2</v>
      </c>
      <c r="U51" s="283">
        <f>T51</f>
        <v>5.0980392156862744E-2</v>
      </c>
      <c r="V51" s="352">
        <f>U51</f>
        <v>5.0980392156862744E-2</v>
      </c>
      <c r="W51" s="152">
        <f>SUM(S51:V51)</f>
        <v>0.20392156862745098</v>
      </c>
    </row>
    <row r="52" spans="2:25" x14ac:dyDescent="0.3">
      <c r="B52" s="17"/>
      <c r="C52" s="20"/>
      <c r="D52" s="56">
        <f t="shared" ref="D52:L52" si="40">ROUND((D12+D13+D14-(D81+D82+D83+D85+D86+D87)-D88),0)</f>
        <v>0</v>
      </c>
      <c r="E52" s="56">
        <f t="shared" si="40"/>
        <v>0</v>
      </c>
      <c r="F52" s="56">
        <f t="shared" si="40"/>
        <v>0</v>
      </c>
      <c r="G52" s="56">
        <f t="shared" si="40"/>
        <v>0</v>
      </c>
      <c r="H52" s="56"/>
      <c r="I52" s="56">
        <f t="shared" si="40"/>
        <v>0</v>
      </c>
      <c r="J52" s="56">
        <f t="shared" si="40"/>
        <v>0</v>
      </c>
      <c r="K52" s="56">
        <f t="shared" si="40"/>
        <v>0</v>
      </c>
      <c r="L52" s="56">
        <f t="shared" si="40"/>
        <v>0</v>
      </c>
      <c r="M52" s="56"/>
      <c r="N52" s="56">
        <f>ROUND((N12+N13+N14-(N81+N82+N83+N85+N86+N87)-N88),0)</f>
        <v>0</v>
      </c>
      <c r="O52" s="56">
        <f>ROUND((O12+O13+O14-(O81+O82+O83+O85+O86+O87)-O88),0)</f>
        <v>0</v>
      </c>
      <c r="P52" s="56">
        <f>ROUND((P12+P13+P14-(P81+P82+P83+P85+P86+P87)-P88),0)</f>
        <v>0</v>
      </c>
      <c r="Q52" s="56">
        <f>ROUND((Q12+Q13+Q14-(Q81+Q82+Q83+Q85+Q86+Q87)-Q88),0)</f>
        <v>0</v>
      </c>
      <c r="R52" s="56"/>
      <c r="S52" s="56">
        <f t="shared" ref="S52:V52" si="41">ROUND((S12+S13+S14-(S81+S82+S83+S85+S86+S87)-S88),0)</f>
        <v>0</v>
      </c>
      <c r="T52" s="56">
        <f t="shared" si="41"/>
        <v>0</v>
      </c>
      <c r="U52" s="56">
        <f t="shared" si="41"/>
        <v>0</v>
      </c>
      <c r="V52" s="56">
        <f t="shared" si="41"/>
        <v>0</v>
      </c>
      <c r="W52" s="56"/>
    </row>
    <row r="53" spans="2:25" ht="15.6" x14ac:dyDescent="0.3">
      <c r="B53" s="395" t="s">
        <v>18</v>
      </c>
      <c r="C53" s="396"/>
      <c r="D53" s="51" t="s">
        <v>4</v>
      </c>
      <c r="E53" s="51" t="s">
        <v>3</v>
      </c>
      <c r="F53" s="51" t="s">
        <v>2</v>
      </c>
      <c r="G53" s="51" t="s">
        <v>5</v>
      </c>
      <c r="H53" s="51" t="s">
        <v>5</v>
      </c>
      <c r="I53" s="51" t="s">
        <v>6</v>
      </c>
      <c r="J53" s="51" t="s">
        <v>7</v>
      </c>
      <c r="K53" s="51" t="s">
        <v>8</v>
      </c>
      <c r="L53" s="51" t="s">
        <v>10</v>
      </c>
      <c r="M53" s="51" t="s">
        <v>10</v>
      </c>
      <c r="N53" s="51" t="s">
        <v>11</v>
      </c>
      <c r="O53" s="51" t="s">
        <v>12</v>
      </c>
      <c r="P53" s="51" t="s">
        <v>13</v>
      </c>
      <c r="Q53" s="51" t="s">
        <v>9</v>
      </c>
      <c r="R53" s="51" t="s">
        <v>9</v>
      </c>
      <c r="S53" s="53" t="s">
        <v>14</v>
      </c>
      <c r="T53" s="53" t="s">
        <v>15</v>
      </c>
      <c r="U53" s="53" t="s">
        <v>16</v>
      </c>
      <c r="V53" s="53" t="s">
        <v>17</v>
      </c>
      <c r="W53" s="57" t="s">
        <v>17</v>
      </c>
    </row>
    <row r="54" spans="2:25" ht="16.2" x14ac:dyDescent="0.45">
      <c r="B54" s="383" t="s">
        <v>42</v>
      </c>
      <c r="C54" s="384"/>
      <c r="D54" s="52" t="s">
        <v>22</v>
      </c>
      <c r="E54" s="52" t="s">
        <v>23</v>
      </c>
      <c r="F54" s="52" t="s">
        <v>24</v>
      </c>
      <c r="G54" s="52" t="s">
        <v>25</v>
      </c>
      <c r="H54" s="52" t="s">
        <v>19</v>
      </c>
      <c r="I54" s="52" t="s">
        <v>26</v>
      </c>
      <c r="J54" s="52" t="s">
        <v>27</v>
      </c>
      <c r="K54" s="52" t="s">
        <v>35</v>
      </c>
      <c r="L54" s="52" t="s">
        <v>46</v>
      </c>
      <c r="M54" s="52" t="s">
        <v>47</v>
      </c>
      <c r="N54" s="52" t="s">
        <v>28</v>
      </c>
      <c r="O54" s="52" t="s">
        <v>29</v>
      </c>
      <c r="P54" s="52" t="s">
        <v>30</v>
      </c>
      <c r="Q54" s="52" t="s">
        <v>248</v>
      </c>
      <c r="R54" s="52" t="s">
        <v>249</v>
      </c>
      <c r="S54" s="54" t="s">
        <v>31</v>
      </c>
      <c r="T54" s="54" t="s">
        <v>32</v>
      </c>
      <c r="U54" s="54" t="s">
        <v>33</v>
      </c>
      <c r="V54" s="54" t="s">
        <v>34</v>
      </c>
      <c r="W54" s="58" t="s">
        <v>20</v>
      </c>
    </row>
    <row r="55" spans="2:25" s="211" customFormat="1" ht="17.55" customHeight="1" x14ac:dyDescent="0.3">
      <c r="B55" s="323" t="s">
        <v>182</v>
      </c>
      <c r="C55" s="212"/>
      <c r="D55" s="210"/>
      <c r="E55" s="210"/>
      <c r="F55" s="210"/>
      <c r="G55" s="210"/>
      <c r="H55" s="222"/>
      <c r="I55" s="210"/>
      <c r="J55" s="210"/>
      <c r="K55" s="210"/>
      <c r="L55" s="210"/>
      <c r="M55" s="222"/>
      <c r="N55" s="210"/>
      <c r="O55" s="210"/>
      <c r="P55" s="210"/>
      <c r="Q55" s="210"/>
      <c r="R55" s="222"/>
      <c r="S55" s="210"/>
      <c r="T55" s="210"/>
      <c r="U55" s="210"/>
      <c r="V55" s="210"/>
      <c r="W55" s="222"/>
      <c r="Y55" s="233"/>
    </row>
    <row r="56" spans="2:25" s="59" customFormat="1" ht="14.4" customHeight="1" outlineLevel="1" x14ac:dyDescent="0.3">
      <c r="B56" s="213" t="s">
        <v>181</v>
      </c>
      <c r="C56" s="209"/>
      <c r="D56" s="35"/>
      <c r="E56" s="25"/>
      <c r="F56" s="25"/>
      <c r="G56" s="25"/>
      <c r="H56" s="216"/>
      <c r="I56" s="25"/>
      <c r="J56" s="25"/>
      <c r="K56" s="25"/>
      <c r="L56" s="25"/>
      <c r="M56" s="33"/>
      <c r="N56" s="25"/>
      <c r="O56" s="25"/>
      <c r="P56" s="25"/>
      <c r="Q56" s="25"/>
      <c r="R56" s="33"/>
      <c r="S56" s="25"/>
      <c r="T56" s="25"/>
      <c r="U56" s="25"/>
      <c r="V56" s="25"/>
      <c r="W56" s="33"/>
    </row>
    <row r="57" spans="2:25" s="59" customFormat="1" ht="14.4" customHeight="1" outlineLevel="1" x14ac:dyDescent="0.3">
      <c r="B57" s="214" t="s">
        <v>183</v>
      </c>
      <c r="C57" s="322"/>
      <c r="D57" s="35">
        <v>16</v>
      </c>
      <c r="E57" s="35">
        <v>18</v>
      </c>
      <c r="F57" s="35">
        <v>20</v>
      </c>
      <c r="G57" s="35">
        <v>20</v>
      </c>
      <c r="H57" s="26">
        <v>74</v>
      </c>
      <c r="I57" s="35">
        <v>22</v>
      </c>
      <c r="J57" s="35">
        <v>21</v>
      </c>
      <c r="K57" s="35">
        <v>21</v>
      </c>
      <c r="L57" s="35">
        <v>21</v>
      </c>
      <c r="M57" s="26">
        <v>85</v>
      </c>
      <c r="N57" s="35">
        <v>21</v>
      </c>
      <c r="O57" s="35">
        <v>20</v>
      </c>
      <c r="P57" s="35">
        <v>22</v>
      </c>
      <c r="Q57" s="35">
        <v>22</v>
      </c>
      <c r="R57" s="26"/>
      <c r="S57" s="35">
        <f>Q57*(1+S58)</f>
        <v>22</v>
      </c>
      <c r="T57" s="35">
        <f>S57*(1+T58)</f>
        <v>22</v>
      </c>
      <c r="U57" s="35">
        <f>T57*(1+U58)</f>
        <v>22</v>
      </c>
      <c r="V57" s="35">
        <f>U57*(1+V58)</f>
        <v>22</v>
      </c>
      <c r="W57" s="26"/>
      <c r="Y57" s="258"/>
    </row>
    <row r="58" spans="2:25" s="59" customFormat="1" ht="14.4" customHeight="1" outlineLevel="1" x14ac:dyDescent="0.3">
      <c r="B58" s="214" t="s">
        <v>189</v>
      </c>
      <c r="C58" s="322"/>
      <c r="D58" s="35"/>
      <c r="E58" s="125">
        <f>E57/D57-1</f>
        <v>0.125</v>
      </c>
      <c r="F58" s="125">
        <f>F57/E57-1</f>
        <v>0.11111111111111116</v>
      </c>
      <c r="G58" s="125">
        <f>G57/F57-1</f>
        <v>0</v>
      </c>
      <c r="H58" s="224"/>
      <c r="I58" s="125">
        <f>I57/G57-1</f>
        <v>0.10000000000000009</v>
      </c>
      <c r="J58" s="125">
        <f>J57/I57-1</f>
        <v>-4.5454545454545414E-2</v>
      </c>
      <c r="K58" s="125">
        <f t="shared" ref="K58:L58" si="42">K57/J57-1</f>
        <v>0</v>
      </c>
      <c r="L58" s="125">
        <f t="shared" si="42"/>
        <v>0</v>
      </c>
      <c r="M58" s="224"/>
      <c r="N58" s="125">
        <f>N57/L57-1</f>
        <v>0</v>
      </c>
      <c r="O58" s="125">
        <f>O57/N57-1</f>
        <v>-4.7619047619047672E-2</v>
      </c>
      <c r="P58" s="125">
        <f>P57/O57-1</f>
        <v>0.10000000000000009</v>
      </c>
      <c r="Q58" s="125">
        <f>Q57/P57-1</f>
        <v>0</v>
      </c>
      <c r="R58" s="224"/>
      <c r="S58" s="229">
        <v>0</v>
      </c>
      <c r="T58" s="229">
        <v>0</v>
      </c>
      <c r="U58" s="229">
        <v>0</v>
      </c>
      <c r="V58" s="229">
        <v>0</v>
      </c>
      <c r="W58" s="224"/>
    </row>
    <row r="59" spans="2:25" s="59" customFormat="1" ht="14.4" customHeight="1" outlineLevel="1" x14ac:dyDescent="0.3">
      <c r="B59" s="214" t="s">
        <v>184</v>
      </c>
      <c r="C59" s="322"/>
      <c r="D59" s="35">
        <v>243</v>
      </c>
      <c r="E59" s="35">
        <v>238</v>
      </c>
      <c r="F59" s="35">
        <v>230</v>
      </c>
      <c r="G59" s="35">
        <v>234</v>
      </c>
      <c r="H59" s="26">
        <v>945</v>
      </c>
      <c r="I59" s="35">
        <v>246</v>
      </c>
      <c r="J59" s="35">
        <v>215</v>
      </c>
      <c r="K59" s="35">
        <v>201</v>
      </c>
      <c r="L59" s="35">
        <v>190</v>
      </c>
      <c r="M59" s="26">
        <v>852</v>
      </c>
      <c r="N59" s="35">
        <v>210</v>
      </c>
      <c r="O59" s="35">
        <v>199</v>
      </c>
      <c r="P59" s="35">
        <v>184</v>
      </c>
      <c r="Q59" s="35">
        <v>173</v>
      </c>
      <c r="R59" s="26"/>
      <c r="S59" s="35">
        <f>Q59*(1+S60)</f>
        <v>173</v>
      </c>
      <c r="T59" s="35">
        <f>S59*(1+T60)</f>
        <v>173</v>
      </c>
      <c r="U59" s="35">
        <f>T59*(1+U60)</f>
        <v>173</v>
      </c>
      <c r="V59" s="35">
        <f>U59*(1+V60)</f>
        <v>173</v>
      </c>
      <c r="W59" s="26"/>
    </row>
    <row r="60" spans="2:25" s="59" customFormat="1" ht="14.4" customHeight="1" outlineLevel="1" x14ac:dyDescent="0.3">
      <c r="B60" s="214" t="s">
        <v>190</v>
      </c>
      <c r="C60" s="322"/>
      <c r="D60" s="61"/>
      <c r="E60" s="125">
        <f>E59/D59-1</f>
        <v>-2.0576131687242816E-2</v>
      </c>
      <c r="F60" s="125">
        <f>F59/E59-1</f>
        <v>-3.3613445378151252E-2</v>
      </c>
      <c r="G60" s="125">
        <f>G59/F59-1</f>
        <v>1.7391304347825987E-2</v>
      </c>
      <c r="H60" s="26"/>
      <c r="I60" s="125">
        <f>I59/G59-1</f>
        <v>5.1282051282051322E-2</v>
      </c>
      <c r="J60" s="125">
        <f>J59/I59-1</f>
        <v>-0.12601626016260159</v>
      </c>
      <c r="K60" s="125">
        <f>K59/J59-1</f>
        <v>-6.5116279069767469E-2</v>
      </c>
      <c r="L60" s="125">
        <f>L59/K59-1</f>
        <v>-5.4726368159203953E-2</v>
      </c>
      <c r="M60" s="26"/>
      <c r="N60" s="125">
        <f>N59/L59-1</f>
        <v>0.10526315789473695</v>
      </c>
      <c r="O60" s="125">
        <f>O59/N59-1</f>
        <v>-5.2380952380952417E-2</v>
      </c>
      <c r="P60" s="125">
        <f>P59/O59-1</f>
        <v>-7.5376884422110546E-2</v>
      </c>
      <c r="Q60" s="125">
        <f>Q59/P59-1</f>
        <v>-5.9782608695652217E-2</v>
      </c>
      <c r="R60" s="62"/>
      <c r="S60" s="230">
        <v>0</v>
      </c>
      <c r="T60" s="230">
        <f>S60</f>
        <v>0</v>
      </c>
      <c r="U60" s="230">
        <f>T60</f>
        <v>0</v>
      </c>
      <c r="V60" s="230">
        <f>U60</f>
        <v>0</v>
      </c>
      <c r="W60" s="62"/>
    </row>
    <row r="61" spans="2:25" s="97" customFormat="1" ht="14.4" customHeight="1" outlineLevel="1" x14ac:dyDescent="0.3">
      <c r="B61" s="214" t="s">
        <v>185</v>
      </c>
      <c r="C61" s="207"/>
      <c r="D61" s="35">
        <v>9</v>
      </c>
      <c r="E61" s="35">
        <v>11</v>
      </c>
      <c r="F61" s="35">
        <v>11</v>
      </c>
      <c r="G61" s="35">
        <v>12</v>
      </c>
      <c r="H61" s="26">
        <v>43</v>
      </c>
      <c r="I61" s="35">
        <v>12</v>
      </c>
      <c r="J61" s="35">
        <v>12</v>
      </c>
      <c r="K61" s="35">
        <v>11</v>
      </c>
      <c r="L61" s="35">
        <v>10</v>
      </c>
      <c r="M61" s="26">
        <v>45</v>
      </c>
      <c r="N61" s="35">
        <v>11</v>
      </c>
      <c r="O61" s="35">
        <v>12</v>
      </c>
      <c r="P61" s="35">
        <v>11</v>
      </c>
      <c r="Q61" s="35">
        <v>10</v>
      </c>
      <c r="R61" s="26"/>
      <c r="S61" s="35">
        <f>Q61*(1+S62)</f>
        <v>10.5</v>
      </c>
      <c r="T61" s="35">
        <f>S61*(1+T62)</f>
        <v>11.025</v>
      </c>
      <c r="U61" s="35">
        <f>T61*(1+U62)</f>
        <v>11.576250000000002</v>
      </c>
      <c r="V61" s="35">
        <f>U61*(1+V62)</f>
        <v>12.155062500000001</v>
      </c>
      <c r="W61" s="26"/>
    </row>
    <row r="62" spans="2:25" s="97" customFormat="1" ht="14.4" customHeight="1" outlineLevel="1" x14ac:dyDescent="0.3">
      <c r="B62" s="214" t="s">
        <v>191</v>
      </c>
      <c r="C62" s="207"/>
      <c r="D62" s="35"/>
      <c r="E62" s="125">
        <f>E61/D61-1</f>
        <v>0.22222222222222232</v>
      </c>
      <c r="F62" s="125">
        <f>F61/E61-1</f>
        <v>0</v>
      </c>
      <c r="G62" s="125">
        <f>G61/F61-1</f>
        <v>9.0909090909090828E-2</v>
      </c>
      <c r="H62" s="26"/>
      <c r="I62" s="125">
        <f>I61/G61-1</f>
        <v>0</v>
      </c>
      <c r="J62" s="125">
        <f>J61/I61-1</f>
        <v>0</v>
      </c>
      <c r="K62" s="125">
        <f>K61/J61-1</f>
        <v>-8.333333333333337E-2</v>
      </c>
      <c r="L62" s="125">
        <f>L61/K61-1</f>
        <v>-9.0909090909090939E-2</v>
      </c>
      <c r="M62" s="26"/>
      <c r="N62" s="125">
        <f>N61/L61-1</f>
        <v>0.10000000000000009</v>
      </c>
      <c r="O62" s="125">
        <f>O61/N61-1</f>
        <v>9.0909090909090828E-2</v>
      </c>
      <c r="P62" s="125">
        <f>P61/O61-1</f>
        <v>-8.333333333333337E-2</v>
      </c>
      <c r="Q62" s="125">
        <f>Q61/P61-1</f>
        <v>-9.0909090909090939E-2</v>
      </c>
      <c r="R62" s="224"/>
      <c r="S62" s="225">
        <v>0.05</v>
      </c>
      <c r="T62" s="225">
        <v>0.05</v>
      </c>
      <c r="U62" s="225">
        <v>0.05</v>
      </c>
      <c r="V62" s="225">
        <v>0.05</v>
      </c>
      <c r="W62" s="224"/>
    </row>
    <row r="63" spans="2:25" s="96" customFormat="1" ht="14.4" customHeight="1" outlineLevel="1" x14ac:dyDescent="0.3">
      <c r="B63" s="213" t="s">
        <v>180</v>
      </c>
      <c r="C63" s="207"/>
      <c r="D63" s="25"/>
      <c r="E63" s="25"/>
      <c r="F63" s="25"/>
      <c r="G63" s="25"/>
      <c r="H63" s="216"/>
      <c r="I63" s="25"/>
      <c r="J63" s="25"/>
      <c r="K63" s="25"/>
      <c r="L63" s="25"/>
      <c r="M63" s="26"/>
      <c r="N63" s="25"/>
      <c r="O63" s="25"/>
      <c r="P63" s="25"/>
      <c r="Q63" s="25"/>
      <c r="R63" s="33"/>
      <c r="S63" s="25"/>
      <c r="T63" s="25"/>
      <c r="U63" s="25"/>
      <c r="V63" s="25"/>
      <c r="W63" s="33"/>
    </row>
    <row r="64" spans="2:25" s="59" customFormat="1" ht="13.95" customHeight="1" outlineLevel="1" x14ac:dyDescent="0.3">
      <c r="B64" s="214" t="s">
        <v>183</v>
      </c>
      <c r="C64" s="322"/>
      <c r="D64" s="35">
        <v>8</v>
      </c>
      <c r="E64" s="35">
        <v>9</v>
      </c>
      <c r="F64" s="35">
        <v>8</v>
      </c>
      <c r="G64" s="35">
        <v>7</v>
      </c>
      <c r="H64" s="26">
        <v>32</v>
      </c>
      <c r="I64" s="35">
        <v>8</v>
      </c>
      <c r="J64" s="35">
        <v>8</v>
      </c>
      <c r="K64" s="35">
        <v>7</v>
      </c>
      <c r="L64" s="35">
        <v>8</v>
      </c>
      <c r="M64" s="26">
        <v>31</v>
      </c>
      <c r="N64" s="35">
        <v>8</v>
      </c>
      <c r="O64" s="35">
        <v>6</v>
      </c>
      <c r="P64" s="35">
        <v>8</v>
      </c>
      <c r="Q64" s="35">
        <v>9</v>
      </c>
      <c r="R64" s="26"/>
      <c r="S64" s="35">
        <f>Q64*(1+S65)</f>
        <v>9.9</v>
      </c>
      <c r="T64" s="35">
        <f>S64*(1+T65)</f>
        <v>10.89</v>
      </c>
      <c r="U64" s="35">
        <f>T64*(1+U65)</f>
        <v>11.434500000000002</v>
      </c>
      <c r="V64" s="35">
        <f>U64*(1+V65)</f>
        <v>12.006225000000002</v>
      </c>
      <c r="W64" s="26"/>
    </row>
    <row r="65" spans="2:23" s="59" customFormat="1" ht="13.95" customHeight="1" outlineLevel="1" x14ac:dyDescent="0.3">
      <c r="B65" s="214" t="s">
        <v>192</v>
      </c>
      <c r="C65" s="322"/>
      <c r="D65" s="35"/>
      <c r="E65" s="125">
        <f>E64/D64-1</f>
        <v>0.125</v>
      </c>
      <c r="F65" s="125">
        <f>F64/E64-1</f>
        <v>-0.11111111111111116</v>
      </c>
      <c r="G65" s="125">
        <f>G64/F64-1</f>
        <v>-0.125</v>
      </c>
      <c r="H65" s="26"/>
      <c r="I65" s="125">
        <f>I64/G64-1</f>
        <v>0.14285714285714279</v>
      </c>
      <c r="J65" s="125">
        <f>J64/I64-1</f>
        <v>0</v>
      </c>
      <c r="K65" s="125">
        <f>K64/J64-1</f>
        <v>-0.125</v>
      </c>
      <c r="L65" s="125">
        <f>L64/K64-1</f>
        <v>0.14285714285714279</v>
      </c>
      <c r="M65" s="26"/>
      <c r="N65" s="125">
        <f>N64/L64-1</f>
        <v>0</v>
      </c>
      <c r="O65" s="125">
        <f>O64/N64-1</f>
        <v>-0.25</v>
      </c>
      <c r="P65" s="125">
        <f>P64/O64-1</f>
        <v>0.33333333333333326</v>
      </c>
      <c r="Q65" s="125">
        <f>Q64/P64-1</f>
        <v>0.125</v>
      </c>
      <c r="R65" s="26"/>
      <c r="S65" s="225">
        <v>0.1</v>
      </c>
      <c r="T65" s="225">
        <v>0.1</v>
      </c>
      <c r="U65" s="225">
        <v>0.05</v>
      </c>
      <c r="V65" s="225">
        <v>0.05</v>
      </c>
      <c r="W65" s="26"/>
    </row>
    <row r="66" spans="2:23" s="59" customFormat="1" outlineLevel="1" x14ac:dyDescent="0.3">
      <c r="B66" s="214" t="s">
        <v>184</v>
      </c>
      <c r="C66" s="322"/>
      <c r="D66" s="61">
        <v>0</v>
      </c>
      <c r="E66" s="61">
        <v>0</v>
      </c>
      <c r="F66" s="61">
        <v>0</v>
      </c>
      <c r="G66" s="61">
        <v>0</v>
      </c>
      <c r="H66" s="26">
        <v>0</v>
      </c>
      <c r="I66" s="61">
        <v>0</v>
      </c>
      <c r="J66" s="61">
        <v>0</v>
      </c>
      <c r="K66" s="61">
        <v>0</v>
      </c>
      <c r="L66" s="61">
        <v>0</v>
      </c>
      <c r="M66" s="26">
        <v>0</v>
      </c>
      <c r="N66" s="35">
        <v>0</v>
      </c>
      <c r="O66" s="61">
        <v>0</v>
      </c>
      <c r="P66" s="61">
        <v>0</v>
      </c>
      <c r="Q66" s="61">
        <v>0</v>
      </c>
      <c r="R66" s="62"/>
      <c r="S66" s="61"/>
      <c r="T66" s="61"/>
      <c r="U66" s="61"/>
      <c r="V66" s="61"/>
      <c r="W66" s="62"/>
    </row>
    <row r="67" spans="2:23" s="59" customFormat="1" outlineLevel="1" x14ac:dyDescent="0.3">
      <c r="B67" s="214" t="s">
        <v>193</v>
      </c>
      <c r="C67" s="322"/>
      <c r="D67" s="61"/>
      <c r="E67" s="125"/>
      <c r="F67" s="125"/>
      <c r="G67" s="125"/>
      <c r="H67" s="26"/>
      <c r="I67" s="125"/>
      <c r="J67" s="125"/>
      <c r="K67" s="125"/>
      <c r="L67" s="125"/>
      <c r="M67" s="26"/>
      <c r="N67" s="35">
        <v>0</v>
      </c>
      <c r="O67" s="35">
        <v>0</v>
      </c>
      <c r="P67" s="35">
        <v>0</v>
      </c>
      <c r="Q67" s="35">
        <v>0</v>
      </c>
      <c r="R67" s="62"/>
      <c r="S67" s="226"/>
      <c r="T67" s="226"/>
      <c r="U67" s="226"/>
      <c r="V67" s="226"/>
      <c r="W67" s="62"/>
    </row>
    <row r="68" spans="2:23" s="59" customFormat="1" outlineLevel="1" x14ac:dyDescent="0.3">
      <c r="B68" s="214" t="s">
        <v>185</v>
      </c>
      <c r="C68" s="322"/>
      <c r="D68" s="35">
        <v>0</v>
      </c>
      <c r="E68" s="35">
        <v>0</v>
      </c>
      <c r="F68" s="35">
        <v>0</v>
      </c>
      <c r="G68" s="35">
        <v>1</v>
      </c>
      <c r="H68" s="26">
        <v>1</v>
      </c>
      <c r="I68" s="35">
        <v>1</v>
      </c>
      <c r="J68" s="35">
        <v>0</v>
      </c>
      <c r="K68" s="35">
        <v>1</v>
      </c>
      <c r="L68" s="35">
        <v>0</v>
      </c>
      <c r="M68" s="26">
        <v>2</v>
      </c>
      <c r="N68" s="35">
        <v>0</v>
      </c>
      <c r="O68" s="35">
        <v>1</v>
      </c>
      <c r="P68" s="268">
        <v>0</v>
      </c>
      <c r="Q68" s="35">
        <v>1</v>
      </c>
      <c r="R68" s="26"/>
      <c r="S68" s="35">
        <f>Q68*(1+S69)</f>
        <v>1</v>
      </c>
      <c r="T68" s="35">
        <f>S68*(1+T69)</f>
        <v>1</v>
      </c>
      <c r="U68" s="35">
        <f>T68*(1+U69)</f>
        <v>1</v>
      </c>
      <c r="V68" s="35">
        <f>U68*(1+V69)</f>
        <v>1</v>
      </c>
      <c r="W68" s="26"/>
    </row>
    <row r="69" spans="2:23" s="59" customFormat="1" outlineLevel="1" x14ac:dyDescent="0.3">
      <c r="B69" s="214" t="s">
        <v>237</v>
      </c>
      <c r="C69" s="322"/>
      <c r="D69" s="35"/>
      <c r="E69" s="125"/>
      <c r="F69" s="125"/>
      <c r="G69" s="125"/>
      <c r="H69" s="26"/>
      <c r="I69" s="125"/>
      <c r="J69" s="125"/>
      <c r="K69" s="125"/>
      <c r="L69" s="125"/>
      <c r="M69" s="227"/>
      <c r="N69" s="35">
        <v>0</v>
      </c>
      <c r="O69" s="35">
        <v>0</v>
      </c>
      <c r="P69" s="35">
        <v>0</v>
      </c>
      <c r="Q69" s="35">
        <v>0</v>
      </c>
      <c r="R69" s="224"/>
      <c r="S69" s="225">
        <v>0</v>
      </c>
      <c r="T69" s="225">
        <v>0</v>
      </c>
      <c r="U69" s="225">
        <v>0</v>
      </c>
      <c r="V69" s="225">
        <v>0</v>
      </c>
      <c r="W69" s="70"/>
    </row>
    <row r="70" spans="2:23" s="215" customFormat="1" x14ac:dyDescent="0.3">
      <c r="B70" s="208" t="s">
        <v>194</v>
      </c>
      <c r="C70" s="207"/>
      <c r="D70" s="69"/>
      <c r="E70" s="69"/>
      <c r="F70" s="69"/>
      <c r="G70" s="69"/>
      <c r="H70" s="216"/>
      <c r="I70" s="69"/>
      <c r="J70" s="69"/>
      <c r="K70" s="69"/>
      <c r="L70" s="69"/>
      <c r="M70" s="223"/>
      <c r="N70" s="69"/>
      <c r="O70" s="69"/>
      <c r="P70" s="69"/>
      <c r="Q70" s="69"/>
      <c r="R70" s="70"/>
      <c r="S70" s="69"/>
      <c r="T70" s="69"/>
      <c r="U70" s="69"/>
      <c r="V70" s="69"/>
      <c r="W70" s="70"/>
    </row>
    <row r="71" spans="2:23" s="96" customFormat="1" ht="15" customHeight="1" outlineLevel="1" x14ac:dyDescent="0.3">
      <c r="B71" s="213" t="s">
        <v>181</v>
      </c>
      <c r="C71" s="207"/>
      <c r="D71" s="69"/>
      <c r="E71" s="69"/>
      <c r="F71" s="69"/>
      <c r="G71" s="69"/>
      <c r="H71" s="216"/>
      <c r="I71" s="69"/>
      <c r="J71" s="69"/>
      <c r="K71" s="69"/>
      <c r="L71" s="69"/>
      <c r="M71" s="70"/>
      <c r="N71" s="69"/>
      <c r="O71" s="69"/>
      <c r="P71" s="267"/>
      <c r="Q71" s="69"/>
      <c r="R71" s="70"/>
      <c r="S71" s="69"/>
      <c r="T71" s="69"/>
      <c r="U71" s="69"/>
      <c r="V71" s="69"/>
      <c r="W71" s="70"/>
    </row>
    <row r="72" spans="2:23" s="96" customFormat="1" ht="15" customHeight="1" outlineLevel="1" x14ac:dyDescent="0.3">
      <c r="B72" s="214" t="s">
        <v>187</v>
      </c>
      <c r="C72" s="207"/>
      <c r="D72" s="61">
        <v>94.84</v>
      </c>
      <c r="E72" s="61">
        <v>98.69</v>
      </c>
      <c r="F72" s="61">
        <v>92.59</v>
      </c>
      <c r="G72" s="61">
        <v>68.66</v>
      </c>
      <c r="H72" s="62">
        <v>87.99</v>
      </c>
      <c r="I72" s="61">
        <v>44.19</v>
      </c>
      <c r="J72" s="61">
        <v>54.14</v>
      </c>
      <c r="K72" s="61">
        <v>43.48</v>
      </c>
      <c r="L72" s="61">
        <v>37.83</v>
      </c>
      <c r="M72" s="218">
        <v>45</v>
      </c>
      <c r="N72" s="219">
        <v>28.04</v>
      </c>
      <c r="O72" s="219">
        <v>40.25</v>
      </c>
      <c r="P72" s="219">
        <v>41.29</v>
      </c>
      <c r="Q72" s="219">
        <v>46.31</v>
      </c>
      <c r="R72" s="220"/>
      <c r="S72" s="228">
        <v>53</v>
      </c>
      <c r="T72" s="228">
        <v>53</v>
      </c>
      <c r="U72" s="228">
        <v>55</v>
      </c>
      <c r="V72" s="228">
        <v>55</v>
      </c>
      <c r="W72" s="217"/>
    </row>
    <row r="73" spans="2:23" s="96" customFormat="1" ht="15" customHeight="1" outlineLevel="1" x14ac:dyDescent="0.3">
      <c r="B73" s="214" t="s">
        <v>186</v>
      </c>
      <c r="C73" s="207"/>
      <c r="D73" s="61">
        <v>5.01</v>
      </c>
      <c r="E73" s="61">
        <v>4.16</v>
      </c>
      <c r="F73" s="61">
        <v>3.62</v>
      </c>
      <c r="G73" s="61">
        <v>3.46</v>
      </c>
      <c r="H73" s="62">
        <v>4.07</v>
      </c>
      <c r="I73" s="61">
        <v>2.6</v>
      </c>
      <c r="J73" s="61">
        <v>2.2799999999999998</v>
      </c>
      <c r="K73" s="61">
        <v>2.41</v>
      </c>
      <c r="L73" s="61">
        <v>2.08</v>
      </c>
      <c r="M73" s="62">
        <v>2.36</v>
      </c>
      <c r="N73" s="219">
        <v>1.75</v>
      </c>
      <c r="O73" s="219">
        <v>1.61</v>
      </c>
      <c r="P73" s="219">
        <v>2.36</v>
      </c>
      <c r="Q73" s="219">
        <v>2.56</v>
      </c>
      <c r="R73" s="220"/>
      <c r="S73" s="228">
        <v>2.6</v>
      </c>
      <c r="T73" s="228">
        <v>2.6</v>
      </c>
      <c r="U73" s="228">
        <v>2.6</v>
      </c>
      <c r="V73" s="228">
        <v>2.6</v>
      </c>
      <c r="W73" s="217"/>
    </row>
    <row r="74" spans="2:23" s="96" customFormat="1" ht="15" customHeight="1" outlineLevel="1" x14ac:dyDescent="0.3">
      <c r="B74" s="214" t="s">
        <v>188</v>
      </c>
      <c r="C74" s="207"/>
      <c r="D74" s="61">
        <v>43.35</v>
      </c>
      <c r="E74" s="61">
        <v>37.39</v>
      </c>
      <c r="F74" s="61">
        <v>35.11</v>
      </c>
      <c r="G74" s="61">
        <v>27.57</v>
      </c>
      <c r="H74" s="62">
        <v>35.479999999999997</v>
      </c>
      <c r="I74" s="61">
        <v>17.29</v>
      </c>
      <c r="J74" s="61">
        <v>17.98</v>
      </c>
      <c r="K74" s="61">
        <v>15.83</v>
      </c>
      <c r="L74" s="61">
        <v>16.86</v>
      </c>
      <c r="M74" s="62">
        <v>17.03</v>
      </c>
      <c r="N74" s="219">
        <v>14.98</v>
      </c>
      <c r="O74" s="219">
        <v>19.420000000000002</v>
      </c>
      <c r="P74" s="219">
        <v>18.87</v>
      </c>
      <c r="Q74" s="219">
        <v>24.24</v>
      </c>
      <c r="R74" s="220"/>
      <c r="S74" s="228">
        <v>24.5</v>
      </c>
      <c r="T74" s="228">
        <v>24.5</v>
      </c>
      <c r="U74" s="228">
        <v>24.5</v>
      </c>
      <c r="V74" s="228">
        <v>24.5</v>
      </c>
      <c r="W74" s="217"/>
    </row>
    <row r="75" spans="2:23" s="96" customFormat="1" ht="15" customHeight="1" outlineLevel="1" x14ac:dyDescent="0.3">
      <c r="B75" s="213" t="s">
        <v>180</v>
      </c>
      <c r="C75" s="207"/>
      <c r="D75" s="69"/>
      <c r="E75" s="69"/>
      <c r="F75" s="69"/>
      <c r="G75" s="69"/>
      <c r="H75" s="217"/>
      <c r="I75" s="69"/>
      <c r="J75" s="69"/>
      <c r="K75" s="69"/>
      <c r="L75" s="69"/>
      <c r="M75" s="62"/>
      <c r="N75" s="221"/>
      <c r="O75" s="221"/>
      <c r="P75" s="221"/>
      <c r="Q75" s="221"/>
      <c r="R75" s="217"/>
      <c r="S75" s="221"/>
      <c r="T75" s="221"/>
      <c r="U75" s="221"/>
      <c r="V75" s="221"/>
      <c r="W75" s="217"/>
    </row>
    <row r="76" spans="2:23" s="96" customFormat="1" ht="15" customHeight="1" outlineLevel="1" x14ac:dyDescent="0.3">
      <c r="B76" s="214" t="s">
        <v>187</v>
      </c>
      <c r="C76" s="207"/>
      <c r="D76" s="61">
        <v>108.14</v>
      </c>
      <c r="E76" s="61">
        <v>110.16</v>
      </c>
      <c r="F76" s="61">
        <f>(6/8*98.69)+(2/8*100.48)</f>
        <v>99.137500000000003</v>
      </c>
      <c r="G76" s="61">
        <v>81.64</v>
      </c>
      <c r="H76" s="62">
        <v>99.79</v>
      </c>
      <c r="I76" s="61">
        <f>(6/8*56.02)+(2/8*49.55)</f>
        <v>54.402500000000003</v>
      </c>
      <c r="J76" s="61">
        <f>(5/8*60.24)+(3/8*61.82)</f>
        <v>60.832499999999996</v>
      </c>
      <c r="K76" s="61">
        <f>(4/7*47.86)+(3/7*46.3)</f>
        <v>47.191428571428567</v>
      </c>
      <c r="L76" s="61">
        <f>(7/8*44.69)+(1/8*44.42)</f>
        <v>44.65625</v>
      </c>
      <c r="M76" s="62">
        <v>51.68</v>
      </c>
      <c r="N76" s="219">
        <f>(6/8*34.62)+(2/8*32.27)</f>
        <v>34.032499999999999</v>
      </c>
      <c r="O76" s="219">
        <f>(5/6*46.65)+(1/6*47.37)</f>
        <v>46.769999999999996</v>
      </c>
      <c r="P76" s="219">
        <v>45.88</v>
      </c>
      <c r="Q76" s="219">
        <f>(49.39+47.18)/2</f>
        <v>48.284999999999997</v>
      </c>
      <c r="R76" s="220"/>
      <c r="S76" s="228">
        <v>57</v>
      </c>
      <c r="T76" s="228">
        <v>58</v>
      </c>
      <c r="U76" s="228">
        <v>60</v>
      </c>
      <c r="V76" s="228">
        <v>60</v>
      </c>
      <c r="W76" s="217"/>
    </row>
    <row r="77" spans="2:23" s="96" customFormat="1" ht="15" customHeight="1" outlineLevel="1" x14ac:dyDescent="0.3">
      <c r="B77" s="214" t="s">
        <v>186</v>
      </c>
      <c r="C77" s="207"/>
      <c r="D77" s="61">
        <v>0</v>
      </c>
      <c r="E77" s="61">
        <v>0</v>
      </c>
      <c r="F77" s="61">
        <v>0</v>
      </c>
      <c r="G77" s="61"/>
      <c r="H77" s="62">
        <v>0</v>
      </c>
      <c r="I77" s="61">
        <v>0</v>
      </c>
      <c r="J77" s="61">
        <v>0</v>
      </c>
      <c r="K77" s="61">
        <v>0</v>
      </c>
      <c r="L77" s="61">
        <v>0</v>
      </c>
      <c r="M77" s="62">
        <v>0</v>
      </c>
      <c r="N77" s="219">
        <v>0</v>
      </c>
      <c r="O77" s="219">
        <v>0</v>
      </c>
      <c r="P77" s="219"/>
      <c r="Q77" s="219"/>
      <c r="R77" s="220"/>
      <c r="S77" s="228"/>
      <c r="T77" s="228"/>
      <c r="U77" s="228"/>
      <c r="V77" s="228"/>
      <c r="W77" s="217"/>
    </row>
    <row r="78" spans="2:23" s="96" customFormat="1" ht="15" customHeight="1" outlineLevel="1" x14ac:dyDescent="0.3">
      <c r="B78" s="287" t="s">
        <v>188</v>
      </c>
      <c r="C78" s="347"/>
      <c r="D78" s="288">
        <v>0</v>
      </c>
      <c r="E78" s="288">
        <v>66.69</v>
      </c>
      <c r="F78" s="288">
        <v>65.55</v>
      </c>
      <c r="G78" s="288">
        <v>54.02</v>
      </c>
      <c r="H78" s="289">
        <v>56.16</v>
      </c>
      <c r="I78" s="288">
        <v>32.75</v>
      </c>
      <c r="J78" s="288">
        <v>31.11</v>
      </c>
      <c r="K78" s="288">
        <v>25.18</v>
      </c>
      <c r="L78" s="288">
        <v>30.04</v>
      </c>
      <c r="M78" s="289">
        <v>29.85</v>
      </c>
      <c r="N78" s="290">
        <v>22.78</v>
      </c>
      <c r="O78" s="290">
        <v>24.13</v>
      </c>
      <c r="P78" s="290">
        <v>23.74</v>
      </c>
      <c r="Q78" s="290">
        <v>30.1</v>
      </c>
      <c r="R78" s="292"/>
      <c r="S78" s="291">
        <v>30</v>
      </c>
      <c r="T78" s="291">
        <v>30</v>
      </c>
      <c r="U78" s="291">
        <v>30</v>
      </c>
      <c r="V78" s="291">
        <v>30</v>
      </c>
      <c r="W78" s="293"/>
    </row>
    <row r="79" spans="2:23" s="215" customFormat="1" x14ac:dyDescent="0.3">
      <c r="B79" s="208" t="s">
        <v>238</v>
      </c>
      <c r="C79" s="207"/>
      <c r="D79" s="69"/>
      <c r="E79" s="69"/>
      <c r="F79" s="69"/>
      <c r="G79" s="69"/>
      <c r="H79" s="216"/>
      <c r="I79" s="69"/>
      <c r="J79" s="69"/>
      <c r="K79" s="69"/>
      <c r="L79" s="69"/>
      <c r="M79" s="223"/>
      <c r="N79" s="69"/>
      <c r="O79" s="69"/>
      <c r="P79" s="69"/>
      <c r="Q79" s="69"/>
      <c r="R79" s="70"/>
      <c r="S79" s="69"/>
      <c r="T79" s="69"/>
      <c r="U79" s="69"/>
      <c r="V79" s="69"/>
      <c r="W79" s="70"/>
    </row>
    <row r="80" spans="2:23" s="96" customFormat="1" ht="15" customHeight="1" outlineLevel="1" x14ac:dyDescent="0.3">
      <c r="B80" s="213" t="s">
        <v>181</v>
      </c>
      <c r="C80" s="207"/>
      <c r="D80" s="69"/>
      <c r="E80" s="69"/>
      <c r="F80" s="69"/>
      <c r="G80" s="69"/>
      <c r="H80" s="216"/>
      <c r="I80" s="69"/>
      <c r="J80" s="69"/>
      <c r="K80" s="69"/>
      <c r="L80" s="69"/>
      <c r="M80" s="70"/>
      <c r="N80" s="69"/>
      <c r="O80" s="69"/>
      <c r="P80" s="267"/>
      <c r="Q80" s="69"/>
      <c r="R80" s="70"/>
      <c r="S80" s="69"/>
      <c r="T80" s="69"/>
      <c r="U80" s="69"/>
      <c r="V80" s="69"/>
      <c r="W80" s="70"/>
    </row>
    <row r="81" spans="2:25" s="96" customFormat="1" ht="15" customHeight="1" outlineLevel="1" x14ac:dyDescent="0.3">
      <c r="B81" s="214" t="s">
        <v>239</v>
      </c>
      <c r="C81" s="207"/>
      <c r="D81" s="35">
        <f>D57*D72</f>
        <v>1517.44</v>
      </c>
      <c r="E81" s="35">
        <f t="shared" ref="E81:G81" si="43">E57*E72</f>
        <v>1776.42</v>
      </c>
      <c r="F81" s="35">
        <f t="shared" si="43"/>
        <v>1851.8000000000002</v>
      </c>
      <c r="G81" s="35">
        <f t="shared" si="43"/>
        <v>1373.1999999999998</v>
      </c>
      <c r="H81" s="26"/>
      <c r="I81" s="35">
        <f>I57*I72</f>
        <v>972.18</v>
      </c>
      <c r="J81" s="35">
        <f t="shared" ref="J81:L81" si="44">J57*J72</f>
        <v>1136.94</v>
      </c>
      <c r="K81" s="35">
        <f t="shared" si="44"/>
        <v>913.07999999999993</v>
      </c>
      <c r="L81" s="35">
        <f t="shared" si="44"/>
        <v>794.43</v>
      </c>
      <c r="M81" s="298"/>
      <c r="N81" s="35">
        <f>N57*N72</f>
        <v>588.84</v>
      </c>
      <c r="O81" s="35">
        <f t="shared" ref="O81:Q81" si="45">O57*O72</f>
        <v>805</v>
      </c>
      <c r="P81" s="35">
        <f>P57*P72</f>
        <v>908.38</v>
      </c>
      <c r="Q81" s="35">
        <f t="shared" si="45"/>
        <v>1018.82</v>
      </c>
      <c r="R81" s="26"/>
      <c r="S81" s="35">
        <f>S57*S72</f>
        <v>1166</v>
      </c>
      <c r="T81" s="35">
        <f>T57*T72</f>
        <v>1166</v>
      </c>
      <c r="U81" s="35">
        <f t="shared" ref="U81:V81" si="46">U57*U72</f>
        <v>1210</v>
      </c>
      <c r="V81" s="35">
        <f t="shared" si="46"/>
        <v>1210</v>
      </c>
      <c r="W81" s="217"/>
    </row>
    <row r="82" spans="2:25" s="96" customFormat="1" ht="15" customHeight="1" outlineLevel="1" x14ac:dyDescent="0.3">
      <c r="B82" s="214" t="s">
        <v>240</v>
      </c>
      <c r="C82" s="207"/>
      <c r="D82" s="35">
        <f>D59*D73</f>
        <v>1217.4299999999998</v>
      </c>
      <c r="E82" s="35">
        <f t="shared" ref="E82:G82" si="47">E59*E73</f>
        <v>990.08</v>
      </c>
      <c r="F82" s="35">
        <f t="shared" si="47"/>
        <v>832.6</v>
      </c>
      <c r="G82" s="35">
        <f t="shared" si="47"/>
        <v>809.64</v>
      </c>
      <c r="H82" s="26"/>
      <c r="I82" s="35">
        <f>I59*I73</f>
        <v>639.6</v>
      </c>
      <c r="J82" s="35">
        <f t="shared" ref="J82:L82" si="48">J59*J73</f>
        <v>490.19999999999993</v>
      </c>
      <c r="K82" s="35">
        <f t="shared" si="48"/>
        <v>484.41</v>
      </c>
      <c r="L82" s="35">
        <f t="shared" si="48"/>
        <v>395.2</v>
      </c>
      <c r="M82" s="26"/>
      <c r="N82" s="35">
        <f>N59*N73</f>
        <v>367.5</v>
      </c>
      <c r="O82" s="35">
        <f t="shared" ref="O82:Q82" si="49">O59*O73</f>
        <v>320.39000000000004</v>
      </c>
      <c r="P82" s="35">
        <f t="shared" si="49"/>
        <v>434.23999999999995</v>
      </c>
      <c r="Q82" s="35">
        <f t="shared" si="49"/>
        <v>442.88</v>
      </c>
      <c r="R82" s="26"/>
      <c r="S82" s="35">
        <f>S59*S73</f>
        <v>449.8</v>
      </c>
      <c r="T82" s="35">
        <f t="shared" ref="T82:V82" si="50">T59*T73</f>
        <v>449.8</v>
      </c>
      <c r="U82" s="35">
        <f t="shared" si="50"/>
        <v>449.8</v>
      </c>
      <c r="V82" s="35">
        <f t="shared" si="50"/>
        <v>449.8</v>
      </c>
      <c r="W82" s="217"/>
    </row>
    <row r="83" spans="2:25" s="96" customFormat="1" ht="15" customHeight="1" outlineLevel="1" x14ac:dyDescent="0.3">
      <c r="B83" s="214" t="s">
        <v>241</v>
      </c>
      <c r="C83" s="207"/>
      <c r="D83" s="35">
        <f>D61*D74</f>
        <v>390.15000000000003</v>
      </c>
      <c r="E83" s="35">
        <f t="shared" ref="E83:G83" si="51">E61*E74</f>
        <v>411.29</v>
      </c>
      <c r="F83" s="35">
        <f t="shared" si="51"/>
        <v>386.21</v>
      </c>
      <c r="G83" s="35">
        <f t="shared" si="51"/>
        <v>330.84000000000003</v>
      </c>
      <c r="H83" s="26"/>
      <c r="I83" s="35">
        <f>I61*I74</f>
        <v>207.48</v>
      </c>
      <c r="J83" s="35">
        <f t="shared" ref="J83:L83" si="52">J61*J74</f>
        <v>215.76</v>
      </c>
      <c r="K83" s="35">
        <f t="shared" si="52"/>
        <v>174.13</v>
      </c>
      <c r="L83" s="35">
        <f t="shared" si="52"/>
        <v>168.6</v>
      </c>
      <c r="M83" s="26"/>
      <c r="N83" s="35">
        <f>N61*N74</f>
        <v>164.78</v>
      </c>
      <c r="O83" s="35">
        <f t="shared" ref="O83:Q83" si="53">O61*O74</f>
        <v>233.04000000000002</v>
      </c>
      <c r="P83" s="35">
        <f t="shared" si="53"/>
        <v>207.57000000000002</v>
      </c>
      <c r="Q83" s="35">
        <f t="shared" si="53"/>
        <v>242.39999999999998</v>
      </c>
      <c r="R83" s="26"/>
      <c r="S83" s="35">
        <f>S61*S74</f>
        <v>257.25</v>
      </c>
      <c r="T83" s="35">
        <f t="shared" ref="T83:V83" si="54">T61*T74</f>
        <v>270.11250000000001</v>
      </c>
      <c r="U83" s="35">
        <f t="shared" si="54"/>
        <v>283.61812500000002</v>
      </c>
      <c r="V83" s="35">
        <f t="shared" si="54"/>
        <v>297.79903125000004</v>
      </c>
      <c r="W83" s="217"/>
    </row>
    <row r="84" spans="2:25" s="96" customFormat="1" ht="15" customHeight="1" outlineLevel="1" x14ac:dyDescent="0.3">
      <c r="B84" s="213" t="s">
        <v>180</v>
      </c>
      <c r="C84" s="207"/>
      <c r="D84" s="299"/>
      <c r="E84" s="299"/>
      <c r="F84" s="299"/>
      <c r="G84" s="299"/>
      <c r="H84" s="216"/>
      <c r="I84" s="299"/>
      <c r="J84" s="299"/>
      <c r="K84" s="299"/>
      <c r="L84" s="299"/>
      <c r="M84" s="26"/>
      <c r="N84" s="299"/>
      <c r="O84" s="299"/>
      <c r="P84" s="299"/>
      <c r="Q84" s="299"/>
      <c r="R84" s="216"/>
      <c r="S84" s="299"/>
      <c r="T84" s="299"/>
      <c r="U84" s="299"/>
      <c r="V84" s="299"/>
      <c r="W84" s="217"/>
    </row>
    <row r="85" spans="2:25" s="96" customFormat="1" ht="15" customHeight="1" outlineLevel="1" x14ac:dyDescent="0.3">
      <c r="B85" s="214" t="s">
        <v>239</v>
      </c>
      <c r="C85" s="207"/>
      <c r="D85" s="35">
        <f>D64*D76</f>
        <v>865.12</v>
      </c>
      <c r="E85" s="35">
        <f t="shared" ref="E85:G85" si="55">E64*E76</f>
        <v>991.43999999999994</v>
      </c>
      <c r="F85" s="35">
        <f t="shared" si="55"/>
        <v>793.1</v>
      </c>
      <c r="G85" s="35">
        <f t="shared" si="55"/>
        <v>571.48</v>
      </c>
      <c r="H85" s="26"/>
      <c r="I85" s="35">
        <f>I64*I76</f>
        <v>435.22</v>
      </c>
      <c r="J85" s="35">
        <f t="shared" ref="J85:L85" si="56">J64*J76</f>
        <v>486.65999999999997</v>
      </c>
      <c r="K85" s="35">
        <f t="shared" si="56"/>
        <v>330.34</v>
      </c>
      <c r="L85" s="35">
        <f t="shared" si="56"/>
        <v>357.25</v>
      </c>
      <c r="M85" s="26"/>
      <c r="N85" s="35">
        <f>N64*N76</f>
        <v>272.26</v>
      </c>
      <c r="O85" s="35">
        <f t="shared" ref="O85:Q85" si="57">O64*O76</f>
        <v>280.62</v>
      </c>
      <c r="P85" s="35">
        <f t="shared" si="57"/>
        <v>367.04</v>
      </c>
      <c r="Q85" s="35">
        <f t="shared" si="57"/>
        <v>434.56499999999994</v>
      </c>
      <c r="R85" s="26"/>
      <c r="S85" s="35">
        <f>S64*S76</f>
        <v>564.30000000000007</v>
      </c>
      <c r="T85" s="35">
        <f t="shared" ref="T85:V85" si="58">T64*T76</f>
        <v>631.62</v>
      </c>
      <c r="U85" s="35">
        <f t="shared" si="58"/>
        <v>686.07</v>
      </c>
      <c r="V85" s="35">
        <f t="shared" si="58"/>
        <v>720.37350000000015</v>
      </c>
      <c r="W85" s="217"/>
    </row>
    <row r="86" spans="2:25" s="96" customFormat="1" ht="15" customHeight="1" outlineLevel="1" x14ac:dyDescent="0.3">
      <c r="B86" s="214" t="s">
        <v>240</v>
      </c>
      <c r="C86" s="207"/>
      <c r="D86" s="35">
        <f>D66*D77</f>
        <v>0</v>
      </c>
      <c r="E86" s="35">
        <f t="shared" ref="E86:G86" si="59">E66*E77</f>
        <v>0</v>
      </c>
      <c r="F86" s="35">
        <f t="shared" si="59"/>
        <v>0</v>
      </c>
      <c r="G86" s="35">
        <f t="shared" si="59"/>
        <v>0</v>
      </c>
      <c r="H86" s="26"/>
      <c r="I86" s="35">
        <f>I66*I77</f>
        <v>0</v>
      </c>
      <c r="J86" s="35">
        <f t="shared" ref="J86:L86" si="60">J66*J77</f>
        <v>0</v>
      </c>
      <c r="K86" s="35">
        <f t="shared" si="60"/>
        <v>0</v>
      </c>
      <c r="L86" s="35">
        <f t="shared" si="60"/>
        <v>0</v>
      </c>
      <c r="M86" s="26"/>
      <c r="N86" s="35">
        <f>N66*N77</f>
        <v>0</v>
      </c>
      <c r="O86" s="35">
        <f t="shared" ref="O86:Q86" si="61">O66*O77</f>
        <v>0</v>
      </c>
      <c r="P86" s="35">
        <f t="shared" si="61"/>
        <v>0</v>
      </c>
      <c r="Q86" s="35">
        <f t="shared" si="61"/>
        <v>0</v>
      </c>
      <c r="R86" s="26"/>
      <c r="S86" s="35">
        <f>S66*S77</f>
        <v>0</v>
      </c>
      <c r="T86" s="35">
        <f t="shared" ref="T86:V86" si="62">T66*T77</f>
        <v>0</v>
      </c>
      <c r="U86" s="35">
        <f t="shared" si="62"/>
        <v>0</v>
      </c>
      <c r="V86" s="35">
        <f t="shared" si="62"/>
        <v>0</v>
      </c>
      <c r="W86" s="217"/>
    </row>
    <row r="87" spans="2:25" s="96" customFormat="1" ht="15" customHeight="1" outlineLevel="1" x14ac:dyDescent="0.3">
      <c r="B87" s="287" t="s">
        <v>241</v>
      </c>
      <c r="C87" s="347"/>
      <c r="D87" s="46">
        <f>D68*D78</f>
        <v>0</v>
      </c>
      <c r="E87" s="46">
        <f t="shared" ref="E87:G87" si="63">E68*E78</f>
        <v>0</v>
      </c>
      <c r="F87" s="46">
        <f t="shared" si="63"/>
        <v>0</v>
      </c>
      <c r="G87" s="46">
        <f t="shared" si="63"/>
        <v>54.02</v>
      </c>
      <c r="H87" s="38"/>
      <c r="I87" s="46">
        <f>I68*I78</f>
        <v>32.75</v>
      </c>
      <c r="J87" s="46">
        <f t="shared" ref="J87:L87" si="64">J68*J78</f>
        <v>0</v>
      </c>
      <c r="K87" s="46">
        <f t="shared" si="64"/>
        <v>25.18</v>
      </c>
      <c r="L87" s="46">
        <f t="shared" si="64"/>
        <v>0</v>
      </c>
      <c r="M87" s="38"/>
      <c r="N87" s="46">
        <f>N68*N78</f>
        <v>0</v>
      </c>
      <c r="O87" s="46">
        <f t="shared" ref="O87:Q87" si="65">O68*O78</f>
        <v>24.13</v>
      </c>
      <c r="P87" s="46">
        <f t="shared" si="65"/>
        <v>0</v>
      </c>
      <c r="Q87" s="46">
        <f t="shared" si="65"/>
        <v>30.1</v>
      </c>
      <c r="R87" s="38"/>
      <c r="S87" s="46">
        <f>S68*S78</f>
        <v>30</v>
      </c>
      <c r="T87" s="46">
        <f t="shared" ref="T87:V87" si="66">T68*T78</f>
        <v>30</v>
      </c>
      <c r="U87" s="46">
        <f t="shared" si="66"/>
        <v>30</v>
      </c>
      <c r="V87" s="46">
        <f t="shared" si="66"/>
        <v>30</v>
      </c>
      <c r="W87" s="293"/>
    </row>
    <row r="88" spans="2:25" s="96" customFormat="1" ht="15" customHeight="1" outlineLevel="1" x14ac:dyDescent="0.3">
      <c r="B88" s="301" t="s">
        <v>242</v>
      </c>
      <c r="C88" s="348"/>
      <c r="D88" s="302">
        <v>36.6</v>
      </c>
      <c r="E88" s="302">
        <v>-62.2</v>
      </c>
      <c r="F88" s="302">
        <v>26.8</v>
      </c>
      <c r="G88" s="302">
        <v>5</v>
      </c>
      <c r="H88" s="303"/>
      <c r="I88" s="302">
        <v>4.8000000000000007</v>
      </c>
      <c r="J88" s="302">
        <v>2</v>
      </c>
      <c r="K88" s="302">
        <v>-31.2</v>
      </c>
      <c r="L88" s="302">
        <v>24.825000000000024</v>
      </c>
      <c r="M88" s="303"/>
      <c r="N88" s="302">
        <v>1</v>
      </c>
      <c r="O88" s="302">
        <v>17</v>
      </c>
      <c r="P88" s="302">
        <v>-16</v>
      </c>
      <c r="Q88" s="302">
        <v>9</v>
      </c>
      <c r="R88" s="303"/>
      <c r="S88" s="304">
        <v>0</v>
      </c>
      <c r="T88" s="304">
        <v>0</v>
      </c>
      <c r="U88" s="304">
        <v>0</v>
      </c>
      <c r="V88" s="304">
        <v>0</v>
      </c>
      <c r="W88" s="305"/>
    </row>
    <row r="89" spans="2:25" s="49" customFormat="1" ht="17.399999999999999" customHeight="1" x14ac:dyDescent="0.3">
      <c r="B89" s="409" t="s">
        <v>43</v>
      </c>
      <c r="C89" s="410"/>
      <c r="D89" s="294"/>
      <c r="E89" s="294"/>
      <c r="F89" s="294"/>
      <c r="G89" s="294"/>
      <c r="H89" s="295"/>
      <c r="I89" s="296"/>
      <c r="J89" s="296"/>
      <c r="K89" s="296"/>
      <c r="L89" s="296"/>
      <c r="M89" s="295"/>
      <c r="N89" s="296"/>
      <c r="O89" s="296"/>
      <c r="P89" s="296"/>
      <c r="Q89" s="296"/>
      <c r="R89" s="295"/>
      <c r="S89" s="296"/>
      <c r="T89" s="296"/>
      <c r="U89" s="296"/>
      <c r="V89" s="296"/>
      <c r="W89" s="295"/>
      <c r="Y89" s="59"/>
    </row>
    <row r="90" spans="2:25" s="44" customFormat="1" outlineLevel="1" x14ac:dyDescent="0.3">
      <c r="B90" s="324" t="s">
        <v>243</v>
      </c>
      <c r="C90" s="325"/>
      <c r="D90" s="25">
        <f>D19/D12</f>
        <v>0.12912541254125412</v>
      </c>
      <c r="E90" s="25">
        <f t="shared" ref="E90:N90" si="67">E19/E12</f>
        <v>0.10092421441774492</v>
      </c>
      <c r="F90" s="25">
        <f t="shared" si="67"/>
        <v>0.10428517254455821</v>
      </c>
      <c r="G90" s="25">
        <f t="shared" si="67"/>
        <v>0.15640766902119072</v>
      </c>
      <c r="H90" s="33">
        <f t="shared" si="67"/>
        <v>0.12012720558063192</v>
      </c>
      <c r="I90" s="25">
        <f t="shared" si="67"/>
        <v>0.20859760394644117</v>
      </c>
      <c r="J90" s="25">
        <f t="shared" si="67"/>
        <v>0.13985148514851486</v>
      </c>
      <c r="K90" s="25">
        <f t="shared" si="67"/>
        <v>0.21318144833197722</v>
      </c>
      <c r="L90" s="25">
        <f t="shared" si="67"/>
        <v>0.19896193771626297</v>
      </c>
      <c r="M90" s="33">
        <f t="shared" si="67"/>
        <v>0.18708487084870848</v>
      </c>
      <c r="N90" s="25">
        <f t="shared" si="67"/>
        <v>0.24470588235294119</v>
      </c>
      <c r="O90" s="25">
        <f>O19/O12</f>
        <v>0.17955555555555555</v>
      </c>
      <c r="P90" s="25">
        <f>P19/P12</f>
        <v>0.15980629539951574</v>
      </c>
      <c r="Q90" s="25">
        <f>Q19/Q12</f>
        <v>0.13961485557083905</v>
      </c>
      <c r="R90" s="33"/>
      <c r="S90" s="27">
        <v>0.14000000000000001</v>
      </c>
      <c r="T90" s="27">
        <v>0.13</v>
      </c>
      <c r="U90" s="346">
        <v>0.1</v>
      </c>
      <c r="V90" s="27">
        <v>0.1</v>
      </c>
      <c r="W90" s="33"/>
      <c r="Y90" s="59"/>
    </row>
    <row r="91" spans="2:25" s="49" customFormat="1" outlineLevel="1" x14ac:dyDescent="0.3">
      <c r="B91" s="324" t="s">
        <v>244</v>
      </c>
      <c r="C91" s="325"/>
      <c r="D91" s="25">
        <f>D20/D12</f>
        <v>0.10973597359735973</v>
      </c>
      <c r="E91" s="25">
        <f t="shared" ref="E91:N91" si="68">E20/E12</f>
        <v>0.10388170055452865</v>
      </c>
      <c r="F91" s="25">
        <f t="shared" si="68"/>
        <v>0.12210845657944634</v>
      </c>
      <c r="G91" s="25">
        <f t="shared" si="68"/>
        <v>0.15893037336024218</v>
      </c>
      <c r="H91" s="33">
        <f t="shared" si="68"/>
        <v>0.12146081247435371</v>
      </c>
      <c r="I91" s="25">
        <f t="shared" si="68"/>
        <v>0.21494009866102889</v>
      </c>
      <c r="J91" s="25">
        <f t="shared" si="68"/>
        <v>0.17512376237623761</v>
      </c>
      <c r="K91" s="25">
        <f t="shared" si="68"/>
        <v>0.22050447518307567</v>
      </c>
      <c r="L91" s="25">
        <f t="shared" si="68"/>
        <v>0.22318339100346021</v>
      </c>
      <c r="M91" s="33">
        <f t="shared" si="68"/>
        <v>0.20608856088560887</v>
      </c>
      <c r="N91" s="25">
        <f t="shared" si="68"/>
        <v>0.2847058823529412</v>
      </c>
      <c r="O91" s="25">
        <f>O20/O12</f>
        <v>0.21866666666666668</v>
      </c>
      <c r="P91" s="25">
        <f>P20/P12</f>
        <v>0.20661824051654559</v>
      </c>
      <c r="Q91" s="25">
        <f>Q20/Q12</f>
        <v>0.17744154057771663</v>
      </c>
      <c r="R91" s="33"/>
      <c r="S91" s="27">
        <v>0.11799999999999999</v>
      </c>
      <c r="T91" s="27">
        <v>0.1</v>
      </c>
      <c r="U91" s="27">
        <v>0.1</v>
      </c>
      <c r="V91" s="27">
        <v>0.1</v>
      </c>
      <c r="W91" s="33"/>
      <c r="Y91" s="59"/>
    </row>
    <row r="92" spans="2:25" s="49" customFormat="1" outlineLevel="1" x14ac:dyDescent="0.3">
      <c r="B92" s="324" t="s">
        <v>245</v>
      </c>
      <c r="C92" s="325"/>
      <c r="D92" s="25">
        <f>D21/D12</f>
        <v>0.12334983498349834</v>
      </c>
      <c r="E92" s="25">
        <f t="shared" ref="E92:N92" si="69">E21/E12</f>
        <v>0.1855822550831793</v>
      </c>
      <c r="F92" s="25">
        <f t="shared" si="69"/>
        <v>7.5464543041334847E-2</v>
      </c>
      <c r="G92" s="25">
        <f t="shared" si="69"/>
        <v>0.32240161453077698</v>
      </c>
      <c r="H92" s="33">
        <f t="shared" si="69"/>
        <v>0.16813705375461632</v>
      </c>
      <c r="I92" s="25">
        <f t="shared" si="69"/>
        <v>0.7632135306553911</v>
      </c>
      <c r="J92" s="25">
        <f t="shared" si="69"/>
        <v>6.3737623762376239E-2</v>
      </c>
      <c r="K92" s="25">
        <f t="shared" si="69"/>
        <v>0.87388120423108218</v>
      </c>
      <c r="L92" s="25">
        <f t="shared" si="69"/>
        <v>0.33217993079584773</v>
      </c>
      <c r="M92" s="33">
        <f t="shared" si="69"/>
        <v>0.48782287822878229</v>
      </c>
      <c r="N92" s="25">
        <f t="shared" si="69"/>
        <v>0.14823529411764705</v>
      </c>
      <c r="O92" s="25">
        <f>O21/O12</f>
        <v>6.7555555555555549E-2</v>
      </c>
      <c r="P92" s="25">
        <f>P21/P12</f>
        <v>0.24535916061339791</v>
      </c>
      <c r="Q92" s="25">
        <f>Q21/Q12</f>
        <v>0.30261348005502064</v>
      </c>
      <c r="R92" s="33"/>
      <c r="S92" s="27">
        <v>0.15</v>
      </c>
      <c r="T92" s="27">
        <v>0.14000000000000001</v>
      </c>
      <c r="U92" s="27">
        <v>0.1225</v>
      </c>
      <c r="V92" s="27">
        <v>0.11</v>
      </c>
      <c r="W92" s="33"/>
      <c r="Y92" s="59"/>
    </row>
    <row r="93" spans="2:25" s="49" customFormat="1" outlineLevel="1" x14ac:dyDescent="0.3">
      <c r="B93" s="324" t="s">
        <v>195</v>
      </c>
      <c r="C93" s="325"/>
      <c r="D93" s="25">
        <f t="shared" ref="D93:N93" si="70">D22/D17</f>
        <v>4.3121149897330596E-2</v>
      </c>
      <c r="E93" s="25">
        <f t="shared" si="70"/>
        <v>5.6318990763685517E-2</v>
      </c>
      <c r="F93" s="25">
        <f t="shared" si="70"/>
        <v>5.3692614770459085E-2</v>
      </c>
      <c r="G93" s="25">
        <f t="shared" si="70"/>
        <v>8.1523449795404476E-2</v>
      </c>
      <c r="H93" s="33">
        <f t="shared" si="70"/>
        <v>5.576610720086627E-2</v>
      </c>
      <c r="I93" s="25">
        <f t="shared" si="70"/>
        <v>0.10943558810857389</v>
      </c>
      <c r="J93" s="25">
        <f t="shared" si="70"/>
        <v>9.6737481031866468E-2</v>
      </c>
      <c r="K93" s="25">
        <f t="shared" si="70"/>
        <v>0.17120853080568721</v>
      </c>
      <c r="L93" s="25">
        <f t="shared" si="70"/>
        <v>0.12469556746225037</v>
      </c>
      <c r="M93" s="33">
        <f t="shared" si="70"/>
        <v>0.12117728213382387</v>
      </c>
      <c r="N93" s="25">
        <f t="shared" si="70"/>
        <v>0.12843488649940263</v>
      </c>
      <c r="O93" s="25">
        <f>O22/O17</f>
        <v>0.13159268929503917</v>
      </c>
      <c r="P93" s="25">
        <f>P22/P17</f>
        <v>0.15372424722662439</v>
      </c>
      <c r="Q93" s="25">
        <f>Q22/Q17</f>
        <v>0.1378299120234604</v>
      </c>
      <c r="R93" s="33"/>
      <c r="S93" s="27">
        <v>0.1</v>
      </c>
      <c r="T93" s="27">
        <v>0.1</v>
      </c>
      <c r="U93" s="27">
        <v>0.1</v>
      </c>
      <c r="V93" s="27">
        <v>0.1</v>
      </c>
      <c r="W93" s="33"/>
      <c r="X93" s="72"/>
      <c r="Y93" s="234"/>
    </row>
    <row r="94" spans="2:25" s="44" customFormat="1" outlineLevel="1" x14ac:dyDescent="0.3">
      <c r="B94" s="324" t="s">
        <v>196</v>
      </c>
      <c r="C94" s="325"/>
      <c r="D94" s="25">
        <f t="shared" ref="D94:O94" si="71">D23/D17</f>
        <v>5.0992470910335388E-2</v>
      </c>
      <c r="E94" s="25">
        <f t="shared" si="71"/>
        <v>6.870916873169633E-2</v>
      </c>
      <c r="F94" s="25">
        <f t="shared" si="71"/>
        <v>7.6047904191616764E-2</v>
      </c>
      <c r="G94" s="25">
        <f t="shared" si="71"/>
        <v>0.10450110166824048</v>
      </c>
      <c r="H94" s="33">
        <f t="shared" si="71"/>
        <v>7.1250676773145644E-2</v>
      </c>
      <c r="I94" s="25">
        <f t="shared" si="71"/>
        <v>0.13227057302886686</v>
      </c>
      <c r="J94" s="25">
        <f t="shared" si="71"/>
        <v>0.1054628224582701</v>
      </c>
      <c r="K94" s="25">
        <f t="shared" si="71"/>
        <v>0.20438388625592416</v>
      </c>
      <c r="L94" s="25">
        <f t="shared" si="71"/>
        <v>0.11982464685825621</v>
      </c>
      <c r="M94" s="33">
        <f t="shared" si="71"/>
        <v>0.13520349505633478</v>
      </c>
      <c r="N94" s="25">
        <f t="shared" si="71"/>
        <v>0.26821983273596178</v>
      </c>
      <c r="O94" s="25">
        <f t="shared" si="71"/>
        <v>0.15926892950391644</v>
      </c>
      <c r="P94" s="25">
        <f>P23/P17</f>
        <v>0.1912308505018489</v>
      </c>
      <c r="Q94" s="25">
        <f>Q23/Q17</f>
        <v>0.13573523250942607</v>
      </c>
      <c r="R94" s="33"/>
      <c r="S94" s="27">
        <v>0.1</v>
      </c>
      <c r="T94" s="27">
        <v>0.1</v>
      </c>
      <c r="U94" s="27">
        <v>0.1</v>
      </c>
      <c r="V94" s="27">
        <v>0.1</v>
      </c>
      <c r="W94" s="33"/>
      <c r="Y94" s="59"/>
    </row>
    <row r="95" spans="2:25" s="49" customFormat="1" outlineLevel="1" x14ac:dyDescent="0.3">
      <c r="B95" s="324" t="s">
        <v>197</v>
      </c>
      <c r="C95" s="349"/>
      <c r="D95" s="25">
        <f t="shared" ref="D95:O95" si="72">D24/D17</f>
        <v>0.19233401779603013</v>
      </c>
      <c r="E95" s="25">
        <f t="shared" si="72"/>
        <v>0.23608920928136967</v>
      </c>
      <c r="F95" s="25">
        <f t="shared" si="72"/>
        <v>0.23213572854291417</v>
      </c>
      <c r="G95" s="25">
        <f t="shared" si="72"/>
        <v>0.38243626062322944</v>
      </c>
      <c r="H95" s="33">
        <f t="shared" si="72"/>
        <v>0.24634542501353546</v>
      </c>
      <c r="I95" s="25">
        <f t="shared" si="72"/>
        <v>0.54114605773373547</v>
      </c>
      <c r="J95" s="25">
        <f t="shared" si="72"/>
        <v>0.460546282245827</v>
      </c>
      <c r="K95" s="25">
        <f t="shared" si="72"/>
        <v>0.65817535545023698</v>
      </c>
      <c r="L95" s="25">
        <f t="shared" si="72"/>
        <v>0.49780808572820262</v>
      </c>
      <c r="M95" s="33">
        <f t="shared" si="72"/>
        <v>0.52920211542883422</v>
      </c>
      <c r="N95" s="25">
        <f t="shared" si="72"/>
        <v>0.68637992831541217</v>
      </c>
      <c r="O95" s="25">
        <f t="shared" si="72"/>
        <v>0.51383812010443863</v>
      </c>
      <c r="P95" s="25">
        <f>P24/P17</f>
        <v>0.56471209720021132</v>
      </c>
      <c r="Q95" s="25">
        <f>Q24/Q17</f>
        <v>0.46041055718475071</v>
      </c>
      <c r="R95" s="33"/>
      <c r="S95" s="27">
        <v>0.4</v>
      </c>
      <c r="T95" s="27">
        <v>0.4</v>
      </c>
      <c r="U95" s="27">
        <v>0.4</v>
      </c>
      <c r="V95" s="27">
        <v>0.4</v>
      </c>
      <c r="W95" s="33"/>
      <c r="Y95" s="59"/>
    </row>
    <row r="96" spans="2:25" s="49" customFormat="1" outlineLevel="1" x14ac:dyDescent="0.3">
      <c r="B96" s="324" t="s">
        <v>199</v>
      </c>
      <c r="C96" s="325"/>
      <c r="D96" s="25">
        <f t="shared" ref="D96:O96" si="73">D25/D17</f>
        <v>5.3730321697467491E-2</v>
      </c>
      <c r="E96" s="25">
        <f t="shared" si="73"/>
        <v>8.1324622662761886E-2</v>
      </c>
      <c r="F96" s="25">
        <f t="shared" si="73"/>
        <v>6.1077844311377243E-2</v>
      </c>
      <c r="G96" s="25">
        <f t="shared" si="73"/>
        <v>8.2782499213094107E-2</v>
      </c>
      <c r="H96" s="33">
        <f t="shared" si="73"/>
        <v>6.7352463454250139E-2</v>
      </c>
      <c r="I96" s="25">
        <f t="shared" si="73"/>
        <v>7.8414476518741921E-2</v>
      </c>
      <c r="J96" s="25">
        <f t="shared" si="73"/>
        <v>5.7283763277693474E-2</v>
      </c>
      <c r="K96" s="25">
        <f t="shared" si="73"/>
        <v>7.5236966824644549E-2</v>
      </c>
      <c r="L96" s="25">
        <f t="shared" si="73"/>
        <v>4.5299561617145642E-2</v>
      </c>
      <c r="M96" s="33">
        <f t="shared" si="73"/>
        <v>6.3577833984824098E-2</v>
      </c>
      <c r="N96" s="25">
        <f t="shared" si="73"/>
        <v>6.9892473118279563E-2</v>
      </c>
      <c r="O96" s="25">
        <f t="shared" si="73"/>
        <v>8.1984334203655349E-2</v>
      </c>
      <c r="P96" s="25">
        <f>P25/P17</f>
        <v>7.8182778658214477E-2</v>
      </c>
      <c r="Q96" s="25">
        <f>Q25/Q17</f>
        <v>4.7758692919983241E-2</v>
      </c>
      <c r="R96" s="33"/>
      <c r="S96" s="27">
        <v>0.05</v>
      </c>
      <c r="T96" s="27">
        <v>0.05</v>
      </c>
      <c r="U96" s="27">
        <v>4.4999999999999998E-2</v>
      </c>
      <c r="V96" s="27">
        <v>4.4999999999999998E-2</v>
      </c>
      <c r="W96" s="33"/>
      <c r="Y96" s="59"/>
    </row>
    <row r="97" spans="2:25" s="49" customFormat="1" outlineLevel="1" x14ac:dyDescent="0.3">
      <c r="B97" s="324" t="s">
        <v>200</v>
      </c>
      <c r="C97" s="325"/>
      <c r="D97" s="25">
        <f t="shared" ref="D97:O97" si="74">D26/D17</f>
        <v>5.1334702258726901E-4</v>
      </c>
      <c r="E97" s="25">
        <f t="shared" si="74"/>
        <v>2.635728767740482E-2</v>
      </c>
      <c r="F97" s="25">
        <f t="shared" si="74"/>
        <v>7.864271457085828E-2</v>
      </c>
      <c r="G97" s="25">
        <f t="shared" si="74"/>
        <v>0.10135347812401636</v>
      </c>
      <c r="H97" s="33">
        <f t="shared" si="74"/>
        <v>4.5262587980508931E-2</v>
      </c>
      <c r="I97" s="25">
        <f t="shared" si="74"/>
        <v>1.1990521327014219</v>
      </c>
      <c r="J97" s="25">
        <f t="shared" si="74"/>
        <v>1.1380880121396054E-2</v>
      </c>
      <c r="K97" s="25">
        <f t="shared" si="74"/>
        <v>0.4490521327014218</v>
      </c>
      <c r="L97" s="25">
        <f t="shared" si="74"/>
        <v>0.73258645884072093</v>
      </c>
      <c r="M97" s="33">
        <f t="shared" si="74"/>
        <v>0.5834674637847781</v>
      </c>
      <c r="N97" s="25">
        <f t="shared" si="74"/>
        <v>9.557945041816009E-3</v>
      </c>
      <c r="O97" s="25">
        <f t="shared" si="74"/>
        <v>9.3994778067885126E-3</v>
      </c>
      <c r="P97" s="25">
        <f>P26/P17</f>
        <v>1.4263074484944533E-2</v>
      </c>
      <c r="Q97" s="25">
        <f>Q26/Q17</f>
        <v>6.9543359865940513E-2</v>
      </c>
      <c r="R97" s="33"/>
      <c r="S97" s="27">
        <v>0.01</v>
      </c>
      <c r="T97" s="27">
        <v>0.01</v>
      </c>
      <c r="U97" s="27">
        <v>0.01</v>
      </c>
      <c r="V97" s="27">
        <v>0.01</v>
      </c>
      <c r="W97" s="33"/>
      <c r="Y97" s="59"/>
    </row>
    <row r="98" spans="2:25" s="49" customFormat="1" outlineLevel="1" x14ac:dyDescent="0.3">
      <c r="B98" s="324" t="s">
        <v>201</v>
      </c>
      <c r="C98" s="325"/>
      <c r="D98" s="25">
        <f t="shared" ref="D98:O98" si="75">D27/D17</f>
        <v>0</v>
      </c>
      <c r="E98" s="25">
        <f t="shared" si="75"/>
        <v>0</v>
      </c>
      <c r="F98" s="25">
        <f t="shared" si="75"/>
        <v>0</v>
      </c>
      <c r="G98" s="25">
        <f t="shared" si="75"/>
        <v>0</v>
      </c>
      <c r="H98" s="33">
        <f t="shared" si="75"/>
        <v>0</v>
      </c>
      <c r="I98" s="25">
        <f t="shared" si="75"/>
        <v>2.7143472641102971E-2</v>
      </c>
      <c r="J98" s="25">
        <f t="shared" si="75"/>
        <v>2.276176024279211E-3</v>
      </c>
      <c r="K98" s="25">
        <f t="shared" si="75"/>
        <v>0</v>
      </c>
      <c r="L98" s="25">
        <f t="shared" si="75"/>
        <v>9.8392596200681928E-2</v>
      </c>
      <c r="M98" s="33">
        <f t="shared" si="75"/>
        <v>3.1156587721315247E-2</v>
      </c>
      <c r="N98" s="25">
        <f t="shared" si="75"/>
        <v>9.557945041816009E-3</v>
      </c>
      <c r="O98" s="25">
        <f t="shared" si="75"/>
        <v>3.6553524804177544E-3</v>
      </c>
      <c r="P98" s="25">
        <f>P27/P17</f>
        <v>1.6376122556788168E-2</v>
      </c>
      <c r="Q98" s="25">
        <f>Q27/Q17</f>
        <v>2.6811897779639715E-2</v>
      </c>
      <c r="R98" s="33"/>
      <c r="S98" s="27">
        <v>0.01</v>
      </c>
      <c r="T98" s="27">
        <v>0.01</v>
      </c>
      <c r="U98" s="27">
        <v>0.01</v>
      </c>
      <c r="V98" s="27">
        <v>0.01</v>
      </c>
      <c r="W98" s="33"/>
      <c r="Y98" s="59"/>
    </row>
    <row r="99" spans="2:25" s="49" customFormat="1" outlineLevel="1" x14ac:dyDescent="0.3">
      <c r="B99" s="324" t="s">
        <v>198</v>
      </c>
      <c r="C99" s="325"/>
      <c r="D99" s="25"/>
      <c r="E99" s="35">
        <f>AVERAGE(D31:E31)</f>
        <v>184.5</v>
      </c>
      <c r="F99" s="35">
        <f>AVERAGE(E31:F31)</f>
        <v>195</v>
      </c>
      <c r="G99" s="35">
        <f>AVERAGE(F31:G31)</f>
        <v>201.5</v>
      </c>
      <c r="H99" s="216"/>
      <c r="I99" s="35">
        <f>AVERAGE(G31:I31)</f>
        <v>395.66666666666669</v>
      </c>
      <c r="J99" s="35">
        <f>AVERAGE(I31:J31)</f>
        <v>208.5</v>
      </c>
      <c r="K99" s="35">
        <f>AVERAGE(J31:K31)</f>
        <v>200</v>
      </c>
      <c r="L99" s="35">
        <f>AVERAGE(K31:L31)</f>
        <v>204</v>
      </c>
      <c r="M99" s="216"/>
      <c r="N99" s="35">
        <f>AVERAGE(L31:N31)</f>
        <v>418</v>
      </c>
      <c r="O99" s="35">
        <f>AVERAGE(N31:O31)</f>
        <v>218.5</v>
      </c>
      <c r="P99" s="35">
        <v>220</v>
      </c>
      <c r="Q99" s="35">
        <v>220</v>
      </c>
      <c r="R99" s="216"/>
      <c r="S99" s="297">
        <v>220</v>
      </c>
      <c r="T99" s="297">
        <v>200</v>
      </c>
      <c r="U99" s="297">
        <v>200</v>
      </c>
      <c r="V99" s="297">
        <v>200</v>
      </c>
      <c r="W99" s="216"/>
      <c r="Y99" s="59"/>
    </row>
    <row r="100" spans="2:25" s="49" customFormat="1" outlineLevel="1" x14ac:dyDescent="0.3">
      <c r="B100" s="324" t="s">
        <v>202</v>
      </c>
      <c r="C100" s="325"/>
      <c r="D100" s="25">
        <f t="shared" ref="D100:O100" si="76">D33/D17</f>
        <v>7.7515400410677615E-2</v>
      </c>
      <c r="E100" s="25">
        <f t="shared" si="76"/>
        <v>7.2764136066681681E-2</v>
      </c>
      <c r="F100" s="25">
        <f t="shared" si="76"/>
        <v>-6.4471057884231533E-2</v>
      </c>
      <c r="G100" s="25">
        <f t="shared" si="76"/>
        <v>-8.0579162732137236E-2</v>
      </c>
      <c r="H100" s="33">
        <f t="shared" si="76"/>
        <v>1.0665944775311315E-2</v>
      </c>
      <c r="I100" s="25">
        <f t="shared" si="76"/>
        <v>6.5489013356311937E-2</v>
      </c>
      <c r="J100" s="25">
        <f t="shared" si="76"/>
        <v>-0.11798179059180576</v>
      </c>
      <c r="K100" s="25">
        <f t="shared" si="76"/>
        <v>0.16706161137440759</v>
      </c>
      <c r="L100" s="25">
        <f t="shared" si="76"/>
        <v>-0.10813443740867024</v>
      </c>
      <c r="M100" s="33">
        <f t="shared" si="76"/>
        <v>-1.138192687974247E-2</v>
      </c>
      <c r="N100" s="25">
        <f t="shared" si="76"/>
        <v>0.17741935483870969</v>
      </c>
      <c r="O100" s="25">
        <f t="shared" si="76"/>
        <v>0.16240208877284595</v>
      </c>
      <c r="P100" s="25">
        <f>P33/P17</f>
        <v>1.3206550449022716E-2</v>
      </c>
      <c r="Q100" s="25">
        <f>Q33/Q17</f>
        <v>-0.14369501466275661</v>
      </c>
      <c r="R100" s="33"/>
      <c r="S100" s="27">
        <v>0</v>
      </c>
      <c r="T100" s="27">
        <v>0</v>
      </c>
      <c r="U100" s="27">
        <v>0</v>
      </c>
      <c r="V100" s="27">
        <v>0</v>
      </c>
      <c r="W100" s="33"/>
      <c r="Y100" s="59"/>
    </row>
    <row r="101" spans="2:25" s="49" customFormat="1" outlineLevel="1" x14ac:dyDescent="0.3">
      <c r="B101" s="375" t="s">
        <v>203</v>
      </c>
      <c r="C101" s="376"/>
      <c r="D101" s="25">
        <f t="shared" ref="D101:O101" si="77">D34/D17</f>
        <v>1.7111567419575633E-4</v>
      </c>
      <c r="E101" s="25">
        <f t="shared" si="77"/>
        <v>-2.9285875197116468E-3</v>
      </c>
      <c r="F101" s="25">
        <f t="shared" si="77"/>
        <v>4.7904191616766467E-3</v>
      </c>
      <c r="G101" s="25">
        <f t="shared" si="77"/>
        <v>2.5180988353792886E-3</v>
      </c>
      <c r="H101" s="33">
        <f t="shared" si="77"/>
        <v>1.0828370330265296E-3</v>
      </c>
      <c r="I101" s="25">
        <f t="shared" si="77"/>
        <v>2.0249892287806978E-2</v>
      </c>
      <c r="J101" s="25">
        <f t="shared" si="77"/>
        <v>5.6904400606980271E-3</v>
      </c>
      <c r="K101" s="25">
        <f t="shared" si="77"/>
        <v>2.7843601895734597E-2</v>
      </c>
      <c r="L101" s="25">
        <f t="shared" si="77"/>
        <v>1.948368241597662E-2</v>
      </c>
      <c r="M101" s="33">
        <f t="shared" si="77"/>
        <v>1.7130374798804322E-2</v>
      </c>
      <c r="N101" s="25">
        <f t="shared" si="77"/>
        <v>0</v>
      </c>
      <c r="O101" s="25">
        <f t="shared" si="77"/>
        <v>-3.0809399477806951E-2</v>
      </c>
      <c r="P101" s="25">
        <f>P34/P17</f>
        <v>-1.6376122556788168E-2</v>
      </c>
      <c r="Q101" s="25">
        <f>Q34/Q17</f>
        <v>-6.2840385421030582E-3</v>
      </c>
      <c r="R101" s="33"/>
      <c r="S101" s="27">
        <f>R101</f>
        <v>0</v>
      </c>
      <c r="T101" s="27">
        <f>S101</f>
        <v>0</v>
      </c>
      <c r="U101" s="27">
        <v>0</v>
      </c>
      <c r="V101" s="27">
        <v>-5.0000000000000001E-3</v>
      </c>
      <c r="W101" s="33"/>
      <c r="Y101" s="59"/>
    </row>
    <row r="102" spans="2:25" s="44" customFormat="1" outlineLevel="1" x14ac:dyDescent="0.3">
      <c r="B102" s="375" t="s">
        <v>37</v>
      </c>
      <c r="C102" s="376"/>
      <c r="D102" s="25">
        <f t="shared" ref="D102:O102" si="78">D39/D38</f>
        <v>-0.33843017329255859</v>
      </c>
      <c r="E102" s="25">
        <f t="shared" si="78"/>
        <v>0.61671469740634011</v>
      </c>
      <c r="F102" s="25">
        <f t="shared" si="78"/>
        <v>0.35343855693348364</v>
      </c>
      <c r="G102" s="25">
        <f t="shared" si="78"/>
        <v>0.22566371681415928</v>
      </c>
      <c r="H102" s="33">
        <f t="shared" si="78"/>
        <v>29.944444444444443</v>
      </c>
      <c r="I102" s="25">
        <f t="shared" si="78"/>
        <v>0.30077787381158166</v>
      </c>
      <c r="J102" s="25">
        <f t="shared" si="78"/>
        <v>0.41621621621621624</v>
      </c>
      <c r="K102" s="25">
        <f t="shared" si="78"/>
        <v>0.29801754956126097</v>
      </c>
      <c r="L102" s="25">
        <f t="shared" si="78"/>
        <v>0.29737206085753803</v>
      </c>
      <c r="M102" s="33">
        <f t="shared" si="78"/>
        <v>0.29693466818041075</v>
      </c>
      <c r="N102" s="25">
        <f t="shared" si="78"/>
        <v>0.27733526430123101</v>
      </c>
      <c r="O102" s="25">
        <f t="shared" si="78"/>
        <v>0.3394594594594596</v>
      </c>
      <c r="P102" s="25">
        <f>P39/P38</f>
        <v>0.25819265143992054</v>
      </c>
      <c r="Q102" s="25">
        <f>Q39/Q38</f>
        <v>0.12403100775193798</v>
      </c>
      <c r="R102" s="33"/>
      <c r="S102" s="27">
        <v>0.25</v>
      </c>
      <c r="T102" s="27">
        <v>0.25</v>
      </c>
      <c r="U102" s="27">
        <v>0.25</v>
      </c>
      <c r="V102" s="27">
        <v>0.25</v>
      </c>
      <c r="W102" s="33"/>
      <c r="Y102" s="59"/>
    </row>
    <row r="103" spans="2:25" s="44" customFormat="1" outlineLevel="1" x14ac:dyDescent="0.3">
      <c r="B103" s="375" t="s">
        <v>36</v>
      </c>
      <c r="C103" s="376"/>
      <c r="D103" s="25">
        <f t="shared" ref="D103:V103" si="79">(SUM(D12:D15)-SUM(D19,D20,D22))/SUM(D12:D15)</f>
        <v>0.80843706777316737</v>
      </c>
      <c r="E103" s="25">
        <f t="shared" si="79"/>
        <v>0.81664766248574683</v>
      </c>
      <c r="F103" s="25">
        <f t="shared" si="79"/>
        <v>0.79527186761229318</v>
      </c>
      <c r="G103" s="25">
        <f t="shared" si="79"/>
        <v>0.74167153711279954</v>
      </c>
      <c r="H103" s="33">
        <f t="shared" si="79"/>
        <v>0.79328244274809157</v>
      </c>
      <c r="I103" s="25">
        <f t="shared" si="79"/>
        <v>0.66924564796905217</v>
      </c>
      <c r="J103" s="25">
        <f t="shared" si="79"/>
        <v>0.71027682973075468</v>
      </c>
      <c r="K103" s="25">
        <f t="shared" si="79"/>
        <v>0.63139013452914794</v>
      </c>
      <c r="L103" s="25">
        <f t="shared" si="79"/>
        <v>0.63421828908554567</v>
      </c>
      <c r="M103" s="33">
        <f t="shared" si="79"/>
        <v>0.66424204090238248</v>
      </c>
      <c r="N103" s="25">
        <f t="shared" si="79"/>
        <v>0.59302325581395354</v>
      </c>
      <c r="O103" s="25">
        <f t="shared" si="79"/>
        <v>0.64735516372795965</v>
      </c>
      <c r="P103" s="25">
        <f>(SUM(P12:P15)-SUM(P19,P20,P22))/SUM(P12:P15)</f>
        <v>0.66903598400710795</v>
      </c>
      <c r="Q103" s="25">
        <f>(SUM(Q12:Q15)-SUM(Q19,Q20,Q22))/SUM(Q12:Q15)</f>
        <v>0.69344198680636404</v>
      </c>
      <c r="R103" s="33"/>
      <c r="S103" s="25">
        <f t="shared" si="79"/>
        <v>0.74237277018318149</v>
      </c>
      <c r="T103" s="25">
        <f t="shared" si="79"/>
        <v>0.75689164190274938</v>
      </c>
      <c r="U103" s="25">
        <f>(SUM(U12:U15)-SUM(U19,U20,U22))/SUM(U12:U15)</f>
        <v>0.77134253719423085</v>
      </c>
      <c r="V103" s="25">
        <f t="shared" si="79"/>
        <v>0.76511553589172188</v>
      </c>
      <c r="W103" s="33"/>
      <c r="X103" s="59"/>
      <c r="Y103" s="59"/>
    </row>
    <row r="104" spans="2:25" s="49" customFormat="1" outlineLevel="1" x14ac:dyDescent="0.3">
      <c r="B104" s="375" t="s">
        <v>44</v>
      </c>
      <c r="C104" s="376"/>
      <c r="D104" s="25">
        <f t="shared" ref="D104:V104" si="80">(SUM(D12:D15)-SUM(D19,D20,D22))/SUM(D12:D15)</f>
        <v>0.80843706777316737</v>
      </c>
      <c r="E104" s="25">
        <f t="shared" si="80"/>
        <v>0.81664766248574683</v>
      </c>
      <c r="F104" s="25">
        <f t="shared" si="80"/>
        <v>0.79527186761229318</v>
      </c>
      <c r="G104" s="25">
        <f t="shared" si="80"/>
        <v>0.74167153711279954</v>
      </c>
      <c r="H104" s="33">
        <f t="shared" si="80"/>
        <v>0.79328244274809157</v>
      </c>
      <c r="I104" s="25">
        <f t="shared" si="80"/>
        <v>0.66924564796905217</v>
      </c>
      <c r="J104" s="25">
        <f t="shared" si="80"/>
        <v>0.71027682973075468</v>
      </c>
      <c r="K104" s="25">
        <f t="shared" si="80"/>
        <v>0.63139013452914794</v>
      </c>
      <c r="L104" s="25">
        <f t="shared" si="80"/>
        <v>0.63421828908554567</v>
      </c>
      <c r="M104" s="33">
        <f t="shared" si="80"/>
        <v>0.66424204090238248</v>
      </c>
      <c r="N104" s="25">
        <f t="shared" si="80"/>
        <v>0.59302325581395354</v>
      </c>
      <c r="O104" s="25">
        <f t="shared" si="80"/>
        <v>0.64735516372795965</v>
      </c>
      <c r="P104" s="25">
        <f>(SUM(P12:P15)-SUM(P19,P20,P22))/SUM(P12:P15)</f>
        <v>0.66903598400710795</v>
      </c>
      <c r="Q104" s="25">
        <f>(SUM(Q12:Q15)-SUM(Q19,Q20,Q22))/SUM(Q12:Q15)</f>
        <v>0.69344198680636404</v>
      </c>
      <c r="R104" s="33"/>
      <c r="S104" s="25">
        <f t="shared" si="80"/>
        <v>0.74237277018318149</v>
      </c>
      <c r="T104" s="25">
        <f t="shared" si="80"/>
        <v>0.75689164190274938</v>
      </c>
      <c r="U104" s="25">
        <f t="shared" si="80"/>
        <v>0.77134253719423085</v>
      </c>
      <c r="V104" s="25">
        <f t="shared" si="80"/>
        <v>0.76511553589172188</v>
      </c>
      <c r="W104" s="33"/>
      <c r="Y104" s="59"/>
    </row>
    <row r="105" spans="2:25" s="49" customFormat="1" outlineLevel="1" x14ac:dyDescent="0.3">
      <c r="B105" s="324" t="s">
        <v>38</v>
      </c>
      <c r="C105" s="325"/>
      <c r="D105" s="25">
        <f t="shared" ref="D105:V105" si="81">D29/D17</f>
        <v>0.50906913073237503</v>
      </c>
      <c r="E105" s="25">
        <f t="shared" si="81"/>
        <v>0.29330930389727417</v>
      </c>
      <c r="F105" s="25">
        <f t="shared" si="81"/>
        <v>0.33952095808383231</v>
      </c>
      <c r="G105" s="25">
        <f t="shared" si="81"/>
        <v>-0.1504564054139125</v>
      </c>
      <c r="H105" s="33">
        <f t="shared" si="81"/>
        <v>0.29778018408229562</v>
      </c>
      <c r="I105" s="25">
        <f t="shared" si="81"/>
        <v>-1.8130116329168462</v>
      </c>
      <c r="J105" s="25">
        <f t="shared" si="81"/>
        <v>3.4142640364188161E-2</v>
      </c>
      <c r="K105" s="25">
        <f t="shared" si="81"/>
        <v>-1.5100710900473933</v>
      </c>
      <c r="L105" s="25">
        <f t="shared" si="81"/>
        <v>-1.0433511933755479</v>
      </c>
      <c r="M105" s="33">
        <f t="shared" si="81"/>
        <v>-1.0127615543803172</v>
      </c>
      <c r="N105" s="25">
        <f t="shared" si="81"/>
        <v>-0.5161290322580645</v>
      </c>
      <c r="O105" s="25">
        <f t="shared" si="81"/>
        <v>-0.17336814621409921</v>
      </c>
      <c r="P105" s="25">
        <f>P29/P17</f>
        <v>-0.41891178024300052</v>
      </c>
      <c r="Q105" s="25">
        <f>Q29/Q17</f>
        <v>-0.25555090071219105</v>
      </c>
      <c r="R105" s="33"/>
      <c r="S105" s="25">
        <f t="shared" si="81"/>
        <v>8.1544168367705713E-2</v>
      </c>
      <c r="T105" s="25">
        <f t="shared" si="81"/>
        <v>8.9718143984277826E-2</v>
      </c>
      <c r="U105" s="25">
        <f t="shared" si="81"/>
        <v>0.12240136393821088</v>
      </c>
      <c r="V105" s="25">
        <f t="shared" si="81"/>
        <v>0.13519439630850177</v>
      </c>
      <c r="W105" s="33"/>
      <c r="Y105" s="59"/>
    </row>
    <row r="106" spans="2:25" s="49" customFormat="1" outlineLevel="1" x14ac:dyDescent="0.3">
      <c r="B106" s="324" t="s">
        <v>39</v>
      </c>
      <c r="C106" s="325"/>
      <c r="D106" s="25">
        <f t="shared" ref="D106:V106" si="82">D29/D17</f>
        <v>0.50906913073237503</v>
      </c>
      <c r="E106" s="25">
        <f t="shared" si="82"/>
        <v>0.29330930389727417</v>
      </c>
      <c r="F106" s="25">
        <f t="shared" si="82"/>
        <v>0.33952095808383231</v>
      </c>
      <c r="G106" s="25">
        <f t="shared" si="82"/>
        <v>-0.1504564054139125</v>
      </c>
      <c r="H106" s="33">
        <f t="shared" si="82"/>
        <v>0.29778018408229562</v>
      </c>
      <c r="I106" s="25">
        <f t="shared" si="82"/>
        <v>-1.8130116329168462</v>
      </c>
      <c r="J106" s="25">
        <f t="shared" si="82"/>
        <v>3.4142640364188161E-2</v>
      </c>
      <c r="K106" s="25">
        <f t="shared" si="82"/>
        <v>-1.5100710900473933</v>
      </c>
      <c r="L106" s="25">
        <f t="shared" si="82"/>
        <v>-1.0433511933755479</v>
      </c>
      <c r="M106" s="33">
        <f t="shared" si="82"/>
        <v>-1.0127615543803172</v>
      </c>
      <c r="N106" s="25">
        <f t="shared" si="82"/>
        <v>-0.5161290322580645</v>
      </c>
      <c r="O106" s="25">
        <f t="shared" si="82"/>
        <v>-0.17336814621409921</v>
      </c>
      <c r="P106" s="25">
        <f>P29/P17</f>
        <v>-0.41891178024300052</v>
      </c>
      <c r="Q106" s="25">
        <f>Q29/Q17</f>
        <v>-0.25555090071219105</v>
      </c>
      <c r="R106" s="33"/>
      <c r="S106" s="25">
        <f t="shared" si="82"/>
        <v>8.1544168367705713E-2</v>
      </c>
      <c r="T106" s="25">
        <f t="shared" si="82"/>
        <v>8.9718143984277826E-2</v>
      </c>
      <c r="U106" s="25">
        <f t="shared" si="82"/>
        <v>0.12240136393821088</v>
      </c>
      <c r="V106" s="25">
        <f t="shared" si="82"/>
        <v>0.13519439630850177</v>
      </c>
      <c r="W106" s="33"/>
      <c r="Y106" s="59"/>
    </row>
    <row r="107" spans="2:25" s="23" customFormat="1" ht="15" customHeight="1" x14ac:dyDescent="0.3">
      <c r="B107" s="397" t="s">
        <v>45</v>
      </c>
      <c r="C107" s="398"/>
      <c r="D107" s="46"/>
      <c r="E107" s="46"/>
      <c r="F107" s="46"/>
      <c r="G107" s="45"/>
      <c r="H107" s="38"/>
      <c r="I107" s="37"/>
      <c r="J107" s="46"/>
      <c r="K107" s="46"/>
      <c r="L107" s="45"/>
      <c r="M107" s="38"/>
      <c r="N107" s="37"/>
      <c r="O107" s="46"/>
      <c r="P107" s="46"/>
      <c r="Q107" s="45"/>
      <c r="R107" s="38"/>
      <c r="S107" s="37"/>
      <c r="T107" s="46"/>
      <c r="U107" s="46"/>
      <c r="V107" s="45"/>
      <c r="W107" s="38"/>
      <c r="Y107" s="59"/>
    </row>
    <row r="108" spans="2:25" s="50" customFormat="1" ht="30" customHeight="1" outlineLevel="1" x14ac:dyDescent="0.3">
      <c r="B108" s="365" t="s">
        <v>204</v>
      </c>
      <c r="C108" s="366"/>
      <c r="D108" s="35">
        <v>-230</v>
      </c>
      <c r="E108" s="35">
        <v>-151</v>
      </c>
      <c r="F108" s="35">
        <v>175</v>
      </c>
      <c r="G108" s="35">
        <v>-162</v>
      </c>
      <c r="H108" s="26"/>
      <c r="I108" s="35">
        <v>-153</v>
      </c>
      <c r="J108" s="35">
        <v>145</v>
      </c>
      <c r="K108" s="35">
        <v>-227</v>
      </c>
      <c r="L108" s="35">
        <v>88</v>
      </c>
      <c r="M108" s="26"/>
      <c r="N108" s="35">
        <v>-255</v>
      </c>
      <c r="O108" s="35">
        <v>-234</v>
      </c>
      <c r="P108" s="35">
        <v>-56</v>
      </c>
      <c r="Q108" s="35">
        <v>193</v>
      </c>
      <c r="R108" s="26"/>
      <c r="S108" s="35"/>
      <c r="T108" s="35"/>
      <c r="U108" s="35"/>
      <c r="V108" s="35"/>
      <c r="W108" s="26"/>
      <c r="Y108" s="96"/>
    </row>
    <row r="109" spans="2:25" s="50" customFormat="1" ht="15" customHeight="1" outlineLevel="1" x14ac:dyDescent="0.3">
      <c r="B109" s="321" t="s">
        <v>205</v>
      </c>
      <c r="C109" s="322"/>
      <c r="D109" s="35">
        <v>942</v>
      </c>
      <c r="E109" s="35">
        <v>8</v>
      </c>
      <c r="F109" s="35">
        <v>647</v>
      </c>
      <c r="G109" s="35">
        <v>-192</v>
      </c>
      <c r="H109" s="26"/>
      <c r="I109" s="35">
        <v>-252</v>
      </c>
      <c r="J109" s="35">
        <v>-77</v>
      </c>
      <c r="K109" s="35">
        <v>-388</v>
      </c>
      <c r="L109" s="35">
        <v>-5</v>
      </c>
      <c r="M109" s="26"/>
      <c r="N109" s="35">
        <v>1</v>
      </c>
      <c r="O109" s="35">
        <v>-66</v>
      </c>
      <c r="P109" s="35">
        <v>-261</v>
      </c>
      <c r="Q109" s="35">
        <v>-155</v>
      </c>
      <c r="R109" s="26"/>
      <c r="S109" s="35"/>
      <c r="T109" s="35"/>
      <c r="U109" s="35"/>
      <c r="V109" s="35"/>
      <c r="W109" s="26"/>
      <c r="Y109" s="96"/>
    </row>
    <row r="110" spans="2:25" s="50" customFormat="1" ht="15" customHeight="1" outlineLevel="1" x14ac:dyDescent="0.3">
      <c r="B110" s="321" t="s">
        <v>206</v>
      </c>
      <c r="C110" s="322"/>
      <c r="D110" s="35">
        <v>-2</v>
      </c>
      <c r="E110" s="35">
        <v>-75</v>
      </c>
      <c r="F110" s="35">
        <v>-249</v>
      </c>
      <c r="G110" s="35">
        <v>-346</v>
      </c>
      <c r="H110" s="26"/>
      <c r="I110" s="35">
        <v>-2353</v>
      </c>
      <c r="J110" s="35">
        <v>-20</v>
      </c>
      <c r="K110" s="35">
        <f>-479-698</f>
        <v>-1177</v>
      </c>
      <c r="L110" s="35">
        <f>-761-93</f>
        <v>-854</v>
      </c>
      <c r="M110" s="26"/>
      <c r="N110" s="35">
        <v>-10</v>
      </c>
      <c r="O110" s="35">
        <v>-11</v>
      </c>
      <c r="P110" s="35">
        <v>-17</v>
      </c>
      <c r="Q110" s="35">
        <v>0</v>
      </c>
      <c r="R110" s="26"/>
      <c r="S110" s="35"/>
      <c r="T110" s="35"/>
      <c r="U110" s="35"/>
      <c r="V110" s="35"/>
      <c r="W110" s="26"/>
      <c r="Y110" s="96"/>
    </row>
    <row r="111" spans="2:25" s="50" customFormat="1" ht="15" customHeight="1" outlineLevel="1" x14ac:dyDescent="0.3">
      <c r="B111" s="361" t="s">
        <v>250</v>
      </c>
      <c r="C111" s="362"/>
      <c r="D111" s="35"/>
      <c r="E111" s="35"/>
      <c r="F111" s="35"/>
      <c r="G111" s="35"/>
      <c r="H111" s="26"/>
      <c r="I111" s="35"/>
      <c r="J111" s="35"/>
      <c r="K111" s="35"/>
      <c r="L111" s="35"/>
      <c r="M111" s="26"/>
      <c r="N111" s="35"/>
      <c r="O111" s="35"/>
      <c r="P111" s="35"/>
      <c r="Q111" s="35">
        <v>-101</v>
      </c>
      <c r="R111" s="26"/>
      <c r="S111" s="35"/>
      <c r="T111" s="35"/>
      <c r="U111" s="35"/>
      <c r="V111" s="35"/>
      <c r="W111" s="26"/>
      <c r="Y111" s="96"/>
    </row>
    <row r="112" spans="2:25" s="50" customFormat="1" ht="15" customHeight="1" outlineLevel="1" x14ac:dyDescent="0.3">
      <c r="B112" s="361" t="s">
        <v>251</v>
      </c>
      <c r="C112" s="362"/>
      <c r="D112" s="35"/>
      <c r="E112" s="35"/>
      <c r="F112" s="35"/>
      <c r="G112" s="35"/>
      <c r="H112" s="26"/>
      <c r="I112" s="35"/>
      <c r="J112" s="35"/>
      <c r="K112" s="35"/>
      <c r="L112" s="35"/>
      <c r="M112" s="26"/>
      <c r="N112" s="35"/>
      <c r="O112" s="35"/>
      <c r="P112" s="35"/>
      <c r="Q112" s="35">
        <v>-115</v>
      </c>
      <c r="R112" s="26"/>
      <c r="S112" s="35"/>
      <c r="T112" s="35"/>
      <c r="U112" s="35"/>
      <c r="V112" s="35"/>
      <c r="W112" s="26"/>
      <c r="Y112" s="96"/>
    </row>
    <row r="113" spans="2:25" s="50" customFormat="1" ht="15" customHeight="1" outlineLevel="1" x14ac:dyDescent="0.3">
      <c r="B113" s="321" t="s">
        <v>207</v>
      </c>
      <c r="C113" s="322"/>
      <c r="D113" s="35">
        <v>0</v>
      </c>
      <c r="E113" s="35">
        <v>0</v>
      </c>
      <c r="F113" s="35">
        <v>0</v>
      </c>
      <c r="G113" s="35">
        <v>0</v>
      </c>
      <c r="H113" s="26"/>
      <c r="I113" s="35">
        <v>0</v>
      </c>
      <c r="J113" s="35">
        <v>0</v>
      </c>
      <c r="K113" s="35">
        <v>0</v>
      </c>
      <c r="L113" s="35">
        <v>0</v>
      </c>
      <c r="M113" s="26"/>
      <c r="N113" s="35">
        <v>-128</v>
      </c>
      <c r="O113" s="35">
        <v>-30</v>
      </c>
      <c r="P113" s="35">
        <v>-71</v>
      </c>
      <c r="Q113" s="35">
        <v>-16</v>
      </c>
      <c r="R113" s="26"/>
      <c r="S113" s="35"/>
      <c r="T113" s="35"/>
      <c r="U113" s="35"/>
      <c r="V113" s="35"/>
      <c r="W113" s="26"/>
      <c r="Y113" s="96"/>
    </row>
    <row r="114" spans="2:25" s="50" customFormat="1" ht="15" customHeight="1" outlineLevel="1" x14ac:dyDescent="0.3">
      <c r="B114" s="321" t="s">
        <v>208</v>
      </c>
      <c r="C114" s="322"/>
      <c r="D114" s="35">
        <v>0</v>
      </c>
      <c r="E114" s="35">
        <v>0</v>
      </c>
      <c r="F114" s="35">
        <v>0</v>
      </c>
      <c r="G114" s="35">
        <v>0</v>
      </c>
      <c r="H114" s="26"/>
      <c r="I114" s="35">
        <v>0</v>
      </c>
      <c r="J114" s="35">
        <v>0</v>
      </c>
      <c r="K114" s="35">
        <v>0</v>
      </c>
      <c r="L114" s="35">
        <v>0</v>
      </c>
      <c r="M114" s="26"/>
      <c r="N114" s="35">
        <v>0</v>
      </c>
      <c r="O114" s="35">
        <v>-78</v>
      </c>
      <c r="P114" s="35"/>
      <c r="Q114" s="35">
        <v>-20</v>
      </c>
      <c r="R114" s="26"/>
      <c r="S114" s="35"/>
      <c r="T114" s="35"/>
      <c r="U114" s="35"/>
      <c r="V114" s="35"/>
      <c r="W114" s="26"/>
      <c r="Y114" s="96"/>
    </row>
    <row r="115" spans="2:25" s="50" customFormat="1" ht="15" customHeight="1" outlineLevel="1" x14ac:dyDescent="0.3">
      <c r="B115" s="3" t="s">
        <v>220</v>
      </c>
      <c r="C115" s="322"/>
      <c r="D115" s="35">
        <v>0</v>
      </c>
      <c r="E115" s="35">
        <v>0</v>
      </c>
      <c r="F115" s="35">
        <v>0</v>
      </c>
      <c r="G115" s="35">
        <v>0</v>
      </c>
      <c r="H115" s="26"/>
      <c r="I115" s="35">
        <v>-50</v>
      </c>
      <c r="J115" s="35">
        <v>0</v>
      </c>
      <c r="K115" s="35">
        <v>0</v>
      </c>
      <c r="L115" s="35">
        <v>0</v>
      </c>
      <c r="M115" s="26"/>
      <c r="N115" s="35">
        <v>0</v>
      </c>
      <c r="O115" s="35">
        <v>0</v>
      </c>
      <c r="P115" s="35"/>
      <c r="Q115" s="35">
        <v>-32</v>
      </c>
      <c r="R115" s="26"/>
      <c r="S115" s="35"/>
      <c r="T115" s="35"/>
      <c r="U115" s="35"/>
      <c r="V115" s="35"/>
      <c r="W115" s="26"/>
      <c r="Y115" s="96"/>
    </row>
    <row r="116" spans="2:25" s="50" customFormat="1" ht="15" customHeight="1" outlineLevel="1" x14ac:dyDescent="0.3">
      <c r="B116" s="321" t="s">
        <v>209</v>
      </c>
      <c r="C116" s="322"/>
      <c r="D116" s="35">
        <v>0</v>
      </c>
      <c r="E116" s="35">
        <v>0</v>
      </c>
      <c r="F116" s="35">
        <v>-14</v>
      </c>
      <c r="G116" s="35">
        <v>0</v>
      </c>
      <c r="H116" s="26"/>
      <c r="I116" s="35">
        <v>-14</v>
      </c>
      <c r="J116" s="35">
        <v>0</v>
      </c>
      <c r="K116" s="35">
        <v>0</v>
      </c>
      <c r="L116" s="35">
        <v>0</v>
      </c>
      <c r="M116" s="26"/>
      <c r="N116" s="35">
        <v>0</v>
      </c>
      <c r="O116" s="35">
        <v>35</v>
      </c>
      <c r="P116" s="35"/>
      <c r="Q116" s="35"/>
      <c r="R116" s="26"/>
      <c r="S116" s="35"/>
      <c r="T116" s="35"/>
      <c r="U116" s="35"/>
      <c r="V116" s="35"/>
      <c r="W116" s="26"/>
      <c r="Y116" s="96"/>
    </row>
    <row r="117" spans="2:25" s="50" customFormat="1" ht="15" customHeight="1" outlineLevel="1" x14ac:dyDescent="0.3">
      <c r="B117" s="321" t="s">
        <v>228</v>
      </c>
      <c r="C117" s="322"/>
      <c r="D117" s="35">
        <v>0</v>
      </c>
      <c r="E117" s="35">
        <v>-90</v>
      </c>
      <c r="F117" s="35">
        <v>0</v>
      </c>
      <c r="G117" s="35">
        <v>0</v>
      </c>
      <c r="H117" s="26"/>
      <c r="I117" s="35">
        <v>0</v>
      </c>
      <c r="J117" s="35">
        <v>0</v>
      </c>
      <c r="K117" s="35">
        <v>0</v>
      </c>
      <c r="L117" s="35">
        <v>-70</v>
      </c>
      <c r="M117" s="26"/>
      <c r="N117" s="35">
        <v>0</v>
      </c>
      <c r="O117" s="35">
        <v>0</v>
      </c>
      <c r="P117" s="35"/>
      <c r="Q117" s="35"/>
      <c r="R117" s="26"/>
      <c r="S117" s="35"/>
      <c r="T117" s="35"/>
      <c r="U117" s="35"/>
      <c r="V117" s="35"/>
      <c r="W117" s="26"/>
      <c r="Y117" s="96"/>
    </row>
    <row r="118" spans="2:25" s="50" customFormat="1" ht="15" customHeight="1" outlineLevel="1" x14ac:dyDescent="0.3">
      <c r="B118" s="321" t="s">
        <v>229</v>
      </c>
      <c r="C118" s="322"/>
      <c r="D118" s="35">
        <v>0</v>
      </c>
      <c r="E118" s="35">
        <v>0</v>
      </c>
      <c r="F118" s="35">
        <v>0</v>
      </c>
      <c r="G118" s="35">
        <v>0</v>
      </c>
      <c r="H118" s="26"/>
      <c r="I118" s="35">
        <v>0</v>
      </c>
      <c r="J118" s="35">
        <v>0</v>
      </c>
      <c r="K118" s="35">
        <v>0</v>
      </c>
      <c r="L118" s="35">
        <v>-47</v>
      </c>
      <c r="M118" s="26"/>
      <c r="N118" s="35">
        <v>0</v>
      </c>
      <c r="O118" s="35">
        <v>0</v>
      </c>
      <c r="P118" s="35"/>
      <c r="Q118" s="35"/>
      <c r="R118" s="26"/>
      <c r="S118" s="35"/>
      <c r="T118" s="35"/>
      <c r="U118" s="35"/>
      <c r="V118" s="35"/>
      <c r="W118" s="26"/>
      <c r="Y118" s="96"/>
    </row>
    <row r="119" spans="2:25" s="50" customFormat="1" ht="15" customHeight="1" outlineLevel="1" x14ac:dyDescent="0.3">
      <c r="B119" s="321" t="s">
        <v>230</v>
      </c>
      <c r="C119" s="322"/>
      <c r="D119" s="35">
        <v>0</v>
      </c>
      <c r="E119" s="35">
        <v>0</v>
      </c>
      <c r="F119" s="35">
        <v>0</v>
      </c>
      <c r="G119" s="35">
        <v>-38</v>
      </c>
      <c r="H119" s="26"/>
      <c r="I119" s="35">
        <v>0</v>
      </c>
      <c r="J119" s="35">
        <v>0</v>
      </c>
      <c r="K119" s="35">
        <v>-22</v>
      </c>
      <c r="L119" s="35">
        <v>-25</v>
      </c>
      <c r="M119" s="26"/>
      <c r="N119" s="35">
        <v>0</v>
      </c>
      <c r="O119" s="35">
        <v>0</v>
      </c>
      <c r="P119" s="35"/>
      <c r="Q119" s="35"/>
      <c r="R119" s="26"/>
      <c r="S119" s="35"/>
      <c r="T119" s="35"/>
      <c r="U119" s="35"/>
      <c r="V119" s="35"/>
      <c r="W119" s="26"/>
      <c r="Y119" s="96"/>
    </row>
    <row r="120" spans="2:25" s="50" customFormat="1" ht="15" customHeight="1" outlineLevel="1" x14ac:dyDescent="0.3">
      <c r="B120" s="321" t="s">
        <v>231</v>
      </c>
      <c r="C120" s="322"/>
      <c r="D120" s="35">
        <v>0</v>
      </c>
      <c r="E120" s="35">
        <v>0</v>
      </c>
      <c r="F120" s="35">
        <v>0</v>
      </c>
      <c r="G120" s="35">
        <v>0</v>
      </c>
      <c r="H120" s="26"/>
      <c r="I120" s="35">
        <v>0</v>
      </c>
      <c r="J120" s="35">
        <v>0</v>
      </c>
      <c r="K120" s="35">
        <v>0</v>
      </c>
      <c r="L120" s="35">
        <v>-18</v>
      </c>
      <c r="M120" s="26"/>
      <c r="N120" s="35">
        <v>0</v>
      </c>
      <c r="O120" s="35">
        <v>0</v>
      </c>
      <c r="P120" s="35"/>
      <c r="Q120" s="35">
        <v>13</v>
      </c>
      <c r="R120" s="26"/>
      <c r="S120" s="35"/>
      <c r="T120" s="35"/>
      <c r="U120" s="35"/>
      <c r="V120" s="35"/>
      <c r="W120" s="26"/>
      <c r="Y120" s="96"/>
    </row>
    <row r="121" spans="2:25" s="50" customFormat="1" ht="15" customHeight="1" outlineLevel="1" x14ac:dyDescent="0.3">
      <c r="B121" s="321" t="s">
        <v>234</v>
      </c>
      <c r="C121" s="322"/>
      <c r="D121" s="35">
        <v>0</v>
      </c>
      <c r="E121" s="35">
        <v>0</v>
      </c>
      <c r="F121" s="35">
        <v>0</v>
      </c>
      <c r="G121" s="35">
        <v>80</v>
      </c>
      <c r="H121" s="26"/>
      <c r="I121" s="35">
        <v>0</v>
      </c>
      <c r="J121" s="35">
        <v>0</v>
      </c>
      <c r="K121" s="35">
        <v>0</v>
      </c>
      <c r="L121" s="35">
        <v>0</v>
      </c>
      <c r="M121" s="26"/>
      <c r="N121" s="35">
        <v>0</v>
      </c>
      <c r="O121" s="35">
        <v>0</v>
      </c>
      <c r="P121" s="35"/>
      <c r="Q121" s="35"/>
      <c r="R121" s="26"/>
      <c r="S121" s="35"/>
      <c r="T121" s="35"/>
      <c r="U121" s="35"/>
      <c r="V121" s="35"/>
      <c r="W121" s="26"/>
      <c r="Y121" s="96"/>
    </row>
    <row r="122" spans="2:25" s="50" customFormat="1" ht="15" customHeight="1" outlineLevel="1" x14ac:dyDescent="0.3">
      <c r="B122" s="321" t="s">
        <v>233</v>
      </c>
      <c r="C122" s="322"/>
      <c r="D122" s="35">
        <v>0</v>
      </c>
      <c r="E122" s="35">
        <v>0</v>
      </c>
      <c r="F122" s="35">
        <v>0</v>
      </c>
      <c r="G122" s="35">
        <v>32</v>
      </c>
      <c r="H122" s="26"/>
      <c r="I122" s="35">
        <v>0</v>
      </c>
      <c r="J122" s="35">
        <v>0</v>
      </c>
      <c r="K122" s="35">
        <v>0</v>
      </c>
      <c r="L122" s="35">
        <v>0</v>
      </c>
      <c r="M122" s="26"/>
      <c r="N122" s="35">
        <v>0</v>
      </c>
      <c r="O122" s="35">
        <v>0</v>
      </c>
      <c r="P122" s="35"/>
      <c r="Q122" s="35"/>
      <c r="R122" s="26"/>
      <c r="S122" s="35"/>
      <c r="T122" s="35"/>
      <c r="U122" s="35"/>
      <c r="V122" s="35"/>
      <c r="W122" s="26"/>
      <c r="Y122" s="96"/>
    </row>
    <row r="123" spans="2:25" s="50" customFormat="1" ht="15" customHeight="1" outlineLevel="1" x14ac:dyDescent="0.3">
      <c r="B123" s="321" t="s">
        <v>232</v>
      </c>
      <c r="C123" s="322"/>
      <c r="D123" s="35">
        <v>0</v>
      </c>
      <c r="E123" s="35">
        <v>0</v>
      </c>
      <c r="F123" s="35">
        <v>0</v>
      </c>
      <c r="G123" s="35">
        <v>0</v>
      </c>
      <c r="H123" s="26"/>
      <c r="I123" s="35">
        <v>0</v>
      </c>
      <c r="J123" s="35">
        <v>0</v>
      </c>
      <c r="K123" s="35">
        <v>-35</v>
      </c>
      <c r="L123" s="35">
        <v>-10</v>
      </c>
      <c r="M123" s="26"/>
      <c r="N123" s="35">
        <v>0</v>
      </c>
      <c r="O123" s="35">
        <v>0</v>
      </c>
      <c r="P123" s="35"/>
      <c r="Q123" s="35"/>
      <c r="R123" s="26"/>
      <c r="S123" s="35"/>
      <c r="T123" s="35"/>
      <c r="U123" s="35"/>
      <c r="V123" s="35"/>
      <c r="W123" s="26"/>
      <c r="Y123" s="96"/>
    </row>
    <row r="124" spans="2:25" s="50" customFormat="1" ht="15" customHeight="1" outlineLevel="1" x14ac:dyDescent="0.3">
      <c r="B124" s="3" t="s">
        <v>221</v>
      </c>
      <c r="C124" s="322"/>
      <c r="D124" s="35">
        <v>-4018</v>
      </c>
      <c r="E124" s="35">
        <v>-19</v>
      </c>
      <c r="F124" s="35">
        <v>-12</v>
      </c>
      <c r="G124" s="35">
        <v>-14</v>
      </c>
      <c r="H124" s="26"/>
      <c r="I124" s="35">
        <v>-3</v>
      </c>
      <c r="J124" s="35">
        <v>0</v>
      </c>
      <c r="K124" s="35">
        <v>0</v>
      </c>
      <c r="L124" s="35">
        <v>0</v>
      </c>
      <c r="M124" s="26"/>
      <c r="N124" s="35">
        <v>0</v>
      </c>
      <c r="O124" s="35">
        <v>0</v>
      </c>
      <c r="P124" s="35"/>
      <c r="Q124" s="35"/>
      <c r="R124" s="26"/>
      <c r="S124" s="35"/>
      <c r="T124" s="35"/>
      <c r="U124" s="35"/>
      <c r="V124" s="35"/>
      <c r="W124" s="26"/>
      <c r="Y124" s="96"/>
    </row>
    <row r="125" spans="2:25" s="50" customFormat="1" ht="15" customHeight="1" outlineLevel="1" x14ac:dyDescent="0.3">
      <c r="B125" s="3" t="s">
        <v>246</v>
      </c>
      <c r="C125" s="322"/>
      <c r="D125" s="35"/>
      <c r="E125" s="35"/>
      <c r="F125" s="35"/>
      <c r="G125" s="35"/>
      <c r="H125" s="26"/>
      <c r="I125" s="35"/>
      <c r="J125" s="35"/>
      <c r="K125" s="35"/>
      <c r="L125" s="35"/>
      <c r="M125" s="26"/>
      <c r="N125" s="35"/>
      <c r="O125" s="35"/>
      <c r="P125" s="35">
        <v>25</v>
      </c>
      <c r="Q125" s="35"/>
      <c r="R125" s="26"/>
      <c r="S125" s="35"/>
      <c r="T125" s="35"/>
      <c r="U125" s="35"/>
      <c r="V125" s="35"/>
      <c r="W125" s="26"/>
      <c r="Y125" s="96"/>
    </row>
    <row r="126" spans="2:25" s="50" customFormat="1" ht="15" customHeight="1" outlineLevel="1" x14ac:dyDescent="0.45">
      <c r="B126" s="321" t="s">
        <v>210</v>
      </c>
      <c r="C126" s="322"/>
      <c r="D126" s="246">
        <v>0</v>
      </c>
      <c r="E126" s="246">
        <v>-115</v>
      </c>
      <c r="F126" s="246">
        <v>-60</v>
      </c>
      <c r="G126" s="246">
        <v>58</v>
      </c>
      <c r="H126" s="247"/>
      <c r="I126" s="246">
        <v>-78</v>
      </c>
      <c r="J126" s="246">
        <v>9</v>
      </c>
      <c r="K126" s="246">
        <v>-28</v>
      </c>
      <c r="L126" s="246">
        <v>-13</v>
      </c>
      <c r="M126" s="247"/>
      <c r="N126" s="246">
        <v>-73</v>
      </c>
      <c r="O126" s="246">
        <v>-4</v>
      </c>
      <c r="P126" s="246">
        <v>9</v>
      </c>
      <c r="Q126" s="246">
        <v>-10</v>
      </c>
      <c r="R126" s="247"/>
      <c r="S126" s="246">
        <v>0</v>
      </c>
      <c r="T126" s="246">
        <v>0</v>
      </c>
      <c r="U126" s="246">
        <v>0</v>
      </c>
      <c r="V126" s="246">
        <v>0</v>
      </c>
      <c r="W126" s="247"/>
      <c r="Y126" s="96"/>
    </row>
    <row r="127" spans="2:25" s="49" customFormat="1" ht="15" customHeight="1" outlineLevel="1" x14ac:dyDescent="0.45">
      <c r="B127" s="327" t="s">
        <v>222</v>
      </c>
      <c r="C127" s="328"/>
      <c r="D127" s="250">
        <f>SUM(D108:D126)</f>
        <v>-3308</v>
      </c>
      <c r="E127" s="250">
        <f>SUM(E108:E126)</f>
        <v>-442</v>
      </c>
      <c r="F127" s="250">
        <f>SUM(F108:F126)</f>
        <v>487</v>
      </c>
      <c r="G127" s="250">
        <f>SUM(G108:G126)</f>
        <v>-582</v>
      </c>
      <c r="H127" s="32"/>
      <c r="I127" s="250">
        <f>SUM(I108:I126)</f>
        <v>-2903</v>
      </c>
      <c r="J127" s="250">
        <f>SUM(J108:J126)</f>
        <v>57</v>
      </c>
      <c r="K127" s="250">
        <f>SUM(K108:K126)</f>
        <v>-1877</v>
      </c>
      <c r="L127" s="250">
        <f>SUM(L108:L126)</f>
        <v>-954</v>
      </c>
      <c r="M127" s="32"/>
      <c r="N127" s="250">
        <f>SUM(N108:N126)</f>
        <v>-465</v>
      </c>
      <c r="O127" s="250">
        <f>SUM(O108:O126)</f>
        <v>-388</v>
      </c>
      <c r="P127" s="250">
        <f>SUM(P108:P126)</f>
        <v>-371</v>
      </c>
      <c r="Q127" s="250">
        <f>SUM(Q108:Q126)</f>
        <v>-243</v>
      </c>
      <c r="R127" s="32"/>
      <c r="S127" s="309">
        <v>-10</v>
      </c>
      <c r="T127" s="309">
        <v>-20</v>
      </c>
      <c r="U127" s="309">
        <v>-15</v>
      </c>
      <c r="V127" s="309">
        <v>-15</v>
      </c>
      <c r="W127" s="32"/>
      <c r="Y127" s="59"/>
    </row>
    <row r="128" spans="2:25" s="49" customFormat="1" ht="15" customHeight="1" outlineLevel="1" x14ac:dyDescent="0.3">
      <c r="B128" s="213" t="s">
        <v>227</v>
      </c>
      <c r="C128" s="328"/>
      <c r="D128" s="248"/>
      <c r="E128" s="248"/>
      <c r="F128" s="248"/>
      <c r="G128" s="248"/>
      <c r="H128" s="249"/>
      <c r="I128" s="248"/>
      <c r="J128" s="248"/>
      <c r="K128" s="248"/>
      <c r="L128" s="248"/>
      <c r="M128" s="249"/>
      <c r="N128" s="248"/>
      <c r="O128" s="248"/>
      <c r="P128" s="248"/>
      <c r="Q128" s="248"/>
      <c r="R128" s="249"/>
      <c r="S128" s="248"/>
      <c r="T128" s="248"/>
      <c r="U128" s="248"/>
      <c r="V128" s="248"/>
      <c r="W128" s="249"/>
      <c r="Y128" s="59"/>
    </row>
    <row r="129" spans="2:38" s="49" customFormat="1" ht="15" customHeight="1" outlineLevel="1" x14ac:dyDescent="0.3">
      <c r="B129" s="321" t="s">
        <v>223</v>
      </c>
      <c r="C129" s="328"/>
      <c r="D129" s="35">
        <f>D165+D161</f>
        <v>13569</v>
      </c>
      <c r="E129" s="35">
        <f>E165+E161</f>
        <v>13414</v>
      </c>
      <c r="F129" s="35">
        <f t="shared" ref="F129:G129" si="83">F165+F161</f>
        <v>14728</v>
      </c>
      <c r="G129" s="35">
        <f t="shared" si="83"/>
        <v>15092</v>
      </c>
      <c r="H129" s="26"/>
      <c r="I129" s="35">
        <f>I165+I161</f>
        <v>16865</v>
      </c>
      <c r="J129" s="35">
        <f>J165+J161</f>
        <v>16058</v>
      </c>
      <c r="K129" s="35">
        <f t="shared" ref="K129:L129" si="84">K165+K161</f>
        <v>15925</v>
      </c>
      <c r="L129" s="35">
        <f t="shared" si="84"/>
        <v>15668</v>
      </c>
      <c r="M129" s="26"/>
      <c r="N129" s="35">
        <f>N165+N161</f>
        <v>18751</v>
      </c>
      <c r="O129" s="35">
        <f>O165+O161</f>
        <v>15673</v>
      </c>
      <c r="P129" s="35">
        <v>15878</v>
      </c>
      <c r="Q129" s="35">
        <v>15323</v>
      </c>
      <c r="R129" s="26"/>
      <c r="S129" s="35"/>
      <c r="T129" s="35"/>
      <c r="U129" s="35"/>
      <c r="V129" s="35"/>
      <c r="W129" s="26"/>
      <c r="Y129" s="59"/>
    </row>
    <row r="130" spans="2:38" s="49" customFormat="1" ht="15" customHeight="1" outlineLevel="1" x14ac:dyDescent="0.3">
      <c r="B130" s="321" t="s">
        <v>224</v>
      </c>
      <c r="C130" s="328"/>
      <c r="D130" s="35">
        <f>D142</f>
        <v>5924</v>
      </c>
      <c r="E130" s="35">
        <f>E142</f>
        <v>5365</v>
      </c>
      <c r="F130" s="35">
        <f t="shared" ref="F130:G130" si="85">F142</f>
        <v>8335</v>
      </c>
      <c r="G130" s="35">
        <f t="shared" si="85"/>
        <v>7369</v>
      </c>
      <c r="H130" s="26"/>
      <c r="I130" s="35">
        <f>I142</f>
        <v>2308</v>
      </c>
      <c r="J130" s="35">
        <f>J142</f>
        <v>2173</v>
      </c>
      <c r="K130" s="35">
        <f t="shared" ref="K130:L130" si="86">K142</f>
        <v>2072</v>
      </c>
      <c r="L130" s="35">
        <f t="shared" si="86"/>
        <v>939</v>
      </c>
      <c r="M130" s="26"/>
      <c r="N130" s="35">
        <f>N142</f>
        <v>2947</v>
      </c>
      <c r="O130" s="35">
        <f>O142</f>
        <v>1394</v>
      </c>
      <c r="P130" s="35">
        <v>3980</v>
      </c>
      <c r="Q130" s="35">
        <v>3184</v>
      </c>
      <c r="R130" s="26"/>
      <c r="S130" s="35"/>
      <c r="T130" s="35"/>
      <c r="U130" s="35"/>
      <c r="V130" s="35"/>
      <c r="W130" s="26"/>
      <c r="Y130" s="59"/>
    </row>
    <row r="131" spans="2:38" s="49" customFormat="1" ht="15" customHeight="1" outlineLevel="1" x14ac:dyDescent="0.3">
      <c r="B131" s="321" t="s">
        <v>225</v>
      </c>
      <c r="C131" s="328"/>
      <c r="D131" s="35">
        <f>D129-D130</f>
        <v>7645</v>
      </c>
      <c r="E131" s="35">
        <f>E129-E130</f>
        <v>8049</v>
      </c>
      <c r="F131" s="35">
        <f t="shared" ref="F131" si="87">F129-F130</f>
        <v>6393</v>
      </c>
      <c r="G131" s="35">
        <f t="shared" ref="G131" si="88">G129-G130</f>
        <v>7723</v>
      </c>
      <c r="H131" s="26"/>
      <c r="I131" s="35">
        <f>I129-I130</f>
        <v>14557</v>
      </c>
      <c r="J131" s="35">
        <f>J129-J130</f>
        <v>13885</v>
      </c>
      <c r="K131" s="35">
        <f t="shared" ref="K131:L131" si="89">K129-K130</f>
        <v>13853</v>
      </c>
      <c r="L131" s="35">
        <f t="shared" si="89"/>
        <v>14729</v>
      </c>
      <c r="M131" s="26"/>
      <c r="N131" s="35">
        <f>N129-N130</f>
        <v>15804</v>
      </c>
      <c r="O131" s="35">
        <f>O129-O130</f>
        <v>14279</v>
      </c>
      <c r="P131" s="35">
        <f>P129-P130</f>
        <v>11898</v>
      </c>
      <c r="Q131" s="35">
        <f>Q129-Q130</f>
        <v>12139</v>
      </c>
      <c r="R131" s="26"/>
      <c r="S131" s="35"/>
      <c r="T131" s="35"/>
      <c r="U131" s="35"/>
      <c r="V131" s="35"/>
      <c r="W131" s="26"/>
      <c r="Y131" s="59"/>
    </row>
    <row r="132" spans="2:38" s="49" customFormat="1" ht="15" customHeight="1" outlineLevel="1" x14ac:dyDescent="0.45">
      <c r="B132" s="321" t="s">
        <v>138</v>
      </c>
      <c r="C132" s="328"/>
      <c r="D132" s="246">
        <f>D179</f>
        <v>20917</v>
      </c>
      <c r="E132" s="246">
        <f>E179</f>
        <v>21172</v>
      </c>
      <c r="F132" s="246">
        <f t="shared" ref="F132:G132" si="90">F179</f>
        <v>22563</v>
      </c>
      <c r="G132" s="246">
        <f t="shared" si="90"/>
        <v>22318</v>
      </c>
      <c r="H132" s="247"/>
      <c r="I132" s="246">
        <f>I179</f>
        <v>18934</v>
      </c>
      <c r="J132" s="246">
        <f>J179</f>
        <v>19359</v>
      </c>
      <c r="K132" s="246">
        <f t="shared" ref="K132:L132" si="91">K179</f>
        <v>17052</v>
      </c>
      <c r="L132" s="246">
        <f t="shared" si="91"/>
        <v>15457</v>
      </c>
      <c r="M132" s="247"/>
      <c r="N132" s="246">
        <f>N179</f>
        <v>14701</v>
      </c>
      <c r="O132" s="246">
        <f>O179</f>
        <v>14600</v>
      </c>
      <c r="P132" s="246">
        <f>15912</f>
        <v>15912</v>
      </c>
      <c r="Q132" s="246">
        <v>15497</v>
      </c>
      <c r="R132" s="247"/>
      <c r="S132" s="246"/>
      <c r="T132" s="246"/>
      <c r="U132" s="246"/>
      <c r="V132" s="246"/>
      <c r="W132" s="247"/>
      <c r="Y132" s="59"/>
    </row>
    <row r="133" spans="2:38" s="49" customFormat="1" ht="15" customHeight="1" outlineLevel="1" x14ac:dyDescent="0.45">
      <c r="B133" s="251" t="s">
        <v>226</v>
      </c>
      <c r="C133" s="252"/>
      <c r="D133" s="254">
        <f>D131+D132</f>
        <v>28562</v>
      </c>
      <c r="E133" s="254">
        <f>E131+E132</f>
        <v>29221</v>
      </c>
      <c r="F133" s="254">
        <f t="shared" ref="F133" si="92">F131+F132</f>
        <v>28956</v>
      </c>
      <c r="G133" s="255">
        <f t="shared" ref="G133" si="93">G131+G132</f>
        <v>30041</v>
      </c>
      <c r="H133" s="259"/>
      <c r="I133" s="262">
        <f>I131+I132</f>
        <v>33491</v>
      </c>
      <c r="J133" s="261">
        <f>J131+J132</f>
        <v>33244</v>
      </c>
      <c r="K133" s="261">
        <f t="shared" ref="K133:L133" si="94">K131+K132</f>
        <v>30905</v>
      </c>
      <c r="L133" s="260">
        <f t="shared" si="94"/>
        <v>30186</v>
      </c>
      <c r="M133" s="259"/>
      <c r="N133" s="250">
        <f>N131+N132</f>
        <v>30505</v>
      </c>
      <c r="O133" s="254">
        <f>O131+O132</f>
        <v>28879</v>
      </c>
      <c r="P133" s="254">
        <f>P131+P132</f>
        <v>27810</v>
      </c>
      <c r="Q133" s="254">
        <f>Q131+Q132</f>
        <v>27636</v>
      </c>
      <c r="R133" s="256"/>
      <c r="S133" s="253"/>
      <c r="T133" s="254"/>
      <c r="U133" s="261"/>
      <c r="V133" s="255"/>
      <c r="W133" s="259"/>
      <c r="Y133" s="59"/>
    </row>
    <row r="134" spans="2:38" s="49" customFormat="1" ht="15" customHeight="1" outlineLevel="1" x14ac:dyDescent="0.45">
      <c r="B134" s="241"/>
      <c r="C134" s="244"/>
      <c r="D134" s="250"/>
      <c r="E134" s="250"/>
      <c r="F134" s="250"/>
      <c r="G134" s="250"/>
      <c r="H134" s="32"/>
      <c r="I134" s="250"/>
      <c r="J134" s="250"/>
      <c r="K134" s="250"/>
      <c r="L134" s="250"/>
      <c r="M134" s="32"/>
      <c r="N134" s="250"/>
      <c r="O134" s="250"/>
      <c r="P134" s="250"/>
      <c r="Q134" s="250"/>
      <c r="R134" s="32"/>
      <c r="S134" s="250"/>
      <c r="T134" s="250"/>
      <c r="U134" s="250"/>
      <c r="V134" s="250"/>
      <c r="W134" s="32"/>
      <c r="Y134" s="59"/>
    </row>
    <row r="135" spans="2:38" s="49" customFormat="1" ht="15" customHeight="1" outlineLevel="1" x14ac:dyDescent="0.45">
      <c r="B135" s="241" t="s">
        <v>235</v>
      </c>
      <c r="C135" s="244"/>
      <c r="D135" s="263">
        <f>D38+D21+D16+D24+D26+D31+D33+D32+D34+D41+D35</f>
        <v>5950</v>
      </c>
      <c r="E135" s="263">
        <f>E38+E21+E16+E24+E26+E31+E33+E32+E34+E41+E35</f>
        <v>2969</v>
      </c>
      <c r="F135" s="263">
        <f>F38+F21+F16+F24+F26+F31+F33+F32+F34+F41+F35</f>
        <v>4294</v>
      </c>
      <c r="G135" s="264">
        <f>G38+G21+G16+G24+G26+G31+G33+G32+G34+G41+G35</f>
        <v>1497</v>
      </c>
      <c r="H135" s="32"/>
      <c r="I135" s="263">
        <f>I38+I21+I16+I24+I26+I31+I33+I32+I34+I41+I35</f>
        <v>682</v>
      </c>
      <c r="J135" s="263">
        <f>J38+J21+J16+J24+J26+J31+J33+J32+J34+J41+J35</f>
        <v>1483</v>
      </c>
      <c r="K135" s="263">
        <f>K38+K21+K16+K24+K26+K31+K33+K32+K34+K41+K35</f>
        <v>-73</v>
      </c>
      <c r="L135" s="263">
        <f>L38+L21+L16+L24+L26+L31+L33+L32+L34+L41+L35</f>
        <v>513</v>
      </c>
      <c r="M135" s="32"/>
      <c r="N135" s="263">
        <f>N38+N21+N16+N24+N26+N31+N33+N32+N34+N41+N35</f>
        <v>503</v>
      </c>
      <c r="O135" s="263">
        <f>O38+O21+O16+O24+O26+O31+O33+O32+O34+O41+O35</f>
        <v>757</v>
      </c>
      <c r="P135" s="263">
        <f>P38+P21+P16+P24+P26+P31+P33+P32+P34+P41+P35</f>
        <v>332</v>
      </c>
      <c r="Q135" s="263">
        <f>Q38+Q21+Q16+Q24+Q26+Q31+Q33+Q32+Q34+Q41+Q35</f>
        <v>968</v>
      </c>
      <c r="R135" s="32"/>
      <c r="S135" s="263">
        <f>S38+S21+S16+S24+S26+S31+S33+S32+S34+S41+S35</f>
        <v>1661.9035999999965</v>
      </c>
      <c r="T135" s="263">
        <f>T38+T21+T16+T24+T26+T31+T33+T32+T34+T41+T35</f>
        <v>1563.6940999999988</v>
      </c>
      <c r="U135" s="263">
        <f>U38+U21+U16+U24+U26+U31+U33+U32+U34+U41+U35</f>
        <v>1723.4931750000007</v>
      </c>
      <c r="V135" s="263">
        <f>V38+V21+V16+V24+V26+V31+V33+V32+V34+V41+V35</f>
        <v>1921.4129662499993</v>
      </c>
      <c r="W135" s="32"/>
      <c r="Y135" s="59"/>
    </row>
    <row r="136" spans="2:38" s="49" customFormat="1" ht="15" customHeight="1" outlineLevel="1" x14ac:dyDescent="0.3">
      <c r="B136" s="76" t="s">
        <v>236</v>
      </c>
      <c r="C136" s="77"/>
      <c r="D136" s="47">
        <f>D135/SUM(D12:D15)</f>
        <v>1.3715998155832181</v>
      </c>
      <c r="E136" s="47">
        <f>E135/SUM(E12:E15)</f>
        <v>0.67708095781071831</v>
      </c>
      <c r="F136" s="47">
        <f>F135/SUM(F12:F15)</f>
        <v>1.015130023640662</v>
      </c>
      <c r="G136" s="265">
        <f>G135/SUM(G12:G15)</f>
        <v>0.43746347165400351</v>
      </c>
      <c r="H136" s="266"/>
      <c r="I136" s="47">
        <f>I135/SUM(I12:I15)</f>
        <v>0.26382978723404255</v>
      </c>
      <c r="J136" s="47">
        <f>J135/SUM(J12:J15)</f>
        <v>0.56238149412210847</v>
      </c>
      <c r="K136" s="47">
        <f>K135/SUM(K12:K15)</f>
        <v>-3.2735426008968609E-2</v>
      </c>
      <c r="L136" s="47">
        <f>L135/SUM(L12:L15)</f>
        <v>0.25221238938053098</v>
      </c>
      <c r="M136" s="71"/>
      <c r="N136" s="47">
        <f>N135/SUM(N12:N15)</f>
        <v>0.30783353733170132</v>
      </c>
      <c r="O136" s="47">
        <f>O135/SUM(O12:O15)</f>
        <v>0.38136020151133504</v>
      </c>
      <c r="P136" s="47">
        <f>P135/SUM(P12:P15)</f>
        <v>0.14749000444247001</v>
      </c>
      <c r="Q136" s="47">
        <f>Q135/SUM(Q12:Q15)</f>
        <v>0.37563057819169576</v>
      </c>
      <c r="R136" s="71"/>
      <c r="S136" s="47">
        <f>S135/SUM(S12:S15)</f>
        <v>0.58606157529934944</v>
      </c>
      <c r="T136" s="47">
        <f>T135/SUM(T12:T15)</f>
        <v>0.55072983336635128</v>
      </c>
      <c r="U136" s="47">
        <f>U135/SUM(U12:U15)</f>
        <v>0.59098336858716549</v>
      </c>
      <c r="V136" s="47">
        <f>V135/SUM(V12:V15)</f>
        <v>0.65829546102531078</v>
      </c>
      <c r="W136" s="71"/>
      <c r="Y136" s="59"/>
    </row>
    <row r="137" spans="2:38" s="49" customFormat="1" ht="15" customHeight="1" x14ac:dyDescent="0.3">
      <c r="B137" s="20"/>
      <c r="C137" s="98"/>
      <c r="D137" s="35"/>
      <c r="E137" s="35"/>
      <c r="F137" s="35"/>
      <c r="G137" s="35"/>
      <c r="H137" s="35"/>
      <c r="I137" s="35"/>
      <c r="J137" s="35"/>
      <c r="K137" s="35"/>
      <c r="L137" s="35"/>
      <c r="M137" s="35"/>
      <c r="N137" s="35"/>
      <c r="O137" s="35"/>
      <c r="P137" s="35"/>
      <c r="Q137" s="35"/>
      <c r="R137" s="35"/>
      <c r="S137" s="35"/>
      <c r="T137" s="35"/>
      <c r="U137" s="35"/>
      <c r="V137" s="35"/>
      <c r="W137" s="35"/>
      <c r="X137" s="64"/>
    </row>
    <row r="138" spans="2:38" s="49" customFormat="1" ht="15.6" x14ac:dyDescent="0.3">
      <c r="B138" s="381" t="s">
        <v>57</v>
      </c>
      <c r="C138" s="382"/>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row>
    <row r="139" spans="2:38" s="49" customFormat="1" outlineLevel="1" x14ac:dyDescent="0.3">
      <c r="B139" s="383" t="s">
        <v>0</v>
      </c>
      <c r="C139" s="384"/>
      <c r="D139" s="51" t="s">
        <v>4</v>
      </c>
      <c r="E139" s="51" t="s">
        <v>3</v>
      </c>
      <c r="F139" s="51" t="s">
        <v>2</v>
      </c>
      <c r="G139" s="51" t="s">
        <v>5</v>
      </c>
      <c r="H139" s="51" t="s">
        <v>5</v>
      </c>
      <c r="I139" s="51" t="s">
        <v>6</v>
      </c>
      <c r="J139" s="51" t="s">
        <v>7</v>
      </c>
      <c r="K139" s="51" t="s">
        <v>8</v>
      </c>
      <c r="L139" s="51" t="s">
        <v>10</v>
      </c>
      <c r="M139" s="357" t="s">
        <v>10</v>
      </c>
      <c r="N139" s="51" t="s">
        <v>11</v>
      </c>
      <c r="O139" s="51" t="s">
        <v>12</v>
      </c>
      <c r="P139" s="353" t="s">
        <v>13</v>
      </c>
      <c r="Q139" s="353" t="s">
        <v>9</v>
      </c>
      <c r="R139" s="357" t="s">
        <v>9</v>
      </c>
    </row>
    <row r="140" spans="2:38" s="49" customFormat="1" ht="16.2" outlineLevel="1" x14ac:dyDescent="0.45">
      <c r="B140" s="383"/>
      <c r="C140" s="384"/>
      <c r="D140" s="52" t="s">
        <v>22</v>
      </c>
      <c r="E140" s="52" t="s">
        <v>23</v>
      </c>
      <c r="F140" s="52" t="s">
        <v>24</v>
      </c>
      <c r="G140" s="52" t="s">
        <v>25</v>
      </c>
      <c r="H140" s="52" t="s">
        <v>19</v>
      </c>
      <c r="I140" s="52" t="s">
        <v>26</v>
      </c>
      <c r="J140" s="52" t="s">
        <v>27</v>
      </c>
      <c r="K140" s="52" t="s">
        <v>35</v>
      </c>
      <c r="L140" s="52" t="s">
        <v>46</v>
      </c>
      <c r="M140" s="358" t="s">
        <v>47</v>
      </c>
      <c r="N140" s="52" t="s">
        <v>82</v>
      </c>
      <c r="O140" s="52" t="s">
        <v>83</v>
      </c>
      <c r="P140" s="52" t="s">
        <v>247</v>
      </c>
      <c r="Q140" s="52" t="s">
        <v>248</v>
      </c>
      <c r="R140" s="358" t="s">
        <v>249</v>
      </c>
    </row>
    <row r="141" spans="2:38" s="49" customFormat="1" outlineLevel="1" x14ac:dyDescent="0.3">
      <c r="B141" s="373" t="s">
        <v>112</v>
      </c>
      <c r="C141" s="374"/>
      <c r="D141" s="100"/>
      <c r="E141" s="101"/>
      <c r="F141" s="101"/>
      <c r="G141" s="102"/>
      <c r="H141" s="103"/>
      <c r="I141" s="104"/>
      <c r="J141" s="105"/>
      <c r="K141" s="106"/>
      <c r="L141" s="106"/>
      <c r="M141" s="107"/>
      <c r="O141" s="333"/>
      <c r="P141" s="333"/>
      <c r="Q141" s="333"/>
      <c r="R141" s="359"/>
    </row>
    <row r="142" spans="2:38" s="49" customFormat="1" outlineLevel="1" x14ac:dyDescent="0.3">
      <c r="B142" s="363" t="s">
        <v>113</v>
      </c>
      <c r="C142" s="364"/>
      <c r="D142" s="143">
        <v>5924</v>
      </c>
      <c r="E142" s="140">
        <v>5365</v>
      </c>
      <c r="F142" s="140">
        <v>8335</v>
      </c>
      <c r="G142" s="141">
        <v>7369</v>
      </c>
      <c r="H142" s="142">
        <f>G142</f>
        <v>7369</v>
      </c>
      <c r="I142" s="144">
        <v>2308</v>
      </c>
      <c r="J142" s="144">
        <v>2173</v>
      </c>
      <c r="K142" s="171">
        <v>2072</v>
      </c>
      <c r="L142" s="144">
        <v>939</v>
      </c>
      <c r="M142" s="174">
        <f>L142</f>
        <v>939</v>
      </c>
      <c r="N142" s="64">
        <v>2947</v>
      </c>
      <c r="O142" s="334">
        <v>1394</v>
      </c>
      <c r="P142" s="334">
        <v>3980</v>
      </c>
      <c r="Q142" s="356">
        <v>3184</v>
      </c>
      <c r="R142" s="174">
        <f>Q142</f>
        <v>3184</v>
      </c>
    </row>
    <row r="143" spans="2:38" s="49" customFormat="1" outlineLevel="1" x14ac:dyDescent="0.3">
      <c r="B143" s="385" t="s">
        <v>111</v>
      </c>
      <c r="C143" s="386"/>
      <c r="D143" s="143"/>
      <c r="E143" s="140"/>
      <c r="F143" s="140"/>
      <c r="G143" s="141"/>
      <c r="H143" s="142"/>
      <c r="I143" s="144"/>
      <c r="J143" s="144"/>
      <c r="K143" s="144"/>
      <c r="L143" s="144"/>
      <c r="M143" s="174"/>
      <c r="N143" s="64"/>
      <c r="O143" s="334"/>
      <c r="P143" s="334"/>
      <c r="Q143" s="333"/>
      <c r="R143" s="174"/>
    </row>
    <row r="144" spans="2:38" s="49" customFormat="1" outlineLevel="1" x14ac:dyDescent="0.3">
      <c r="B144" s="134" t="s">
        <v>114</v>
      </c>
      <c r="C144" s="138"/>
      <c r="D144" s="143">
        <v>1674</v>
      </c>
      <c r="E144" s="140">
        <v>1484</v>
      </c>
      <c r="F144" s="140">
        <v>1350</v>
      </c>
      <c r="G144" s="141">
        <v>1118</v>
      </c>
      <c r="H144" s="142">
        <f>G144</f>
        <v>1118</v>
      </c>
      <c r="I144" s="144">
        <v>1025</v>
      </c>
      <c r="J144" s="144">
        <v>1028</v>
      </c>
      <c r="K144" s="144">
        <v>833</v>
      </c>
      <c r="L144" s="144">
        <v>652</v>
      </c>
      <c r="M144" s="174">
        <f>L144</f>
        <v>652</v>
      </c>
      <c r="N144" s="64">
        <v>633</v>
      </c>
      <c r="O144" s="334">
        <v>770</v>
      </c>
      <c r="P144" s="334">
        <v>848</v>
      </c>
      <c r="Q144" s="337">
        <v>1728</v>
      </c>
      <c r="R144" s="174">
        <f>Q144</f>
        <v>1728</v>
      </c>
    </row>
    <row r="145" spans="2:18" s="49" customFormat="1" outlineLevel="1" x14ac:dyDescent="0.3">
      <c r="B145" s="134" t="s">
        <v>139</v>
      </c>
      <c r="C145" s="138"/>
      <c r="D145" s="143">
        <v>1375</v>
      </c>
      <c r="E145" s="140">
        <v>1595</v>
      </c>
      <c r="F145" s="140">
        <v>1362</v>
      </c>
      <c r="G145" s="141">
        <v>1409</v>
      </c>
      <c r="H145" s="142">
        <f t="shared" ref="H145:H147" si="95">G145</f>
        <v>1409</v>
      </c>
      <c r="I145" s="144">
        <v>1149</v>
      </c>
      <c r="J145" s="144">
        <v>1574</v>
      </c>
      <c r="K145" s="144">
        <v>1636</v>
      </c>
      <c r="L145" s="144">
        <v>1817</v>
      </c>
      <c r="M145" s="174">
        <f t="shared" ref="M145" si="96">L145</f>
        <v>1817</v>
      </c>
      <c r="N145" s="64">
        <v>1759</v>
      </c>
      <c r="O145" s="334">
        <v>730</v>
      </c>
      <c r="P145" s="334">
        <v>743</v>
      </c>
      <c r="Q145" s="337">
        <v>0</v>
      </c>
      <c r="R145" s="174">
        <f t="shared" ref="R145" si="97">Q145</f>
        <v>0</v>
      </c>
    </row>
    <row r="146" spans="2:18" s="49" customFormat="1" outlineLevel="1" x14ac:dyDescent="0.3">
      <c r="B146" s="134" t="s">
        <v>115</v>
      </c>
      <c r="C146" s="138"/>
      <c r="D146" s="143">
        <v>691</v>
      </c>
      <c r="E146" s="140">
        <v>536</v>
      </c>
      <c r="F146" s="140">
        <v>692</v>
      </c>
      <c r="G146" s="141">
        <v>1325</v>
      </c>
      <c r="H146" s="142">
        <f t="shared" si="95"/>
        <v>1325</v>
      </c>
      <c r="I146" s="144">
        <v>683</v>
      </c>
      <c r="J146" s="144">
        <v>635</v>
      </c>
      <c r="K146" s="144">
        <v>646</v>
      </c>
      <c r="L146" s="144">
        <v>573</v>
      </c>
      <c r="M146" s="174">
        <f>L146</f>
        <v>573</v>
      </c>
      <c r="N146" s="64">
        <v>428</v>
      </c>
      <c r="O146" s="334">
        <v>318</v>
      </c>
      <c r="P146" s="334">
        <v>347</v>
      </c>
      <c r="Q146" s="337">
        <v>354</v>
      </c>
      <c r="R146" s="174">
        <f>Q146</f>
        <v>354</v>
      </c>
    </row>
    <row r="147" spans="2:18" s="49" customFormat="1" ht="16.2" outlineLevel="1" x14ac:dyDescent="0.45">
      <c r="B147" s="134" t="s">
        <v>81</v>
      </c>
      <c r="C147" s="138"/>
      <c r="D147" s="146">
        <f>SUM(D144:D146)+D142</f>
        <v>9664</v>
      </c>
      <c r="E147" s="146">
        <f>SUM(E144:E146)+E142</f>
        <v>8980</v>
      </c>
      <c r="F147" s="146">
        <f>SUM(F144:F146)+F142</f>
        <v>11739</v>
      </c>
      <c r="G147" s="147">
        <f>SUM(G144:G146)+G142</f>
        <v>11221</v>
      </c>
      <c r="H147" s="148">
        <f t="shared" si="95"/>
        <v>11221</v>
      </c>
      <c r="I147" s="150">
        <f>SUM(I144:I146)+I142</f>
        <v>5165</v>
      </c>
      <c r="J147" s="150">
        <f>SUM(J144:J146)+J142</f>
        <v>5410</v>
      </c>
      <c r="K147" s="150">
        <f>SUM(K144:K146)+K142</f>
        <v>5187</v>
      </c>
      <c r="L147" s="150">
        <f>SUM(L144:L146)+L142</f>
        <v>3981</v>
      </c>
      <c r="M147" s="175">
        <f t="shared" ref="M147" si="98">L147</f>
        <v>3981</v>
      </c>
      <c r="N147" s="165">
        <f>SUM(N144:N146)+N142</f>
        <v>5767</v>
      </c>
      <c r="O147" s="166">
        <f>SUM(O144:O146)+O142</f>
        <v>3212</v>
      </c>
      <c r="P147" s="166">
        <f>SUM(P144:P146)+P142</f>
        <v>5918</v>
      </c>
      <c r="Q147" s="166">
        <f>SUM(Q144:Q146)+Q142</f>
        <v>5266</v>
      </c>
      <c r="R147" s="175">
        <f t="shared" ref="R147" si="99">Q147</f>
        <v>5266</v>
      </c>
    </row>
    <row r="148" spans="2:18" s="49" customFormat="1" outlineLevel="1" x14ac:dyDescent="0.3">
      <c r="B148" s="137" t="s">
        <v>116</v>
      </c>
      <c r="C148" s="138"/>
      <c r="D148" s="143"/>
      <c r="E148" s="140"/>
      <c r="F148" s="140"/>
      <c r="G148" s="141"/>
      <c r="H148" s="142"/>
      <c r="I148" s="144"/>
      <c r="J148" s="144"/>
      <c r="K148" s="144"/>
      <c r="L148" s="144"/>
      <c r="M148" s="174"/>
      <c r="N148" s="165"/>
      <c r="O148" s="334"/>
      <c r="P148" s="334"/>
      <c r="Q148" s="333"/>
      <c r="R148" s="174"/>
    </row>
    <row r="149" spans="2:18" s="49" customFormat="1" outlineLevel="1" x14ac:dyDescent="0.3">
      <c r="B149" s="134" t="s">
        <v>117</v>
      </c>
      <c r="C149" s="138"/>
      <c r="D149" s="143">
        <v>70573</v>
      </c>
      <c r="E149" s="140">
        <v>72529</v>
      </c>
      <c r="F149" s="140">
        <v>72677</v>
      </c>
      <c r="G149" s="141">
        <v>75107</v>
      </c>
      <c r="H149" s="142">
        <f>G149</f>
        <v>75107</v>
      </c>
      <c r="I149" s="144">
        <v>76040</v>
      </c>
      <c r="J149" s="144">
        <v>75608</v>
      </c>
      <c r="K149" s="144">
        <v>70387</v>
      </c>
      <c r="L149" s="144">
        <v>70683</v>
      </c>
      <c r="M149" s="174">
        <f>L149</f>
        <v>70683</v>
      </c>
      <c r="N149" s="64">
        <v>71541</v>
      </c>
      <c r="O149" s="334">
        <v>69610</v>
      </c>
      <c r="P149" s="334">
        <v>69089</v>
      </c>
      <c r="Q149" s="189">
        <v>32168</v>
      </c>
      <c r="R149" s="174">
        <f>Q149</f>
        <v>32168</v>
      </c>
    </row>
    <row r="150" spans="2:18" s="49" customFormat="1" outlineLevel="1" x14ac:dyDescent="0.3">
      <c r="B150" s="134" t="s">
        <v>118</v>
      </c>
      <c r="C150" s="138"/>
      <c r="D150" s="143">
        <v>30009</v>
      </c>
      <c r="E150" s="140">
        <v>31042</v>
      </c>
      <c r="F150" s="140">
        <v>31573</v>
      </c>
      <c r="G150" s="141">
        <v>33518</v>
      </c>
      <c r="H150" s="142">
        <f t="shared" ref="H150:H154" si="100">G150</f>
        <v>33518</v>
      </c>
      <c r="I150" s="144">
        <v>37770</v>
      </c>
      <c r="J150" s="144">
        <v>37788</v>
      </c>
      <c r="K150" s="144">
        <v>35006</v>
      </c>
      <c r="L150" s="144">
        <v>36932</v>
      </c>
      <c r="M150" s="174">
        <f t="shared" ref="M150:M151" si="101">L150</f>
        <v>36932</v>
      </c>
      <c r="N150" s="64">
        <v>38015</v>
      </c>
      <c r="O150" s="334">
        <v>37265</v>
      </c>
      <c r="P150" s="334">
        <v>37990</v>
      </c>
      <c r="Q150" s="189">
        <v>0</v>
      </c>
      <c r="R150" s="174">
        <f t="shared" ref="R150:R151" si="102">Q150</f>
        <v>0</v>
      </c>
    </row>
    <row r="151" spans="2:18" s="49" customFormat="1" ht="16.2" outlineLevel="1" x14ac:dyDescent="0.45">
      <c r="B151" s="134" t="s">
        <v>119</v>
      </c>
      <c r="C151" s="138"/>
      <c r="D151" s="146">
        <f>D149-D150</f>
        <v>40564</v>
      </c>
      <c r="E151" s="146">
        <f>E149-E150</f>
        <v>41487</v>
      </c>
      <c r="F151" s="146">
        <f>F149-F150</f>
        <v>41104</v>
      </c>
      <c r="G151" s="147">
        <f>G149-G150</f>
        <v>41589</v>
      </c>
      <c r="H151" s="148">
        <f t="shared" si="100"/>
        <v>41589</v>
      </c>
      <c r="I151" s="150">
        <f>I149-I150</f>
        <v>38270</v>
      </c>
      <c r="J151" s="150">
        <f>J149-J150</f>
        <v>37820</v>
      </c>
      <c r="K151" s="150">
        <f>K149-K150</f>
        <v>35381</v>
      </c>
      <c r="L151" s="150">
        <f>L149-L150</f>
        <v>33751</v>
      </c>
      <c r="M151" s="175">
        <f t="shared" si="101"/>
        <v>33751</v>
      </c>
      <c r="N151" s="166">
        <f>SUM(N149-N150)</f>
        <v>33526</v>
      </c>
      <c r="O151" s="166">
        <f>SUM(O149-O150)</f>
        <v>32345</v>
      </c>
      <c r="P151" s="166">
        <f>SUM(P149-P150)</f>
        <v>31099</v>
      </c>
      <c r="Q151" s="166">
        <f>SUM(Q149-Q150)</f>
        <v>32168</v>
      </c>
      <c r="R151" s="175">
        <f t="shared" si="102"/>
        <v>32168</v>
      </c>
    </row>
    <row r="152" spans="2:18" s="49" customFormat="1" outlineLevel="1" x14ac:dyDescent="0.3">
      <c r="B152" s="134" t="s">
        <v>120</v>
      </c>
      <c r="C152" s="138"/>
      <c r="D152" s="140">
        <v>2278</v>
      </c>
      <c r="E152" s="140">
        <v>2352</v>
      </c>
      <c r="F152" s="140">
        <v>2321</v>
      </c>
      <c r="G152" s="141">
        <v>2310</v>
      </c>
      <c r="H152" s="142">
        <f t="shared" si="100"/>
        <v>2310</v>
      </c>
      <c r="I152" s="144">
        <v>2998</v>
      </c>
      <c r="J152" s="144">
        <v>2474</v>
      </c>
      <c r="K152" s="144">
        <v>2271</v>
      </c>
      <c r="L152" s="144">
        <v>2268</v>
      </c>
      <c r="M152" s="174">
        <f>L152</f>
        <v>2268</v>
      </c>
      <c r="N152" s="64">
        <v>2304</v>
      </c>
      <c r="O152" s="334">
        <v>2239</v>
      </c>
      <c r="P152" s="334">
        <v>2203</v>
      </c>
      <c r="Q152" s="356">
        <v>2226</v>
      </c>
      <c r="R152" s="174">
        <f>Q152</f>
        <v>2226</v>
      </c>
    </row>
    <row r="153" spans="2:18" s="49" customFormat="1" outlineLevel="1" x14ac:dyDescent="0.3">
      <c r="B153" s="134" t="s">
        <v>121</v>
      </c>
      <c r="C153" s="138"/>
      <c r="D153" s="140">
        <v>5597</v>
      </c>
      <c r="E153" s="140">
        <v>5595</v>
      </c>
      <c r="F153" s="140">
        <v>5501</v>
      </c>
      <c r="G153" s="141">
        <v>6569</v>
      </c>
      <c r="H153" s="142">
        <f t="shared" si="100"/>
        <v>6569</v>
      </c>
      <c r="I153" s="144">
        <v>6540</v>
      </c>
      <c r="J153" s="144">
        <v>6420</v>
      </c>
      <c r="K153" s="144">
        <v>6343</v>
      </c>
      <c r="L153" s="144">
        <v>6331</v>
      </c>
      <c r="M153" s="174">
        <f t="shared" ref="M153:M154" si="103">L153</f>
        <v>6331</v>
      </c>
      <c r="N153" s="64">
        <v>6325</v>
      </c>
      <c r="O153" s="334">
        <v>6237</v>
      </c>
      <c r="P153" s="334">
        <v>6197</v>
      </c>
      <c r="Q153" s="356">
        <v>5904</v>
      </c>
      <c r="R153" s="174">
        <f t="shared" ref="R153:R154" si="104">Q153</f>
        <v>5904</v>
      </c>
    </row>
    <row r="154" spans="2:18" s="49" customFormat="1" ht="16.2" outlineLevel="1" x14ac:dyDescent="0.45">
      <c r="B154" s="379" t="s">
        <v>58</v>
      </c>
      <c r="C154" s="380"/>
      <c r="D154" s="156">
        <f>SUM(D152:D153,D151,D147)</f>
        <v>58103</v>
      </c>
      <c r="E154" s="156">
        <f>SUM(E152:E153,E151,E147)</f>
        <v>58414</v>
      </c>
      <c r="F154" s="156">
        <f>SUM(F152:F153,F151,F147)</f>
        <v>60665</v>
      </c>
      <c r="G154" s="157">
        <f>SUM(G152:G153,G151,G147)</f>
        <v>61689</v>
      </c>
      <c r="H154" s="161">
        <f t="shared" si="100"/>
        <v>61689</v>
      </c>
      <c r="I154" s="160">
        <f>SUM(I151:I153)+I147</f>
        <v>52973</v>
      </c>
      <c r="J154" s="160">
        <f>SUM(J151:J153)+J147</f>
        <v>52124</v>
      </c>
      <c r="K154" s="160">
        <f>SUM(K151:K153)+K147</f>
        <v>49182</v>
      </c>
      <c r="L154" s="160">
        <f>SUM(L151:L153)+L147</f>
        <v>46331</v>
      </c>
      <c r="M154" s="176">
        <f t="shared" si="103"/>
        <v>46331</v>
      </c>
      <c r="N154" s="167">
        <f>SUM(N151:N153)+N147</f>
        <v>47922</v>
      </c>
      <c r="O154" s="335">
        <f>SUM(O151:O153)+O147</f>
        <v>44033</v>
      </c>
      <c r="P154" s="335">
        <f>SUM(P151:P153)+P147</f>
        <v>45417</v>
      </c>
      <c r="Q154" s="335">
        <f>SUM(Q151:Q153)+Q147</f>
        <v>45564</v>
      </c>
      <c r="R154" s="176">
        <f t="shared" si="104"/>
        <v>45564</v>
      </c>
    </row>
    <row r="155" spans="2:18" s="49" customFormat="1" outlineLevel="1" x14ac:dyDescent="0.3">
      <c r="B155" s="373" t="s">
        <v>127</v>
      </c>
      <c r="C155" s="374"/>
      <c r="D155" s="143"/>
      <c r="E155" s="140"/>
      <c r="F155" s="140"/>
      <c r="G155" s="141"/>
      <c r="H155" s="142"/>
      <c r="I155" s="144"/>
      <c r="J155" s="144"/>
      <c r="K155" s="144"/>
      <c r="L155" s="144"/>
      <c r="M155" s="174"/>
      <c r="N155" s="64"/>
      <c r="O155" s="334"/>
      <c r="P155" s="334"/>
      <c r="Q155" s="333"/>
      <c r="R155" s="174"/>
    </row>
    <row r="156" spans="2:18" s="49" customFormat="1" outlineLevel="1" x14ac:dyDescent="0.3">
      <c r="B156" s="363" t="s">
        <v>59</v>
      </c>
      <c r="C156" s="364"/>
      <c r="D156" s="143">
        <v>3940</v>
      </c>
      <c r="E156" s="140">
        <v>3979</v>
      </c>
      <c r="F156" s="140">
        <v>3653</v>
      </c>
      <c r="G156" s="141">
        <v>3683</v>
      </c>
      <c r="H156" s="142">
        <f>G156</f>
        <v>3683</v>
      </c>
      <c r="I156" s="144">
        <v>3252</v>
      </c>
      <c r="J156" s="144">
        <v>3034</v>
      </c>
      <c r="K156" s="144">
        <v>3074</v>
      </c>
      <c r="L156" s="144">
        <v>2850</v>
      </c>
      <c r="M156" s="174">
        <f t="shared" ref="M156:M157" si="105">L156</f>
        <v>2850</v>
      </c>
      <c r="N156" s="64">
        <v>2505</v>
      </c>
      <c r="O156" s="334">
        <v>2200</v>
      </c>
      <c r="P156" s="334">
        <v>1983</v>
      </c>
      <c r="Q156" s="337"/>
      <c r="R156" s="174">
        <f t="shared" ref="R156:R157" si="106">Q156</f>
        <v>0</v>
      </c>
    </row>
    <row r="157" spans="2:18" s="49" customFormat="1" outlineLevel="1" x14ac:dyDescent="0.3">
      <c r="B157" s="375" t="s">
        <v>122</v>
      </c>
      <c r="C157" s="376"/>
      <c r="D157" s="143">
        <v>519</v>
      </c>
      <c r="E157" s="140">
        <v>511</v>
      </c>
      <c r="F157" s="140">
        <v>403</v>
      </c>
      <c r="G157" s="141">
        <v>257</v>
      </c>
      <c r="H157" s="142">
        <f t="shared" ref="H157:H165" si="107">G157</f>
        <v>257</v>
      </c>
      <c r="I157" s="144">
        <v>282</v>
      </c>
      <c r="J157" s="144">
        <v>267</v>
      </c>
      <c r="K157" s="144">
        <v>334</v>
      </c>
      <c r="L157" s="144">
        <v>309</v>
      </c>
      <c r="M157" s="174">
        <f t="shared" si="105"/>
        <v>309</v>
      </c>
      <c r="N157" s="64">
        <v>297</v>
      </c>
      <c r="O157" s="334">
        <v>221</v>
      </c>
      <c r="P157" s="334">
        <v>232</v>
      </c>
      <c r="Q157" s="333"/>
      <c r="R157" s="174">
        <f t="shared" si="106"/>
        <v>0</v>
      </c>
    </row>
    <row r="158" spans="2:18" s="49" customFormat="1" outlineLevel="1" x14ac:dyDescent="0.3">
      <c r="B158" s="375" t="s">
        <v>123</v>
      </c>
      <c r="C158" s="376"/>
      <c r="D158" s="143">
        <v>0</v>
      </c>
      <c r="E158" s="140">
        <v>0</v>
      </c>
      <c r="F158" s="140">
        <v>0</v>
      </c>
      <c r="G158" s="141">
        <v>247</v>
      </c>
      <c r="H158" s="142">
        <f t="shared" si="107"/>
        <v>247</v>
      </c>
      <c r="I158" s="144">
        <v>0</v>
      </c>
      <c r="J158" s="144">
        <v>0</v>
      </c>
      <c r="K158" s="144">
        <v>0</v>
      </c>
      <c r="L158" s="144">
        <v>247</v>
      </c>
      <c r="M158" s="174">
        <f>L158</f>
        <v>247</v>
      </c>
      <c r="N158" s="64">
        <v>158</v>
      </c>
      <c r="O158" s="334">
        <v>242</v>
      </c>
      <c r="P158" s="334">
        <v>145</v>
      </c>
      <c r="Q158" s="333"/>
      <c r="R158" s="174">
        <f>Q158</f>
        <v>0</v>
      </c>
    </row>
    <row r="159" spans="2:18" s="49" customFormat="1" outlineLevel="1" x14ac:dyDescent="0.3">
      <c r="B159" s="130" t="s">
        <v>124</v>
      </c>
      <c r="C159" s="131"/>
      <c r="D159" s="140">
        <v>0</v>
      </c>
      <c r="E159" s="140">
        <v>0</v>
      </c>
      <c r="F159" s="140">
        <v>0</v>
      </c>
      <c r="G159" s="141">
        <v>332</v>
      </c>
      <c r="H159" s="142">
        <f t="shared" si="107"/>
        <v>332</v>
      </c>
      <c r="I159" s="144">
        <v>0</v>
      </c>
      <c r="J159" s="144">
        <v>0</v>
      </c>
      <c r="K159" s="144">
        <v>0</v>
      </c>
      <c r="L159" s="144">
        <v>318</v>
      </c>
      <c r="M159" s="174">
        <f t="shared" ref="M159:M160" si="108">L159</f>
        <v>318</v>
      </c>
      <c r="N159" s="64">
        <v>339</v>
      </c>
      <c r="O159" s="334">
        <v>282</v>
      </c>
      <c r="P159" s="334">
        <v>313</v>
      </c>
      <c r="Q159" s="333"/>
      <c r="R159" s="174">
        <f t="shared" ref="R159:R160" si="109">Q159</f>
        <v>0</v>
      </c>
    </row>
    <row r="160" spans="2:18" s="49" customFormat="1" outlineLevel="1" x14ac:dyDescent="0.3">
      <c r="B160" s="130" t="s">
        <v>125</v>
      </c>
      <c r="C160" s="131"/>
      <c r="D160" s="140">
        <v>1320</v>
      </c>
      <c r="E160" s="140">
        <v>1009</v>
      </c>
      <c r="F160" s="140">
        <v>1646</v>
      </c>
      <c r="G160" s="141">
        <v>505</v>
      </c>
      <c r="H160" s="142">
        <f t="shared" si="107"/>
        <v>505</v>
      </c>
      <c r="I160" s="144">
        <v>1100</v>
      </c>
      <c r="J160" s="144">
        <v>1244</v>
      </c>
      <c r="K160" s="144">
        <v>907</v>
      </c>
      <c r="L160" s="144">
        <v>424</v>
      </c>
      <c r="M160" s="174">
        <f t="shared" si="108"/>
        <v>424</v>
      </c>
      <c r="N160" s="64">
        <v>333</v>
      </c>
      <c r="O160" s="334">
        <v>267</v>
      </c>
      <c r="P160" s="334">
        <v>301</v>
      </c>
      <c r="Q160" s="333"/>
      <c r="R160" s="174">
        <f t="shared" si="109"/>
        <v>0</v>
      </c>
    </row>
    <row r="161" spans="2:18" s="49" customFormat="1" outlineLevel="1" x14ac:dyDescent="0.3">
      <c r="B161" s="130" t="s">
        <v>126</v>
      </c>
      <c r="C161" s="131"/>
      <c r="D161" s="140">
        <v>0</v>
      </c>
      <c r="E161" s="140">
        <v>0</v>
      </c>
      <c r="F161" s="140">
        <v>0</v>
      </c>
      <c r="G161" s="141">
        <v>0</v>
      </c>
      <c r="H161" s="142">
        <f t="shared" si="107"/>
        <v>0</v>
      </c>
      <c r="I161" s="144">
        <v>500</v>
      </c>
      <c r="J161" s="144">
        <v>33</v>
      </c>
      <c r="K161" s="144">
        <v>33</v>
      </c>
      <c r="L161" s="144">
        <v>32</v>
      </c>
      <c r="M161" s="174">
        <f>L161</f>
        <v>32</v>
      </c>
      <c r="N161" s="64">
        <v>3025</v>
      </c>
      <c r="O161" s="334">
        <v>32</v>
      </c>
      <c r="P161" s="334">
        <v>788</v>
      </c>
      <c r="Q161" s="356">
        <v>42</v>
      </c>
      <c r="R161" s="174">
        <f>Q161</f>
        <v>42</v>
      </c>
    </row>
    <row r="162" spans="2:18" s="49" customFormat="1" outlineLevel="1" x14ac:dyDescent="0.3">
      <c r="B162" s="130" t="s">
        <v>140</v>
      </c>
      <c r="C162" s="131"/>
      <c r="D162" s="140">
        <v>0</v>
      </c>
      <c r="E162" s="140">
        <v>92</v>
      </c>
      <c r="F162" s="140">
        <v>93</v>
      </c>
      <c r="G162" s="141">
        <v>5210</v>
      </c>
      <c r="H162" s="142">
        <f t="shared" si="107"/>
        <v>5210</v>
      </c>
      <c r="I162" s="144">
        <v>94</v>
      </c>
      <c r="J162" s="144">
        <v>91</v>
      </c>
      <c r="K162" s="144">
        <v>90</v>
      </c>
      <c r="L162" s="144">
        <v>0</v>
      </c>
      <c r="M162" s="174">
        <f t="shared" ref="M162:M163" si="110">L162</f>
        <v>0</v>
      </c>
      <c r="N162" s="144">
        <v>0</v>
      </c>
      <c r="O162" s="334">
        <v>0</v>
      </c>
      <c r="P162" s="334"/>
      <c r="Q162" s="333"/>
      <c r="R162" s="174">
        <f t="shared" ref="R162:R163" si="111">Q162</f>
        <v>0</v>
      </c>
    </row>
    <row r="163" spans="2:18" s="49" customFormat="1" outlineLevel="1" x14ac:dyDescent="0.3">
      <c r="B163" s="130" t="s">
        <v>141</v>
      </c>
      <c r="C163" s="131"/>
      <c r="D163" s="140">
        <v>5150</v>
      </c>
      <c r="E163" s="140">
        <v>5169</v>
      </c>
      <c r="F163" s="140">
        <v>5188</v>
      </c>
      <c r="G163" s="141">
        <v>0</v>
      </c>
      <c r="H163" s="142">
        <f t="shared" si="107"/>
        <v>0</v>
      </c>
      <c r="I163" s="144">
        <v>0</v>
      </c>
      <c r="J163" s="144">
        <v>0</v>
      </c>
      <c r="K163" s="144">
        <v>0</v>
      </c>
      <c r="L163" s="144">
        <v>0</v>
      </c>
      <c r="M163" s="174">
        <f t="shared" si="110"/>
        <v>0</v>
      </c>
      <c r="N163" s="144">
        <v>0</v>
      </c>
      <c r="O163" s="334">
        <v>0</v>
      </c>
      <c r="P163" s="334"/>
      <c r="Q163" s="333"/>
      <c r="R163" s="174">
        <f t="shared" si="111"/>
        <v>0</v>
      </c>
    </row>
    <row r="164" spans="2:18" s="49" customFormat="1" ht="16.2" outlineLevel="1" x14ac:dyDescent="0.45">
      <c r="B164" s="375" t="s">
        <v>81</v>
      </c>
      <c r="C164" s="380"/>
      <c r="D164" s="146">
        <f>SUM(D156:D163)</f>
        <v>10929</v>
      </c>
      <c r="E164" s="146">
        <f>SUM(E156:E163)</f>
        <v>10760</v>
      </c>
      <c r="F164" s="146">
        <f>SUM(F156:F163)</f>
        <v>10983</v>
      </c>
      <c r="G164" s="147">
        <f>SUM(G156:G163)</f>
        <v>10234</v>
      </c>
      <c r="H164" s="148">
        <f t="shared" si="107"/>
        <v>10234</v>
      </c>
      <c r="I164" s="150">
        <f>SUM(I156:I163)</f>
        <v>5228</v>
      </c>
      <c r="J164" s="150">
        <f>SUM(J156:J163)</f>
        <v>4669</v>
      </c>
      <c r="K164" s="150">
        <f>SUM(K156:K163)</f>
        <v>4438</v>
      </c>
      <c r="L164" s="150">
        <f>SUM(L156:L163)</f>
        <v>4180</v>
      </c>
      <c r="M164" s="175">
        <f>L164</f>
        <v>4180</v>
      </c>
      <c r="N164" s="165">
        <f>SUM(N156:N163)</f>
        <v>6657</v>
      </c>
      <c r="O164" s="166">
        <f>SUM(O156:O163)</f>
        <v>3244</v>
      </c>
      <c r="P164" s="166">
        <f>SUM(P156:P163)</f>
        <v>3762</v>
      </c>
      <c r="Q164" s="166">
        <f>3286+Q161</f>
        <v>3328</v>
      </c>
      <c r="R164" s="175">
        <f>Q164</f>
        <v>3328</v>
      </c>
    </row>
    <row r="165" spans="2:18" s="50" customFormat="1" outlineLevel="1" x14ac:dyDescent="0.3">
      <c r="B165" s="94" t="s">
        <v>128</v>
      </c>
      <c r="C165" s="95"/>
      <c r="D165" s="143">
        <v>13569</v>
      </c>
      <c r="E165" s="140">
        <v>13414</v>
      </c>
      <c r="F165" s="140">
        <v>14728</v>
      </c>
      <c r="G165" s="141">
        <v>15092</v>
      </c>
      <c r="H165" s="142">
        <f t="shared" si="107"/>
        <v>15092</v>
      </c>
      <c r="I165" s="144">
        <v>16365</v>
      </c>
      <c r="J165" s="144">
        <v>16025</v>
      </c>
      <c r="K165" s="144">
        <v>15892</v>
      </c>
      <c r="L165" s="144">
        <v>15636</v>
      </c>
      <c r="M165" s="174">
        <f t="shared" ref="M165" si="112">L165</f>
        <v>15636</v>
      </c>
      <c r="N165" s="64">
        <v>15726</v>
      </c>
      <c r="O165" s="334">
        <v>15641</v>
      </c>
      <c r="P165" s="334">
        <v>15090</v>
      </c>
      <c r="Q165" s="356">
        <v>15281</v>
      </c>
      <c r="R165" s="174">
        <f t="shared" ref="R165" si="113">Q165</f>
        <v>15281</v>
      </c>
    </row>
    <row r="166" spans="2:18" s="50" customFormat="1" outlineLevel="1" x14ac:dyDescent="0.3">
      <c r="B166" s="132" t="s">
        <v>60</v>
      </c>
      <c r="C166" s="124"/>
      <c r="D166" s="143"/>
      <c r="E166" s="140"/>
      <c r="F166" s="140"/>
      <c r="G166" s="141"/>
      <c r="H166" s="142"/>
      <c r="I166" s="144"/>
      <c r="J166" s="144"/>
      <c r="K166" s="144"/>
      <c r="L166" s="144"/>
      <c r="M166" s="174"/>
      <c r="N166" s="64"/>
      <c r="O166" s="334"/>
      <c r="P166" s="334"/>
      <c r="Q166" s="355"/>
      <c r="R166" s="174"/>
    </row>
    <row r="167" spans="2:18" s="50" customFormat="1" outlineLevel="1" x14ac:dyDescent="0.3">
      <c r="B167" s="123" t="s">
        <v>129</v>
      </c>
      <c r="C167" s="124"/>
      <c r="D167" s="143">
        <v>9343</v>
      </c>
      <c r="E167" s="140">
        <v>9186</v>
      </c>
      <c r="F167" s="140">
        <v>7512</v>
      </c>
      <c r="G167" s="141">
        <v>9249</v>
      </c>
      <c r="H167" s="142">
        <f>G167</f>
        <v>9249</v>
      </c>
      <c r="I167" s="144">
        <v>7521</v>
      </c>
      <c r="J167" s="144">
        <v>7594</v>
      </c>
      <c r="K167" s="144">
        <v>6090</v>
      </c>
      <c r="L167" s="144">
        <v>5400</v>
      </c>
      <c r="M167" s="174">
        <f>L167</f>
        <v>5400</v>
      </c>
      <c r="N167" s="64">
        <v>4940</v>
      </c>
      <c r="O167" s="334">
        <v>4686</v>
      </c>
      <c r="P167" s="334">
        <v>4343</v>
      </c>
      <c r="Q167" s="356">
        <v>4324</v>
      </c>
      <c r="R167" s="174">
        <f>Q167</f>
        <v>4324</v>
      </c>
    </row>
    <row r="168" spans="2:18" s="49" customFormat="1" ht="15.75" customHeight="1" outlineLevel="1" x14ac:dyDescent="0.3">
      <c r="B168" s="363" t="s">
        <v>130</v>
      </c>
      <c r="C168" s="364"/>
      <c r="D168" s="143">
        <v>1573</v>
      </c>
      <c r="E168" s="169">
        <v>1499</v>
      </c>
      <c r="F168" s="140">
        <v>1464</v>
      </c>
      <c r="G168" s="141">
        <v>1796</v>
      </c>
      <c r="H168" s="142">
        <f t="shared" ref="H168:H170" si="114">G168</f>
        <v>1796</v>
      </c>
      <c r="I168" s="144">
        <v>1803</v>
      </c>
      <c r="J168" s="144">
        <v>1714</v>
      </c>
      <c r="K168" s="144">
        <v>1670</v>
      </c>
      <c r="L168" s="144">
        <v>1750</v>
      </c>
      <c r="M168" s="174">
        <f t="shared" ref="M168:M169" si="115">L168</f>
        <v>1750</v>
      </c>
      <c r="N168" s="64">
        <v>1760</v>
      </c>
      <c r="O168" s="334">
        <v>1726</v>
      </c>
      <c r="P168" s="334">
        <v>1744</v>
      </c>
      <c r="Q168" s="356">
        <v>2802</v>
      </c>
      <c r="R168" s="174">
        <f t="shared" ref="R168:R169" si="116">Q168</f>
        <v>2802</v>
      </c>
    </row>
    <row r="169" spans="2:18" s="49" customFormat="1" outlineLevel="1" x14ac:dyDescent="0.3">
      <c r="B169" s="375" t="s">
        <v>131</v>
      </c>
      <c r="C169" s="376"/>
      <c r="D169" s="140">
        <v>1772</v>
      </c>
      <c r="E169" s="140">
        <v>2383</v>
      </c>
      <c r="F169" s="140">
        <v>3415</v>
      </c>
      <c r="G169" s="141">
        <v>3000</v>
      </c>
      <c r="H169" s="142">
        <f t="shared" si="114"/>
        <v>3000</v>
      </c>
      <c r="I169" s="144">
        <v>3122</v>
      </c>
      <c r="J169" s="144">
        <v>2763</v>
      </c>
      <c r="K169" s="171">
        <v>4040</v>
      </c>
      <c r="L169" s="144">
        <v>3908</v>
      </c>
      <c r="M169" s="174">
        <f t="shared" si="115"/>
        <v>3908</v>
      </c>
      <c r="N169" s="64">
        <v>4138</v>
      </c>
      <c r="O169" s="334">
        <v>4136</v>
      </c>
      <c r="P169" s="334">
        <v>4566</v>
      </c>
      <c r="Q169" s="356">
        <v>4332</v>
      </c>
      <c r="R169" s="174">
        <f t="shared" si="116"/>
        <v>4332</v>
      </c>
    </row>
    <row r="170" spans="2:18" s="49" customFormat="1" ht="16.2" outlineLevel="1" x14ac:dyDescent="0.45">
      <c r="B170" s="369" t="s">
        <v>81</v>
      </c>
      <c r="C170" s="370"/>
      <c r="D170" s="146">
        <f>SUM(D167:D169)</f>
        <v>12688</v>
      </c>
      <c r="E170" s="146">
        <f>SUM(E167:E169)</f>
        <v>13068</v>
      </c>
      <c r="F170" s="146">
        <f>SUM(F167:F169)</f>
        <v>12391</v>
      </c>
      <c r="G170" s="147">
        <f>SUM(G167:G169)</f>
        <v>14045</v>
      </c>
      <c r="H170" s="148">
        <f t="shared" si="114"/>
        <v>14045</v>
      </c>
      <c r="I170" s="150">
        <f>SUM(I167:I169)</f>
        <v>12446</v>
      </c>
      <c r="J170" s="150">
        <f>SUM(J167:J169)</f>
        <v>12071</v>
      </c>
      <c r="K170" s="150">
        <f>SUM(K167:K169)</f>
        <v>11800</v>
      </c>
      <c r="L170" s="150">
        <f>SUM(L167:L169)</f>
        <v>11058</v>
      </c>
      <c r="M170" s="175">
        <f>L170</f>
        <v>11058</v>
      </c>
      <c r="N170" s="165">
        <f>SUM(N167:N169)</f>
        <v>10838</v>
      </c>
      <c r="O170" s="166">
        <f>SUM(O167:O169)</f>
        <v>10548</v>
      </c>
      <c r="P170" s="166">
        <f>SUM(P167:P169)</f>
        <v>10653</v>
      </c>
      <c r="Q170" s="166">
        <f>SUM(Q167:Q169)</f>
        <v>11458</v>
      </c>
      <c r="R170" s="175">
        <f>Q170</f>
        <v>11458</v>
      </c>
    </row>
    <row r="171" spans="2:18" s="49" customFormat="1" outlineLevel="1" x14ac:dyDescent="0.3">
      <c r="B171" s="373" t="s">
        <v>132</v>
      </c>
      <c r="C171" s="374"/>
      <c r="D171" s="143"/>
      <c r="E171" s="140"/>
      <c r="F171" s="140"/>
      <c r="G171" s="141"/>
      <c r="H171" s="142"/>
      <c r="I171" s="144"/>
      <c r="J171" s="144"/>
      <c r="K171" s="171"/>
      <c r="L171" s="144"/>
      <c r="M171" s="174"/>
      <c r="N171" s="64"/>
      <c r="O171" s="334"/>
      <c r="P171" s="334"/>
      <c r="Q171" s="333"/>
      <c r="R171" s="174"/>
    </row>
    <row r="172" spans="2:18" s="49" customFormat="1" outlineLevel="1" x14ac:dyDescent="0.3">
      <c r="B172" s="375" t="s">
        <v>73</v>
      </c>
      <c r="C172" s="376"/>
      <c r="D172" s="143">
        <v>52</v>
      </c>
      <c r="E172" s="169">
        <v>52</v>
      </c>
      <c r="F172" s="140">
        <v>52</v>
      </c>
      <c r="G172" s="141">
        <v>52</v>
      </c>
      <c r="H172" s="142">
        <f>G172</f>
        <v>52</v>
      </c>
      <c r="I172" s="144">
        <v>52</v>
      </c>
      <c r="J172" s="144">
        <v>52</v>
      </c>
      <c r="K172" s="171">
        <v>52</v>
      </c>
      <c r="L172" s="171">
        <v>52</v>
      </c>
      <c r="M172" s="174">
        <f t="shared" ref="M172" si="117">L172</f>
        <v>52</v>
      </c>
      <c r="N172" s="64">
        <v>53</v>
      </c>
      <c r="O172" s="334">
        <v>53</v>
      </c>
      <c r="P172" s="334">
        <v>57</v>
      </c>
      <c r="Q172" s="356">
        <v>57</v>
      </c>
      <c r="R172" s="174">
        <f t="shared" ref="R172" si="118">Q172</f>
        <v>57</v>
      </c>
    </row>
    <row r="173" spans="2:18" s="49" customFormat="1" outlineLevel="1" x14ac:dyDescent="0.3">
      <c r="B173" s="123" t="s">
        <v>133</v>
      </c>
      <c r="C173" s="124"/>
      <c r="D173" s="143">
        <v>8682</v>
      </c>
      <c r="E173" s="169">
        <v>8798</v>
      </c>
      <c r="F173" s="140">
        <v>9190</v>
      </c>
      <c r="G173" s="141">
        <v>9005</v>
      </c>
      <c r="H173" s="142">
        <f t="shared" ref="H173:H180" si="119">G173</f>
        <v>9005</v>
      </c>
      <c r="I173" s="144">
        <v>9045</v>
      </c>
      <c r="J173" s="144">
        <v>9169</v>
      </c>
      <c r="K173" s="171">
        <v>9224</v>
      </c>
      <c r="L173" s="171">
        <v>9265</v>
      </c>
      <c r="M173" s="174">
        <f>L173</f>
        <v>9265</v>
      </c>
      <c r="N173" s="64">
        <v>9328</v>
      </c>
      <c r="O173" s="334">
        <v>9638</v>
      </c>
      <c r="P173" s="334">
        <v>11842</v>
      </c>
      <c r="Q173" s="356">
        <v>11875</v>
      </c>
      <c r="R173" s="174">
        <f>Q173</f>
        <v>11875</v>
      </c>
    </row>
    <row r="174" spans="2:18" s="49" customFormat="1" outlineLevel="1" x14ac:dyDescent="0.3">
      <c r="B174" s="123" t="s">
        <v>134</v>
      </c>
      <c r="C174" s="124"/>
      <c r="D174" s="143">
        <v>11595</v>
      </c>
      <c r="E174" s="169">
        <v>11684</v>
      </c>
      <c r="F174" s="140">
        <v>12633</v>
      </c>
      <c r="G174" s="141">
        <v>12125</v>
      </c>
      <c r="H174" s="142">
        <f t="shared" si="119"/>
        <v>12125</v>
      </c>
      <c r="I174" s="144">
        <v>8718</v>
      </c>
      <c r="J174" s="144">
        <v>8641</v>
      </c>
      <c r="K174" s="171">
        <v>6268</v>
      </c>
      <c r="L174" s="171">
        <v>4880</v>
      </c>
      <c r="M174" s="174">
        <f t="shared" ref="M174:M175" si="120">L174</f>
        <v>4880</v>
      </c>
      <c r="N174" s="64">
        <v>3821</v>
      </c>
      <c r="O174" s="334">
        <v>3103</v>
      </c>
      <c r="P174" s="334">
        <v>2246</v>
      </c>
      <c r="Q174" s="356">
        <v>1704</v>
      </c>
      <c r="R174" s="174">
        <f t="shared" ref="R174:R175" si="121">Q174</f>
        <v>1704</v>
      </c>
    </row>
    <row r="175" spans="2:18" s="49" customFormat="1" outlineLevel="1" x14ac:dyDescent="0.3">
      <c r="B175" s="377" t="s">
        <v>135</v>
      </c>
      <c r="C175" s="378"/>
      <c r="D175" s="143">
        <v>-930</v>
      </c>
      <c r="E175" s="169">
        <v>-930</v>
      </c>
      <c r="F175" s="140">
        <v>-931</v>
      </c>
      <c r="G175" s="141">
        <v>-940</v>
      </c>
      <c r="H175" s="142">
        <f t="shared" si="119"/>
        <v>-940</v>
      </c>
      <c r="I175" s="144">
        <v>-976</v>
      </c>
      <c r="J175" s="144">
        <v>-977</v>
      </c>
      <c r="K175" s="144">
        <v>-978</v>
      </c>
      <c r="L175" s="144">
        <v>-995</v>
      </c>
      <c r="M175" s="174">
        <f t="shared" si="120"/>
        <v>-995</v>
      </c>
      <c r="N175" s="64">
        <v>-1025</v>
      </c>
      <c r="O175" s="334">
        <v>-1026</v>
      </c>
      <c r="P175" s="334">
        <v>-1027</v>
      </c>
      <c r="Q175" s="356">
        <v>-1033</v>
      </c>
      <c r="R175" s="174">
        <f t="shared" si="121"/>
        <v>-1033</v>
      </c>
    </row>
    <row r="176" spans="2:18" s="49" customFormat="1" outlineLevel="1" x14ac:dyDescent="0.3">
      <c r="B176" s="135" t="s">
        <v>136</v>
      </c>
      <c r="C176" s="136"/>
      <c r="D176" s="140">
        <v>-279</v>
      </c>
      <c r="E176" s="169">
        <v>-273</v>
      </c>
      <c r="F176" s="140">
        <v>-267</v>
      </c>
      <c r="G176" s="141">
        <v>-517</v>
      </c>
      <c r="H176" s="142">
        <f t="shared" si="119"/>
        <v>-517</v>
      </c>
      <c r="I176" s="144">
        <v>-507</v>
      </c>
      <c r="J176" s="144">
        <v>-496</v>
      </c>
      <c r="K176" s="144">
        <v>-487</v>
      </c>
      <c r="L176" s="144">
        <v>-383</v>
      </c>
      <c r="M176" s="174">
        <f>L176</f>
        <v>-383</v>
      </c>
      <c r="N176" s="64">
        <v>-491</v>
      </c>
      <c r="O176" s="334">
        <v>-487</v>
      </c>
      <c r="P176" s="334">
        <v>-518</v>
      </c>
      <c r="Q176" s="356">
        <v>-391</v>
      </c>
      <c r="R176" s="174">
        <f>Q176</f>
        <v>-391</v>
      </c>
    </row>
    <row r="177" spans="2:18" s="49" customFormat="1" ht="16.2" outlineLevel="1" x14ac:dyDescent="0.45">
      <c r="B177" s="379" t="s">
        <v>61</v>
      </c>
      <c r="C177" s="380"/>
      <c r="D177" s="146">
        <f>SUM(D172:D176)</f>
        <v>19120</v>
      </c>
      <c r="E177" s="146">
        <f>SUM(E172:E176)</f>
        <v>19331</v>
      </c>
      <c r="F177" s="146">
        <f>SUM(F172:F176)</f>
        <v>20677</v>
      </c>
      <c r="G177" s="147">
        <f>SUM(G172:G176)</f>
        <v>19725</v>
      </c>
      <c r="H177" s="148">
        <f t="shared" si="119"/>
        <v>19725</v>
      </c>
      <c r="I177" s="172">
        <f>SUM(I172:I176)</f>
        <v>16332</v>
      </c>
      <c r="J177" s="172">
        <f>SUM(J172:J176)</f>
        <v>16389</v>
      </c>
      <c r="K177" s="172">
        <f>SUM(K172:K176)</f>
        <v>14079</v>
      </c>
      <c r="L177" s="172">
        <f>SUM(L172:L176)</f>
        <v>12819</v>
      </c>
      <c r="M177" s="175">
        <f t="shared" ref="M177:M178" si="122">L177</f>
        <v>12819</v>
      </c>
      <c r="N177" s="165">
        <f>SUM(N172:N176)</f>
        <v>11686</v>
      </c>
      <c r="O177" s="166">
        <f>SUM(O172:O176)</f>
        <v>11281</v>
      </c>
      <c r="P177" s="166">
        <f>SUM(P172:P176)</f>
        <v>12600</v>
      </c>
      <c r="Q177" s="166">
        <f>SUM(Q172:Q176)</f>
        <v>12212</v>
      </c>
      <c r="R177" s="175">
        <f t="shared" ref="R177:R178" si="123">Q177</f>
        <v>12212</v>
      </c>
    </row>
    <row r="178" spans="2:18" s="49" customFormat="1" outlineLevel="1" x14ac:dyDescent="0.3">
      <c r="B178" s="130" t="s">
        <v>137</v>
      </c>
      <c r="C178" s="133"/>
      <c r="D178" s="140">
        <v>1797</v>
      </c>
      <c r="E178" s="140">
        <v>1841</v>
      </c>
      <c r="F178" s="140">
        <v>1886</v>
      </c>
      <c r="G178" s="141">
        <v>2593</v>
      </c>
      <c r="H178" s="142">
        <f t="shared" si="119"/>
        <v>2593</v>
      </c>
      <c r="I178" s="140">
        <v>2602</v>
      </c>
      <c r="J178" s="140">
        <v>2970</v>
      </c>
      <c r="K178" s="173">
        <v>2973</v>
      </c>
      <c r="L178" s="173">
        <v>2638</v>
      </c>
      <c r="M178" s="174">
        <f t="shared" si="122"/>
        <v>2638</v>
      </c>
      <c r="N178" s="64">
        <v>3015</v>
      </c>
      <c r="O178" s="334">
        <v>3319</v>
      </c>
      <c r="P178" s="334">
        <v>3312</v>
      </c>
      <c r="Q178" s="356">
        <v>3285</v>
      </c>
      <c r="R178" s="174">
        <f t="shared" si="123"/>
        <v>3285</v>
      </c>
    </row>
    <row r="179" spans="2:18" s="49" customFormat="1" outlineLevel="1" x14ac:dyDescent="0.3">
      <c r="B179" s="130" t="s">
        <v>138</v>
      </c>
      <c r="C179" s="133"/>
      <c r="D179" s="140">
        <f>D177+D178</f>
        <v>20917</v>
      </c>
      <c r="E179" s="140">
        <f>E177+E178</f>
        <v>21172</v>
      </c>
      <c r="F179" s="140">
        <f>F177+F178</f>
        <v>22563</v>
      </c>
      <c r="G179" s="141">
        <f>G177+G178</f>
        <v>22318</v>
      </c>
      <c r="H179" s="142">
        <f t="shared" si="119"/>
        <v>22318</v>
      </c>
      <c r="I179" s="140">
        <f>I177+I178</f>
        <v>18934</v>
      </c>
      <c r="J179" s="140">
        <f>J177+J178</f>
        <v>19359</v>
      </c>
      <c r="K179" s="140">
        <f>K177+K178</f>
        <v>17052</v>
      </c>
      <c r="L179" s="140">
        <f>L177+L178</f>
        <v>15457</v>
      </c>
      <c r="M179" s="174">
        <f>L179</f>
        <v>15457</v>
      </c>
      <c r="N179" s="179">
        <f>N178+N177</f>
        <v>14701</v>
      </c>
      <c r="O179" s="336">
        <f>O178+O177</f>
        <v>14600</v>
      </c>
      <c r="P179" s="336">
        <f>P178+P177</f>
        <v>15912</v>
      </c>
      <c r="Q179" s="356">
        <v>15497</v>
      </c>
      <c r="R179" s="174">
        <f>Q179</f>
        <v>15497</v>
      </c>
    </row>
    <row r="180" spans="2:18" s="49" customFormat="1" ht="16.2" outlineLevel="1" x14ac:dyDescent="0.45">
      <c r="B180" s="371" t="s">
        <v>62</v>
      </c>
      <c r="C180" s="372"/>
      <c r="D180" s="170">
        <f>+D164+D165+D170+D179</f>
        <v>58103</v>
      </c>
      <c r="E180" s="170">
        <f>+E164+E165+E170+E179</f>
        <v>58414</v>
      </c>
      <c r="F180" s="170">
        <f>+F164+F165+F170+F179</f>
        <v>60665</v>
      </c>
      <c r="G180" s="168">
        <f>+G164+G165+G170+G179</f>
        <v>61689</v>
      </c>
      <c r="H180" s="178">
        <f t="shared" si="119"/>
        <v>61689</v>
      </c>
      <c r="I180" s="170">
        <f>+I164+I165+I170+I179</f>
        <v>52973</v>
      </c>
      <c r="J180" s="170">
        <f>+J164+J165+J170+J179</f>
        <v>52124</v>
      </c>
      <c r="K180" s="170">
        <f>+K164+K165+K170+K179</f>
        <v>49182</v>
      </c>
      <c r="L180" s="170">
        <f>+L164+L165+L170+L179</f>
        <v>46331</v>
      </c>
      <c r="M180" s="177">
        <f t="shared" ref="M180" si="124">L180</f>
        <v>46331</v>
      </c>
      <c r="N180" s="170">
        <f>+N164+N165+N170+N179</f>
        <v>47922</v>
      </c>
      <c r="O180" s="170">
        <f>+O164+O165+O170+O179</f>
        <v>44033</v>
      </c>
      <c r="P180" s="170">
        <f>+P164+P165+P170+P179</f>
        <v>45417</v>
      </c>
      <c r="Q180" s="170">
        <f>+Q164+Q165+Q170+Q179</f>
        <v>45564</v>
      </c>
      <c r="R180" s="177">
        <f t="shared" ref="R180" si="125">Q180</f>
        <v>45564</v>
      </c>
    </row>
    <row r="181" spans="2:18" s="49" customFormat="1" x14ac:dyDescent="0.3">
      <c r="B181" s="17"/>
      <c r="C181" s="113"/>
      <c r="D181" s="1">
        <f t="shared" ref="D181:M181" si="126">D180-D154</f>
        <v>0</v>
      </c>
      <c r="E181" s="1">
        <f t="shared" si="126"/>
        <v>0</v>
      </c>
      <c r="F181" s="1">
        <f t="shared" si="126"/>
        <v>0</v>
      </c>
      <c r="G181" s="1">
        <f t="shared" si="126"/>
        <v>0</v>
      </c>
      <c r="H181" s="1">
        <f t="shared" si="126"/>
        <v>0</v>
      </c>
      <c r="I181" s="1">
        <f t="shared" si="126"/>
        <v>0</v>
      </c>
      <c r="J181" s="1">
        <f t="shared" si="126"/>
        <v>0</v>
      </c>
      <c r="K181" s="1">
        <f t="shared" si="126"/>
        <v>0</v>
      </c>
      <c r="L181" s="1">
        <f t="shared" si="126"/>
        <v>0</v>
      </c>
      <c r="M181" s="1">
        <f t="shared" si="126"/>
        <v>0</v>
      </c>
      <c r="N181" s="1">
        <f t="shared" ref="N181" si="127">N180-N154</f>
        <v>0</v>
      </c>
      <c r="O181" s="1">
        <f>O180-O154</f>
        <v>0</v>
      </c>
      <c r="P181" s="1">
        <f t="shared" ref="P181:R181" si="128">P180-P154</f>
        <v>0</v>
      </c>
      <c r="Q181" s="1">
        <f t="shared" si="128"/>
        <v>0</v>
      </c>
      <c r="R181" s="1">
        <f t="shared" si="128"/>
        <v>0</v>
      </c>
    </row>
    <row r="182" spans="2:18" s="49" customFormat="1" ht="15.6" x14ac:dyDescent="0.3">
      <c r="B182" s="381" t="s">
        <v>63</v>
      </c>
      <c r="C182" s="382"/>
      <c r="D182" s="1"/>
      <c r="E182" s="1"/>
      <c r="F182" s="1"/>
      <c r="G182" s="1"/>
      <c r="H182" s="1"/>
      <c r="I182" s="8"/>
      <c r="J182" s="1"/>
      <c r="K182" s="2"/>
      <c r="L182" s="2"/>
      <c r="M182" s="114"/>
      <c r="P182" s="333"/>
      <c r="Q182" s="333"/>
    </row>
    <row r="183" spans="2:18" s="49" customFormat="1" outlineLevel="1" x14ac:dyDescent="0.3">
      <c r="B183" s="383" t="s">
        <v>0</v>
      </c>
      <c r="C183" s="384"/>
      <c r="D183" s="51" t="s">
        <v>4</v>
      </c>
      <c r="E183" s="51" t="s">
        <v>3</v>
      </c>
      <c r="F183" s="51" t="s">
        <v>2</v>
      </c>
      <c r="G183" s="51" t="s">
        <v>5</v>
      </c>
      <c r="H183" s="51" t="s">
        <v>5</v>
      </c>
      <c r="I183" s="51" t="s">
        <v>6</v>
      </c>
      <c r="J183" s="51" t="s">
        <v>7</v>
      </c>
      <c r="K183" s="51" t="s">
        <v>8</v>
      </c>
      <c r="L183" s="51" t="s">
        <v>10</v>
      </c>
      <c r="M183" s="357" t="s">
        <v>10</v>
      </c>
      <c r="N183" s="51" t="s">
        <v>11</v>
      </c>
      <c r="O183" s="51" t="s">
        <v>12</v>
      </c>
      <c r="P183" s="353" t="s">
        <v>13</v>
      </c>
      <c r="Q183" s="353" t="s">
        <v>9</v>
      </c>
      <c r="R183" s="357" t="s">
        <v>9</v>
      </c>
    </row>
    <row r="184" spans="2:18" s="49" customFormat="1" ht="16.2" outlineLevel="1" x14ac:dyDescent="0.45">
      <c r="B184" s="383"/>
      <c r="C184" s="384"/>
      <c r="D184" s="52" t="s">
        <v>22</v>
      </c>
      <c r="E184" s="52" t="s">
        <v>23</v>
      </c>
      <c r="F184" s="52" t="s">
        <v>24</v>
      </c>
      <c r="G184" s="52" t="s">
        <v>25</v>
      </c>
      <c r="H184" s="52" t="s">
        <v>19</v>
      </c>
      <c r="I184" s="52" t="s">
        <v>26</v>
      </c>
      <c r="J184" s="52" t="s">
        <v>27</v>
      </c>
      <c r="K184" s="52" t="s">
        <v>35</v>
      </c>
      <c r="L184" s="52" t="s">
        <v>46</v>
      </c>
      <c r="M184" s="358" t="s">
        <v>47</v>
      </c>
      <c r="N184" s="52" t="s">
        <v>82</v>
      </c>
      <c r="O184" s="52" t="s">
        <v>83</v>
      </c>
      <c r="P184" s="52" t="s">
        <v>247</v>
      </c>
      <c r="Q184" s="52" t="s">
        <v>248</v>
      </c>
      <c r="R184" s="358" t="s">
        <v>249</v>
      </c>
    </row>
    <row r="185" spans="2:18" s="49" customFormat="1" outlineLevel="1" x14ac:dyDescent="0.3">
      <c r="B185" s="373" t="s">
        <v>64</v>
      </c>
      <c r="C185" s="374"/>
      <c r="D185" s="115"/>
      <c r="E185" s="116"/>
      <c r="F185" s="116"/>
      <c r="G185" s="117"/>
      <c r="H185" s="118"/>
      <c r="I185" s="119"/>
      <c r="J185" s="108"/>
      <c r="K185" s="106"/>
      <c r="L185" s="106"/>
      <c r="M185" s="107"/>
      <c r="N185" s="36"/>
      <c r="O185" s="337"/>
      <c r="P185" s="333"/>
      <c r="Q185" s="333"/>
      <c r="R185" s="107"/>
    </row>
    <row r="186" spans="2:18" s="49" customFormat="1" outlineLevel="1" x14ac:dyDescent="0.3">
      <c r="B186" s="363" t="s">
        <v>65</v>
      </c>
      <c r="C186" s="364"/>
      <c r="D186" s="115">
        <f>D40</f>
        <v>-2626</v>
      </c>
      <c r="E186" s="120">
        <f>E40</f>
        <v>266</v>
      </c>
      <c r="F186" s="120">
        <f>F40</f>
        <v>1147</v>
      </c>
      <c r="G186" s="190">
        <f>G40</f>
        <v>-350</v>
      </c>
      <c r="H186" s="118">
        <f>SUM(D186:G186)</f>
        <v>-1563</v>
      </c>
      <c r="I186" s="115">
        <f>I40</f>
        <v>-3236</v>
      </c>
      <c r="J186" s="120">
        <f>-3128-I186</f>
        <v>108</v>
      </c>
      <c r="K186" s="120">
        <f>K40</f>
        <v>-2160</v>
      </c>
      <c r="L186" s="120">
        <f>L40</f>
        <v>-1524</v>
      </c>
      <c r="M186" s="188">
        <f>M40</f>
        <v>-6812</v>
      </c>
      <c r="N186" s="120">
        <f>N40</f>
        <v>-998</v>
      </c>
      <c r="O186" s="120">
        <f>O40</f>
        <v>-610.99999999999966</v>
      </c>
      <c r="P186" s="120">
        <f>-2356-O186-N186</f>
        <v>-747.00000000000045</v>
      </c>
      <c r="Q186" s="120">
        <f>Q40</f>
        <v>-452</v>
      </c>
      <c r="R186" s="188">
        <f>R40</f>
        <v>-2807.9999999999995</v>
      </c>
    </row>
    <row r="187" spans="2:18" s="49" customFormat="1" ht="29.55" customHeight="1" outlineLevel="1" x14ac:dyDescent="0.3">
      <c r="B187" s="367" t="s">
        <v>142</v>
      </c>
      <c r="C187" s="368"/>
      <c r="D187" s="115"/>
      <c r="E187" s="120"/>
      <c r="F187" s="120"/>
      <c r="G187" s="190"/>
      <c r="H187" s="118"/>
      <c r="I187" s="115"/>
      <c r="J187" s="120"/>
      <c r="K187" s="120"/>
      <c r="L187" s="120"/>
      <c r="M187" s="188"/>
      <c r="N187" s="36"/>
      <c r="O187" s="337"/>
      <c r="P187" s="333"/>
      <c r="Q187" s="333"/>
      <c r="R187" s="188"/>
    </row>
    <row r="188" spans="2:18" s="49" customFormat="1" outlineLevel="1" x14ac:dyDescent="0.3">
      <c r="B188" s="363" t="s">
        <v>143</v>
      </c>
      <c r="C188" s="364"/>
      <c r="D188" s="115">
        <f>D24</f>
        <v>1124</v>
      </c>
      <c r="E188" s="120">
        <f>E24</f>
        <v>1048</v>
      </c>
      <c r="F188" s="120">
        <f>F24</f>
        <v>1163</v>
      </c>
      <c r="G188" s="120">
        <f>G24</f>
        <v>1215</v>
      </c>
      <c r="H188" s="118">
        <f t="shared" ref="H188" si="129">SUM(D188:G188)</f>
        <v>4550</v>
      </c>
      <c r="I188" s="115">
        <f>I24</f>
        <v>1256</v>
      </c>
      <c r="J188" s="120">
        <f>J24</f>
        <v>1214</v>
      </c>
      <c r="K188" s="120">
        <f>K24</f>
        <v>1111</v>
      </c>
      <c r="L188" s="120">
        <f>L24</f>
        <v>1022</v>
      </c>
      <c r="M188" s="188">
        <f>SUM(I188:L188)</f>
        <v>4603</v>
      </c>
      <c r="N188" s="120">
        <f>N24</f>
        <v>1149</v>
      </c>
      <c r="O188" s="120">
        <f>O24</f>
        <v>984</v>
      </c>
      <c r="P188" s="120">
        <f>3202-O188-N188</f>
        <v>1069</v>
      </c>
      <c r="Q188" s="337">
        <v>1099</v>
      </c>
      <c r="R188" s="188">
        <f>SUM(N188:Q188)</f>
        <v>4301</v>
      </c>
    </row>
    <row r="189" spans="2:18" s="49" customFormat="1" outlineLevel="1" x14ac:dyDescent="0.3">
      <c r="B189" s="180" t="s">
        <v>174</v>
      </c>
      <c r="C189" s="181"/>
      <c r="D189" s="115">
        <v>46</v>
      </c>
      <c r="E189" s="120">
        <f>188-D189</f>
        <v>142</v>
      </c>
      <c r="F189" s="120">
        <f>-210-E189-D189</f>
        <v>-398</v>
      </c>
      <c r="G189" s="120">
        <f>H189-(SUM(D189:F189))</f>
        <v>105</v>
      </c>
      <c r="H189" s="118">
        <v>-105</v>
      </c>
      <c r="I189" s="115">
        <f>-1198</f>
        <v>-1198</v>
      </c>
      <c r="J189" s="120">
        <f>-1187-I189</f>
        <v>11</v>
      </c>
      <c r="K189" s="120">
        <f>-2627-J189-I189</f>
        <v>-1440</v>
      </c>
      <c r="L189" s="120">
        <f>M189-(SUM(I189:K189))</f>
        <v>-525</v>
      </c>
      <c r="M189" s="188">
        <v>-3152</v>
      </c>
      <c r="N189" s="120">
        <f>N245</f>
        <v>-413</v>
      </c>
      <c r="O189" s="120">
        <f>-820-N189</f>
        <v>-407</v>
      </c>
      <c r="P189" s="337">
        <f>-1121-O189-N189</f>
        <v>-301</v>
      </c>
      <c r="Q189" s="120">
        <f>R189-(SUM(N189:P189))</f>
        <v>-117</v>
      </c>
      <c r="R189" s="188">
        <v>-1238</v>
      </c>
    </row>
    <row r="190" spans="2:18" s="49" customFormat="1" outlineLevel="1" x14ac:dyDescent="0.3">
      <c r="B190" s="92" t="s">
        <v>144</v>
      </c>
      <c r="C190" s="93"/>
      <c r="D190" s="115">
        <v>198</v>
      </c>
      <c r="E190" s="116">
        <f>609-D190</f>
        <v>411</v>
      </c>
      <c r="F190" s="116">
        <f>743-E190-D190</f>
        <v>134</v>
      </c>
      <c r="G190" s="120">
        <f>H190-(SUM(D190:F190))</f>
        <v>502</v>
      </c>
      <c r="H190" s="118">
        <v>1245</v>
      </c>
      <c r="I190" s="191">
        <v>1009</v>
      </c>
      <c r="J190" s="116">
        <f>1040-I190</f>
        <v>31</v>
      </c>
      <c r="K190" s="116">
        <f>1993-J190-I190</f>
        <v>953</v>
      </c>
      <c r="L190" s="120">
        <f>M190-(SUM(I190:K190))</f>
        <v>274</v>
      </c>
      <c r="M190" s="188">
        <v>2267</v>
      </c>
      <c r="N190" s="36">
        <v>35</v>
      </c>
      <c r="O190" s="337">
        <f>45-N190</f>
        <v>10</v>
      </c>
      <c r="P190" s="337">
        <f>300-O190-N190</f>
        <v>255</v>
      </c>
      <c r="Q190" s="120">
        <f>R190-(SUM(N190:P190))</f>
        <v>313</v>
      </c>
      <c r="R190" s="188">
        <v>613</v>
      </c>
    </row>
    <row r="191" spans="2:18" s="49" customFormat="1" outlineLevel="1" x14ac:dyDescent="0.3">
      <c r="B191" s="121" t="s">
        <v>96</v>
      </c>
      <c r="C191" s="122"/>
      <c r="D191" s="115">
        <f>D26</f>
        <v>3</v>
      </c>
      <c r="E191" s="120">
        <f>E26</f>
        <v>117</v>
      </c>
      <c r="F191" s="120">
        <f>F26</f>
        <v>394</v>
      </c>
      <c r="G191" s="120">
        <f>G26</f>
        <v>322</v>
      </c>
      <c r="H191" s="118">
        <f t="shared" ref="H191:H193" si="130">SUM(D191:G191)</f>
        <v>836</v>
      </c>
      <c r="I191" s="115">
        <f>I26</f>
        <v>2783</v>
      </c>
      <c r="J191" s="120">
        <f>J26</f>
        <v>30</v>
      </c>
      <c r="K191" s="120">
        <f>K26</f>
        <v>758</v>
      </c>
      <c r="L191" s="120">
        <f>L26</f>
        <v>1504</v>
      </c>
      <c r="M191" s="188">
        <f t="shared" ref="M191:M194" si="131">SUM(I191:L191)</f>
        <v>5075</v>
      </c>
      <c r="N191" s="120">
        <f>N26</f>
        <v>16</v>
      </c>
      <c r="O191" s="120">
        <f>O26</f>
        <v>18</v>
      </c>
      <c r="P191" s="337">
        <f>61-O191-N191</f>
        <v>27</v>
      </c>
      <c r="Q191" s="337">
        <v>166</v>
      </c>
      <c r="R191" s="188">
        <f t="shared" ref="R191:R194" si="132">SUM(N191:Q191)</f>
        <v>227</v>
      </c>
    </row>
    <row r="192" spans="2:18" s="49" customFormat="1" outlineLevel="1" x14ac:dyDescent="0.3">
      <c r="B192" s="121" t="s">
        <v>145</v>
      </c>
      <c r="C192" s="122"/>
      <c r="D192" s="115">
        <v>-1459</v>
      </c>
      <c r="E192" s="116">
        <f>-1468-D192</f>
        <v>-9</v>
      </c>
      <c r="F192" s="116">
        <f>-2194-E192-D192</f>
        <v>-726</v>
      </c>
      <c r="G192" s="120">
        <f>H192-(SUM(D192:F192))</f>
        <v>303</v>
      </c>
      <c r="H192" s="118">
        <v>-1891</v>
      </c>
      <c r="I192" s="191">
        <v>334</v>
      </c>
      <c r="J192" s="116">
        <f>425-I192</f>
        <v>91</v>
      </c>
      <c r="K192" s="116">
        <f>1003-J192-I192</f>
        <v>578</v>
      </c>
      <c r="L192" s="120">
        <f>M192-SUM(I192:K192)</f>
        <v>19</v>
      </c>
      <c r="M192" s="188">
        <v>1022</v>
      </c>
      <c r="N192" s="36">
        <v>-2</v>
      </c>
      <c r="O192" s="337">
        <f>102-N192</f>
        <v>104</v>
      </c>
      <c r="P192" s="337">
        <f>516-O192-N192</f>
        <v>414</v>
      </c>
      <c r="Q192" s="120">
        <f>R192-SUM(N192:P192)</f>
        <v>241</v>
      </c>
      <c r="R192" s="188">
        <v>757</v>
      </c>
    </row>
    <row r="193" spans="2:18" s="49" customFormat="1" outlineLevel="1" x14ac:dyDescent="0.3">
      <c r="B193" s="186" t="s">
        <v>175</v>
      </c>
      <c r="C193" s="187"/>
      <c r="D193" s="115">
        <v>0</v>
      </c>
      <c r="E193" s="116">
        <v>0</v>
      </c>
      <c r="F193" s="116"/>
      <c r="G193" s="116">
        <v>0</v>
      </c>
      <c r="H193" s="118">
        <f t="shared" si="130"/>
        <v>0</v>
      </c>
      <c r="I193" s="191">
        <v>0</v>
      </c>
      <c r="J193" s="116">
        <v>0</v>
      </c>
      <c r="K193" s="116">
        <v>0</v>
      </c>
      <c r="L193" s="120">
        <v>0</v>
      </c>
      <c r="M193" s="188">
        <v>0</v>
      </c>
      <c r="N193" s="36">
        <v>0</v>
      </c>
      <c r="O193" s="337">
        <f>124</f>
        <v>124</v>
      </c>
      <c r="P193" s="337">
        <f>124-O193</f>
        <v>0</v>
      </c>
      <c r="Q193" s="120">
        <f>R193-SUM(N193:P193)</f>
        <v>31</v>
      </c>
      <c r="R193" s="188">
        <v>155</v>
      </c>
    </row>
    <row r="194" spans="2:18" s="49" customFormat="1" outlineLevel="1" x14ac:dyDescent="0.3">
      <c r="B194" s="363" t="s">
        <v>146</v>
      </c>
      <c r="C194" s="364"/>
      <c r="D194" s="115">
        <v>461</v>
      </c>
      <c r="E194" s="120">
        <f>E33</f>
        <v>323</v>
      </c>
      <c r="F194" s="120">
        <f>F33</f>
        <v>-323</v>
      </c>
      <c r="G194" s="120">
        <f>H194-(SUM(D194:F194))</f>
        <v>-254</v>
      </c>
      <c r="H194" s="118">
        <v>207</v>
      </c>
      <c r="I194" s="115">
        <f>I33</f>
        <v>152</v>
      </c>
      <c r="J194" s="120">
        <f>-158-I194</f>
        <v>-310</v>
      </c>
      <c r="K194" s="120">
        <f>K33</f>
        <v>282</v>
      </c>
      <c r="L194" s="120">
        <f>L33</f>
        <v>-222</v>
      </c>
      <c r="M194" s="188">
        <f t="shared" si="131"/>
        <v>-98</v>
      </c>
      <c r="N194" s="120">
        <v>299</v>
      </c>
      <c r="O194" s="120">
        <f>610-N194</f>
        <v>311</v>
      </c>
      <c r="P194" s="337">
        <f>634-O194-N194</f>
        <v>24</v>
      </c>
      <c r="Q194" s="337">
        <v>-342</v>
      </c>
      <c r="R194" s="188">
        <f t="shared" si="132"/>
        <v>292</v>
      </c>
    </row>
    <row r="195" spans="2:18" s="49" customFormat="1" ht="16.5" customHeight="1" outlineLevel="1" x14ac:dyDescent="0.3">
      <c r="B195" s="365" t="s">
        <v>147</v>
      </c>
      <c r="C195" s="366"/>
      <c r="D195" s="115">
        <v>-98</v>
      </c>
      <c r="E195" s="116">
        <f>-186-D195</f>
        <v>-88</v>
      </c>
      <c r="F195" s="116">
        <f>-138-E195-D195</f>
        <v>48</v>
      </c>
      <c r="G195" s="120">
        <f>H195-(SUM(D195:F195))</f>
        <v>509</v>
      </c>
      <c r="H195" s="118">
        <v>371</v>
      </c>
      <c r="I195" s="191">
        <v>91</v>
      </c>
      <c r="J195" s="116">
        <f>172-I195</f>
        <v>81</v>
      </c>
      <c r="K195" s="116">
        <f>251-J195-I195</f>
        <v>79</v>
      </c>
      <c r="L195" s="120">
        <f>M195-SUM(I195:K195)</f>
        <v>84</v>
      </c>
      <c r="M195" s="188">
        <v>335</v>
      </c>
      <c r="N195" s="36">
        <v>105</v>
      </c>
      <c r="O195" s="337">
        <f>165-N195</f>
        <v>60</v>
      </c>
      <c r="P195" s="337">
        <f>229-O195-N195</f>
        <v>64</v>
      </c>
      <c r="Q195" s="120">
        <f>R195-SUM(N195:P195)</f>
        <v>38</v>
      </c>
      <c r="R195" s="188">
        <v>267</v>
      </c>
    </row>
    <row r="196" spans="2:18" s="49" customFormat="1" ht="15.45" customHeight="1" outlineLevel="1" x14ac:dyDescent="0.3">
      <c r="B196" s="369" t="s">
        <v>131</v>
      </c>
      <c r="C196" s="370"/>
      <c r="D196" s="115">
        <v>54</v>
      </c>
      <c r="E196" s="116">
        <f>108-D196</f>
        <v>54</v>
      </c>
      <c r="F196" s="116">
        <f>195-E196-D196</f>
        <v>87</v>
      </c>
      <c r="G196" s="120">
        <f>H196-(SUM(D196:F196))</f>
        <v>132</v>
      </c>
      <c r="H196" s="118">
        <v>327</v>
      </c>
      <c r="I196" s="191">
        <v>45</v>
      </c>
      <c r="J196" s="116">
        <f>74-I196</f>
        <v>29</v>
      </c>
      <c r="K196" s="116">
        <f>219-J196-I196</f>
        <v>145</v>
      </c>
      <c r="L196" s="120">
        <f>M196-SUM(I196:K196)</f>
        <v>101</v>
      </c>
      <c r="M196" s="188">
        <v>320</v>
      </c>
      <c r="N196" s="120">
        <v>115</v>
      </c>
      <c r="O196" s="337">
        <f>203-N196</f>
        <v>88</v>
      </c>
      <c r="P196" s="337">
        <f>256-O196-N196</f>
        <v>53</v>
      </c>
      <c r="Q196" s="120">
        <f>R196-SUM(N196:P196)</f>
        <v>86</v>
      </c>
      <c r="R196" s="188">
        <v>342</v>
      </c>
    </row>
    <row r="197" spans="2:18" s="49" customFormat="1" outlineLevel="1" x14ac:dyDescent="0.3">
      <c r="B197" s="373" t="s">
        <v>148</v>
      </c>
      <c r="C197" s="374"/>
      <c r="D197" s="115"/>
      <c r="E197" s="116"/>
      <c r="F197" s="116"/>
      <c r="G197" s="117"/>
      <c r="H197" s="118"/>
      <c r="I197" s="191"/>
      <c r="J197" s="116"/>
      <c r="K197" s="116"/>
      <c r="L197" s="120"/>
      <c r="M197" s="188"/>
      <c r="N197" s="36"/>
      <c r="O197" s="337"/>
      <c r="P197" s="337"/>
      <c r="Q197" s="337"/>
      <c r="R197" s="188"/>
    </row>
    <row r="198" spans="2:18" s="49" customFormat="1" outlineLevel="1" x14ac:dyDescent="0.3">
      <c r="B198" s="363" t="s">
        <v>211</v>
      </c>
      <c r="C198" s="364"/>
      <c r="D198" s="115">
        <v>-266</v>
      </c>
      <c r="E198" s="120">
        <f>-183-D198</f>
        <v>83</v>
      </c>
      <c r="F198" s="120">
        <f>104-E198-D198</f>
        <v>287</v>
      </c>
      <c r="G198" s="120">
        <f t="shared" ref="G198:G200" si="133">H198-(SUM(D198:F198))</f>
        <v>-1</v>
      </c>
      <c r="H198" s="118">
        <v>103</v>
      </c>
      <c r="I198" s="115">
        <v>357</v>
      </c>
      <c r="J198" s="120">
        <f>-105-I198</f>
        <v>-462</v>
      </c>
      <c r="K198" s="120">
        <f>23-J198-I198</f>
        <v>128</v>
      </c>
      <c r="L198" s="120">
        <f>M198-SUM(I198:K198)</f>
        <v>-25</v>
      </c>
      <c r="M198" s="118">
        <v>-2</v>
      </c>
      <c r="N198" s="120">
        <v>46</v>
      </c>
      <c r="O198" s="337">
        <f>922-N198</f>
        <v>876</v>
      </c>
      <c r="P198" s="337">
        <f>810-O198-N198</f>
        <v>-112</v>
      </c>
      <c r="Q198" s="337"/>
      <c r="R198" s="118">
        <v>0</v>
      </c>
    </row>
    <row r="199" spans="2:18" s="49" customFormat="1" outlineLevel="1" x14ac:dyDescent="0.3">
      <c r="B199" s="375" t="s">
        <v>149</v>
      </c>
      <c r="C199" s="376"/>
      <c r="D199" s="115">
        <v>-63</v>
      </c>
      <c r="E199" s="120">
        <f>21-D199</f>
        <v>84</v>
      </c>
      <c r="F199" s="120">
        <f>710-E199-D199</f>
        <v>689</v>
      </c>
      <c r="G199" s="120">
        <f>H199-(SUM(D199:F199))</f>
        <v>-703</v>
      </c>
      <c r="H199" s="118">
        <v>7</v>
      </c>
      <c r="I199" s="115">
        <v>-279</v>
      </c>
      <c r="J199" s="120">
        <f>-199-I199</f>
        <v>80</v>
      </c>
      <c r="K199" s="120">
        <f>-573-J199-I199</f>
        <v>-374</v>
      </c>
      <c r="L199" s="120">
        <f>M199-SUM(I199:K199)</f>
        <v>-422</v>
      </c>
      <c r="M199" s="118">
        <v>-995</v>
      </c>
      <c r="N199" s="189">
        <v>-403</v>
      </c>
      <c r="O199" s="337">
        <f>-717-N199</f>
        <v>-314</v>
      </c>
      <c r="P199" s="337">
        <f>-833-O199-N199</f>
        <v>-116</v>
      </c>
      <c r="Q199" s="337"/>
      <c r="R199" s="118">
        <v>0</v>
      </c>
    </row>
    <row r="200" spans="2:18" s="49" customFormat="1" ht="16.2" outlineLevel="1" x14ac:dyDescent="0.45">
      <c r="B200" s="375" t="s">
        <v>150</v>
      </c>
      <c r="C200" s="376"/>
      <c r="D200" s="149">
        <v>55</v>
      </c>
      <c r="E200" s="146">
        <f>-27-D200</f>
        <v>-82</v>
      </c>
      <c r="F200" s="146">
        <f>-225-E200-D200</f>
        <v>-198</v>
      </c>
      <c r="G200" s="146">
        <f t="shared" si="133"/>
        <v>154</v>
      </c>
      <c r="H200" s="148">
        <v>-71</v>
      </c>
      <c r="I200" s="149">
        <v>-608</v>
      </c>
      <c r="J200" s="146">
        <f>-269-I200</f>
        <v>339</v>
      </c>
      <c r="K200" s="146">
        <f>800-J200-I200</f>
        <v>1069</v>
      </c>
      <c r="L200" s="146">
        <f>M200-SUM(I200:K200)</f>
        <v>-28</v>
      </c>
      <c r="M200" s="148">
        <v>772</v>
      </c>
      <c r="N200" s="146">
        <v>-86</v>
      </c>
      <c r="O200" s="338">
        <f>-100-N200</f>
        <v>-14</v>
      </c>
      <c r="P200" s="338">
        <f>55-O200-N200</f>
        <v>155</v>
      </c>
      <c r="Q200" s="146">
        <v>0</v>
      </c>
      <c r="R200" s="148">
        <v>0</v>
      </c>
    </row>
    <row r="201" spans="2:18" s="49" customFormat="1" outlineLevel="1" x14ac:dyDescent="0.3">
      <c r="B201" s="379" t="s">
        <v>151</v>
      </c>
      <c r="C201" s="380"/>
      <c r="D201" s="192">
        <f>SUM(D186:D200)+D241</f>
        <v>1729</v>
      </c>
      <c r="E201" s="145">
        <f>SUM(E186:E200)+E238+E241</f>
        <v>2460</v>
      </c>
      <c r="F201" s="145">
        <f>SUM(F186:F200)+F241+F238</f>
        <v>2324</v>
      </c>
      <c r="G201" s="193">
        <f>8466-SUM(D201:F201)</f>
        <v>1953</v>
      </c>
      <c r="H201" s="194">
        <f>SUM(D201:G201)</f>
        <v>8466</v>
      </c>
      <c r="I201" s="192">
        <f>SUM(I186:I200)+I241</f>
        <v>-4504</v>
      </c>
      <c r="J201" s="145">
        <f>SUM(J186:J200)+J238</f>
        <v>1239</v>
      </c>
      <c r="K201" s="145">
        <f>SUM(K186:K200)</f>
        <v>1129</v>
      </c>
      <c r="L201" s="145">
        <f>SUM(L186:L200)</f>
        <v>258</v>
      </c>
      <c r="M201" s="194">
        <f>SUM(I201:L201)</f>
        <v>-1878</v>
      </c>
      <c r="N201" s="145">
        <f>SUM(N186:N200)</f>
        <v>-137</v>
      </c>
      <c r="O201" s="145">
        <f>SUM(O186:O200)</f>
        <v>1229.0000000000005</v>
      </c>
      <c r="P201" s="145">
        <f>SUM(P186:P200)</f>
        <v>784.99999999999955</v>
      </c>
      <c r="Q201" s="145">
        <f>SUM(Q186:Q200)+60</f>
        <v>1123</v>
      </c>
      <c r="R201" s="194">
        <f>SUM(N201:Q201)</f>
        <v>3000</v>
      </c>
    </row>
    <row r="202" spans="2:18" s="49" customFormat="1" outlineLevel="1" x14ac:dyDescent="0.3">
      <c r="B202" s="239" t="s">
        <v>214</v>
      </c>
      <c r="C202" s="240"/>
      <c r="D202" s="143">
        <v>0</v>
      </c>
      <c r="E202" s="140">
        <v>1</v>
      </c>
      <c r="F202" s="140">
        <v>24</v>
      </c>
      <c r="G202" s="141">
        <v>1</v>
      </c>
      <c r="H202" s="142">
        <f t="shared" ref="H202:H206" si="134">SUM(D202:G202)</f>
        <v>26</v>
      </c>
      <c r="I202" s="143">
        <v>26</v>
      </c>
      <c r="J202" s="140">
        <v>3</v>
      </c>
      <c r="K202" s="140">
        <v>1</v>
      </c>
      <c r="L202" s="140">
        <v>70</v>
      </c>
      <c r="M202" s="142">
        <f t="shared" ref="M202:M206" si="135">SUM(I202:L202)</f>
        <v>100</v>
      </c>
      <c r="N202" s="140">
        <v>180</v>
      </c>
      <c r="O202" s="140">
        <v>-12</v>
      </c>
      <c r="P202" s="140">
        <v>0</v>
      </c>
      <c r="Q202" s="140">
        <v>0</v>
      </c>
      <c r="R202" s="142">
        <v>0</v>
      </c>
    </row>
    <row r="203" spans="2:18" s="49" customFormat="1" outlineLevel="1" x14ac:dyDescent="0.3">
      <c r="B203" s="239" t="s">
        <v>213</v>
      </c>
      <c r="C203" s="240"/>
      <c r="D203" s="143">
        <v>520</v>
      </c>
      <c r="E203" s="140">
        <v>56</v>
      </c>
      <c r="F203" s="140">
        <v>207</v>
      </c>
      <c r="G203" s="141">
        <v>-95</v>
      </c>
      <c r="H203" s="142">
        <f t="shared" si="134"/>
        <v>688</v>
      </c>
      <c r="I203" s="143">
        <v>228</v>
      </c>
      <c r="J203" s="140">
        <v>88</v>
      </c>
      <c r="K203" s="140">
        <v>674</v>
      </c>
      <c r="L203" s="140">
        <v>8</v>
      </c>
      <c r="M203" s="142">
        <f t="shared" si="135"/>
        <v>998</v>
      </c>
      <c r="N203" s="140">
        <v>0</v>
      </c>
      <c r="O203" s="140"/>
      <c r="P203" s="140">
        <v>0</v>
      </c>
      <c r="Q203" s="140">
        <v>0</v>
      </c>
      <c r="R203" s="142">
        <v>0</v>
      </c>
    </row>
    <row r="204" spans="2:18" s="49" customFormat="1" ht="16.2" outlineLevel="1" x14ac:dyDescent="0.45">
      <c r="B204" s="239" t="s">
        <v>212</v>
      </c>
      <c r="C204" s="240"/>
      <c r="D204" s="146">
        <f>D201-SUM(D198:D200)+D202+D203</f>
        <v>2523</v>
      </c>
      <c r="E204" s="146">
        <f>E201-SUM(E198:E200,E241)+E202+E203</f>
        <v>2413</v>
      </c>
      <c r="F204" s="146">
        <f>F201-SUM(F198:F200,F241)+F202+F203</f>
        <v>1758</v>
      </c>
      <c r="G204" s="146">
        <f>G201-SUM(G198:G200,G241)+G202+G203</f>
        <v>2387</v>
      </c>
      <c r="H204" s="148">
        <f t="shared" si="134"/>
        <v>9081</v>
      </c>
      <c r="I204" s="146">
        <f>I201-SUM(I198:I200,I241)+I202+I203</f>
        <v>1490</v>
      </c>
      <c r="J204" s="146">
        <f>J201-SUM(J198:J200,J241)+J202+J203</f>
        <v>1373</v>
      </c>
      <c r="K204" s="146">
        <f>K201-SUM(K198:K200,K241)+K202+K203</f>
        <v>981</v>
      </c>
      <c r="L204" s="146">
        <f>L201-SUM(L198:L200,L241)+L202+L203</f>
        <v>811</v>
      </c>
      <c r="M204" s="148">
        <f t="shared" si="135"/>
        <v>4655</v>
      </c>
      <c r="N204" s="146">
        <f>N201-SUM(N198:N200,N241)+N202+N203</f>
        <v>486</v>
      </c>
      <c r="O204" s="146">
        <f>O201-SUM(O198:O200,O241)+O202+O203</f>
        <v>669.00000000000045</v>
      </c>
      <c r="P204" s="146">
        <v>0</v>
      </c>
      <c r="Q204" s="146">
        <v>0</v>
      </c>
      <c r="R204" s="148">
        <v>0</v>
      </c>
    </row>
    <row r="205" spans="2:18" s="49" customFormat="1" ht="16.2" outlineLevel="1" x14ac:dyDescent="0.45">
      <c r="B205" s="239" t="s">
        <v>218</v>
      </c>
      <c r="C205" s="240"/>
      <c r="D205" s="146">
        <v>2568</v>
      </c>
      <c r="E205" s="146">
        <v>2402</v>
      </c>
      <c r="F205" s="146">
        <v>2117</v>
      </c>
      <c r="G205" s="146">
        <v>2169</v>
      </c>
      <c r="H205" s="148">
        <f t="shared" si="134"/>
        <v>9256</v>
      </c>
      <c r="I205" s="146">
        <f>1822</f>
        <v>1822</v>
      </c>
      <c r="J205" s="146">
        <v>1401</v>
      </c>
      <c r="K205" s="146">
        <v>1352</v>
      </c>
      <c r="L205" s="146">
        <v>1313</v>
      </c>
      <c r="M205" s="148">
        <f t="shared" si="135"/>
        <v>5888</v>
      </c>
      <c r="N205" s="146">
        <v>896</v>
      </c>
      <c r="O205" s="146">
        <v>728</v>
      </c>
      <c r="P205" s="146">
        <v>0</v>
      </c>
      <c r="Q205" s="146">
        <v>0</v>
      </c>
      <c r="R205" s="148">
        <v>0</v>
      </c>
    </row>
    <row r="206" spans="2:18" s="49" customFormat="1" outlineLevel="1" x14ac:dyDescent="0.3">
      <c r="B206" s="239" t="s">
        <v>219</v>
      </c>
      <c r="C206" s="240"/>
      <c r="D206" s="145">
        <f>D204-D205</f>
        <v>-45</v>
      </c>
      <c r="E206" s="145">
        <f>E204-E205</f>
        <v>11</v>
      </c>
      <c r="F206" s="145">
        <f>F204-F205</f>
        <v>-359</v>
      </c>
      <c r="G206" s="145">
        <f>G204-G205</f>
        <v>218</v>
      </c>
      <c r="H206" s="194">
        <f t="shared" si="134"/>
        <v>-175</v>
      </c>
      <c r="I206" s="145">
        <f>I204-I205</f>
        <v>-332</v>
      </c>
      <c r="J206" s="145">
        <f>J204-J205</f>
        <v>-28</v>
      </c>
      <c r="K206" s="145">
        <f>K204-K205</f>
        <v>-371</v>
      </c>
      <c r="L206" s="145">
        <f>L204-L205</f>
        <v>-502</v>
      </c>
      <c r="M206" s="194">
        <f t="shared" si="135"/>
        <v>-1233</v>
      </c>
      <c r="N206" s="145">
        <f>N204-N205</f>
        <v>-410</v>
      </c>
      <c r="O206" s="145">
        <f>O204-O205</f>
        <v>-58.999999999999545</v>
      </c>
      <c r="P206" s="337"/>
      <c r="Q206" s="337"/>
      <c r="R206" s="194">
        <v>0</v>
      </c>
    </row>
    <row r="207" spans="2:18" s="49" customFormat="1" outlineLevel="1" x14ac:dyDescent="0.3">
      <c r="B207" s="373" t="s">
        <v>66</v>
      </c>
      <c r="C207" s="374"/>
      <c r="D207" s="109"/>
      <c r="E207" s="110"/>
      <c r="F207" s="110"/>
      <c r="G207" s="111"/>
      <c r="H207" s="112"/>
      <c r="I207" s="109"/>
      <c r="J207" s="110"/>
      <c r="K207" s="110"/>
      <c r="L207" s="120"/>
      <c r="M207" s="112">
        <f t="shared" ref="M207" si="136">SUM(I207:L207)</f>
        <v>0</v>
      </c>
      <c r="N207" s="36"/>
      <c r="O207" s="337"/>
      <c r="P207" s="337"/>
      <c r="Q207" s="333"/>
      <c r="R207" s="112">
        <f t="shared" ref="R207" si="137">SUM(N207:Q207)</f>
        <v>0</v>
      </c>
    </row>
    <row r="208" spans="2:18" s="49" customFormat="1" outlineLevel="1" x14ac:dyDescent="0.3">
      <c r="B208" s="375" t="s">
        <v>152</v>
      </c>
      <c r="C208" s="376"/>
      <c r="D208" s="115">
        <v>-2501</v>
      </c>
      <c r="E208" s="120">
        <f>-5100-D208</f>
        <v>-2599</v>
      </c>
      <c r="F208" s="120">
        <f>-7289-E208-D208</f>
        <v>-2189</v>
      </c>
      <c r="G208" s="120">
        <f t="shared" ref="G208:G210" si="138">H208-(SUM(D208:F208))</f>
        <v>-2219</v>
      </c>
      <c r="H208" s="188">
        <v>-9508</v>
      </c>
      <c r="I208" s="115">
        <v>-1957</v>
      </c>
      <c r="J208" s="120">
        <f>-3501-I208</f>
        <v>-1544</v>
      </c>
      <c r="K208" s="120">
        <f>-4861-J208-I208</f>
        <v>-1360</v>
      </c>
      <c r="L208" s="120">
        <f t="shared" ref="L208:L211" si="139">M208-SUM(I208:K208)</f>
        <v>-1206</v>
      </c>
      <c r="M208" s="188">
        <v>-6067</v>
      </c>
      <c r="N208" s="36">
        <v>-1022</v>
      </c>
      <c r="O208" s="337">
        <f>-1879-N208</f>
        <v>-857</v>
      </c>
      <c r="P208" s="337">
        <f>-2618-O208-N208</f>
        <v>-739</v>
      </c>
      <c r="Q208" s="333"/>
      <c r="R208" s="188">
        <v>0</v>
      </c>
    </row>
    <row r="209" spans="2:18" s="49" customFormat="1" outlineLevel="1" x14ac:dyDescent="0.3">
      <c r="B209" s="182" t="s">
        <v>177</v>
      </c>
      <c r="C209" s="183"/>
      <c r="D209" s="115">
        <v>-4</v>
      </c>
      <c r="E209" s="120">
        <f>-3-D209</f>
        <v>1</v>
      </c>
      <c r="F209" s="120">
        <v>0</v>
      </c>
      <c r="G209" s="120">
        <f t="shared" si="138"/>
        <v>-1524</v>
      </c>
      <c r="H209" s="188">
        <v>-1527</v>
      </c>
      <c r="I209" s="115">
        <v>0</v>
      </c>
      <c r="J209" s="120">
        <f>-3</f>
        <v>-3</v>
      </c>
      <c r="K209" s="120">
        <v>0</v>
      </c>
      <c r="L209" s="120">
        <f t="shared" si="139"/>
        <v>0</v>
      </c>
      <c r="M209" s="188">
        <v>-3</v>
      </c>
      <c r="N209" s="36">
        <v>0</v>
      </c>
      <c r="O209" s="337">
        <v>0</v>
      </c>
      <c r="P209" s="337">
        <v>0</v>
      </c>
      <c r="Q209" s="333"/>
      <c r="R209" s="188">
        <v>0</v>
      </c>
    </row>
    <row r="210" spans="2:18" s="49" customFormat="1" outlineLevel="1" x14ac:dyDescent="0.3">
      <c r="B210" s="375" t="s">
        <v>153</v>
      </c>
      <c r="C210" s="376"/>
      <c r="D210" s="115">
        <v>3257</v>
      </c>
      <c r="E210" s="120">
        <f>3286-D210</f>
        <v>29</v>
      </c>
      <c r="F210" s="120">
        <f>4770-E210-D210</f>
        <v>1484</v>
      </c>
      <c r="G210" s="120">
        <f t="shared" si="138"/>
        <v>198</v>
      </c>
      <c r="H210" s="188">
        <v>4968</v>
      </c>
      <c r="I210" s="115">
        <v>22</v>
      </c>
      <c r="J210" s="120">
        <f>700-I210</f>
        <v>678</v>
      </c>
      <c r="K210" s="120">
        <f>1248-J210-I210</f>
        <v>548</v>
      </c>
      <c r="L210" s="120">
        <f t="shared" si="139"/>
        <v>167</v>
      </c>
      <c r="M210" s="188">
        <v>1415</v>
      </c>
      <c r="N210" s="36">
        <v>35</v>
      </c>
      <c r="O210" s="337">
        <f>900-N210</f>
        <v>865</v>
      </c>
      <c r="P210" s="337">
        <f>1281-O210-N210</f>
        <v>381</v>
      </c>
      <c r="Q210" s="333"/>
      <c r="R210" s="188">
        <v>0</v>
      </c>
    </row>
    <row r="211" spans="2:18" s="49" customFormat="1" ht="16.2" outlineLevel="1" x14ac:dyDescent="0.45">
      <c r="B211" s="123" t="s">
        <v>154</v>
      </c>
      <c r="C211" s="124"/>
      <c r="D211" s="149">
        <v>-170</v>
      </c>
      <c r="E211" s="146">
        <f>-282-D211</f>
        <v>-112</v>
      </c>
      <c r="F211" s="146">
        <f>-376-E211-D211</f>
        <v>-94</v>
      </c>
      <c r="G211" s="146">
        <f t="shared" ref="G211" si="140">H211-(SUM(D211:F211))</f>
        <v>-29</v>
      </c>
      <c r="H211" s="148">
        <v>-405</v>
      </c>
      <c r="I211" s="149">
        <v>10</v>
      </c>
      <c r="J211" s="146">
        <f>19-I211</f>
        <v>9</v>
      </c>
      <c r="K211" s="146">
        <f>-83-J211-I211</f>
        <v>-102</v>
      </c>
      <c r="L211" s="146">
        <f t="shared" si="139"/>
        <v>-33</v>
      </c>
      <c r="M211" s="148">
        <v>-116</v>
      </c>
      <c r="N211" s="196">
        <v>14</v>
      </c>
      <c r="O211" s="338">
        <f>14-N211</f>
        <v>0</v>
      </c>
      <c r="P211" s="338">
        <f>81-O211-N211</f>
        <v>67</v>
      </c>
      <c r="Q211" s="338">
        <v>0</v>
      </c>
      <c r="R211" s="148">
        <v>0</v>
      </c>
    </row>
    <row r="212" spans="2:18" s="49" customFormat="1" outlineLevel="1" x14ac:dyDescent="0.3">
      <c r="B212" s="379" t="s">
        <v>164</v>
      </c>
      <c r="C212" s="380"/>
      <c r="D212" s="192">
        <f t="shared" ref="D212:P212" si="141">SUM(D208:D211)</f>
        <v>582</v>
      </c>
      <c r="E212" s="145">
        <f t="shared" si="141"/>
        <v>-2681</v>
      </c>
      <c r="F212" s="145">
        <f t="shared" si="141"/>
        <v>-799</v>
      </c>
      <c r="G212" s="193">
        <f t="shared" si="141"/>
        <v>-3574</v>
      </c>
      <c r="H212" s="194">
        <f t="shared" si="141"/>
        <v>-6472</v>
      </c>
      <c r="I212" s="192">
        <f t="shared" si="141"/>
        <v>-1925</v>
      </c>
      <c r="J212" s="145">
        <f t="shared" si="141"/>
        <v>-860</v>
      </c>
      <c r="K212" s="145">
        <f t="shared" si="141"/>
        <v>-914</v>
      </c>
      <c r="L212" s="145">
        <f t="shared" si="141"/>
        <v>-1072</v>
      </c>
      <c r="M212" s="194">
        <f>SUM(M208:M211)</f>
        <v>-4771</v>
      </c>
      <c r="N212" s="145">
        <f t="shared" si="141"/>
        <v>-973</v>
      </c>
      <c r="O212" s="145">
        <f t="shared" si="141"/>
        <v>8</v>
      </c>
      <c r="P212" s="145">
        <f t="shared" si="141"/>
        <v>-291</v>
      </c>
      <c r="Q212" s="145">
        <v>-1506</v>
      </c>
      <c r="R212" s="194">
        <f>SUM(N212:Q212)</f>
        <v>-2762</v>
      </c>
    </row>
    <row r="213" spans="2:18" s="49" customFormat="1" outlineLevel="1" x14ac:dyDescent="0.3">
      <c r="B213" s="373" t="s">
        <v>67</v>
      </c>
      <c r="C213" s="374"/>
      <c r="D213" s="115"/>
      <c r="E213" s="120"/>
      <c r="F213" s="120"/>
      <c r="G213" s="190"/>
      <c r="H213" s="188"/>
      <c r="I213" s="115"/>
      <c r="J213" s="120"/>
      <c r="K213" s="120"/>
      <c r="L213" s="120"/>
      <c r="M213" s="188"/>
      <c r="N213" s="36"/>
      <c r="O213" s="337"/>
      <c r="P213" s="337"/>
      <c r="Q213" s="333"/>
      <c r="R213" s="188"/>
    </row>
    <row r="214" spans="2:18" s="49" customFormat="1" outlineLevel="1" x14ac:dyDescent="0.3">
      <c r="B214" s="94" t="s">
        <v>155</v>
      </c>
      <c r="C214" s="95"/>
      <c r="D214" s="115">
        <v>918</v>
      </c>
      <c r="E214" s="120">
        <f>1077-D214</f>
        <v>159</v>
      </c>
      <c r="F214" s="120">
        <f>2370-E214-D214</f>
        <v>1293</v>
      </c>
      <c r="G214" s="120">
        <f t="shared" ref="G214:G222" si="142">H214-(SUM(D214:F214))</f>
        <v>509</v>
      </c>
      <c r="H214" s="188">
        <v>2879</v>
      </c>
      <c r="I214" s="115">
        <v>4583</v>
      </c>
      <c r="J214" s="120">
        <f>4787-I214</f>
        <v>204</v>
      </c>
      <c r="K214" s="120">
        <f>4810-J214-I214</f>
        <v>23</v>
      </c>
      <c r="L214" s="120">
        <f t="shared" ref="L214:L222" si="143">M214-SUM(I214:K214)</f>
        <v>-178</v>
      </c>
      <c r="M214" s="188">
        <v>4632</v>
      </c>
      <c r="N214" s="36">
        <v>4682</v>
      </c>
      <c r="O214" s="337">
        <f>5275-N214</f>
        <v>593</v>
      </c>
      <c r="P214" s="337">
        <f>5840-O214-N214</f>
        <v>565</v>
      </c>
      <c r="Q214" s="333"/>
      <c r="R214" s="188">
        <v>0</v>
      </c>
    </row>
    <row r="215" spans="2:18" s="49" customFormat="1" outlineLevel="1" x14ac:dyDescent="0.3">
      <c r="B215" s="94" t="s">
        <v>156</v>
      </c>
      <c r="C215" s="95"/>
      <c r="D215" s="115">
        <v>-930</v>
      </c>
      <c r="E215" s="120">
        <f>-1255-D215</f>
        <v>-325</v>
      </c>
      <c r="F215" s="120">
        <f>-1255-E215-D215</f>
        <v>0</v>
      </c>
      <c r="G215" s="120">
        <f t="shared" si="142"/>
        <v>-170</v>
      </c>
      <c r="H215" s="188">
        <v>-1425</v>
      </c>
      <c r="I215" s="115">
        <v>-2830</v>
      </c>
      <c r="J215" s="120">
        <f>-3857-I215</f>
        <v>-1027</v>
      </c>
      <c r="K215" s="120">
        <f>-4024-J215-I215</f>
        <v>-167</v>
      </c>
      <c r="L215" s="120">
        <f t="shared" si="143"/>
        <v>-9</v>
      </c>
      <c r="M215" s="188">
        <v>-4033</v>
      </c>
      <c r="N215" s="36">
        <v>-1608</v>
      </c>
      <c r="O215" s="337">
        <f>-5425-N215</f>
        <v>-3817</v>
      </c>
      <c r="P215" s="337">
        <f>-6023-O215-N215</f>
        <v>-598</v>
      </c>
      <c r="Q215" s="333"/>
      <c r="R215" s="188">
        <v>0</v>
      </c>
    </row>
    <row r="216" spans="2:18" s="49" customFormat="1" outlineLevel="1" x14ac:dyDescent="0.3">
      <c r="B216" s="375" t="s">
        <v>157</v>
      </c>
      <c r="C216" s="376"/>
      <c r="D216" s="115">
        <v>0</v>
      </c>
      <c r="E216" s="120">
        <f>-222</f>
        <v>-222</v>
      </c>
      <c r="F216" s="120">
        <f>-222-E216-D216</f>
        <v>0</v>
      </c>
      <c r="G216" s="120">
        <f t="shared" si="142"/>
        <v>0</v>
      </c>
      <c r="H216" s="188">
        <v>-222</v>
      </c>
      <c r="I216" s="115">
        <v>-146</v>
      </c>
      <c r="J216" s="120">
        <f>-77-I216</f>
        <v>69</v>
      </c>
      <c r="K216" s="120">
        <f>-44-J216-I216</f>
        <v>33</v>
      </c>
      <c r="L216" s="120">
        <f t="shared" si="143"/>
        <v>9</v>
      </c>
      <c r="M216" s="188">
        <v>-35</v>
      </c>
      <c r="N216" s="36">
        <v>-555</v>
      </c>
      <c r="O216" s="337">
        <f>-727-N216</f>
        <v>-172</v>
      </c>
      <c r="P216" s="337">
        <f>-639-O216-N216</f>
        <v>88</v>
      </c>
      <c r="Q216" s="333"/>
      <c r="R216" s="188">
        <v>0</v>
      </c>
    </row>
    <row r="217" spans="2:18" s="49" customFormat="1" outlineLevel="1" x14ac:dyDescent="0.3">
      <c r="B217" s="375" t="s">
        <v>158</v>
      </c>
      <c r="C217" s="376"/>
      <c r="D217" s="115">
        <v>97</v>
      </c>
      <c r="E217" s="120">
        <f>178-D217</f>
        <v>81</v>
      </c>
      <c r="F217" s="120">
        <f>134-E217-D217</f>
        <v>-44</v>
      </c>
      <c r="G217" s="120">
        <f t="shared" si="142"/>
        <v>-72</v>
      </c>
      <c r="H217" s="188">
        <v>62</v>
      </c>
      <c r="I217" s="115">
        <v>-39</v>
      </c>
      <c r="J217" s="120">
        <f>-109-I217</f>
        <v>-70</v>
      </c>
      <c r="K217" s="120">
        <f>-103-J217-I217</f>
        <v>6</v>
      </c>
      <c r="L217" s="120">
        <f t="shared" si="143"/>
        <v>80</v>
      </c>
      <c r="M217" s="188">
        <v>-23</v>
      </c>
      <c r="N217" s="36">
        <v>-150</v>
      </c>
      <c r="O217" s="337">
        <f>-159-N217</f>
        <v>-9</v>
      </c>
      <c r="P217" s="337">
        <f>-126-O217-N217</f>
        <v>33</v>
      </c>
      <c r="Q217" s="333"/>
      <c r="R217" s="188">
        <v>0</v>
      </c>
    </row>
    <row r="218" spans="2:18" s="49" customFormat="1" outlineLevel="1" x14ac:dyDescent="0.3">
      <c r="B218" s="375" t="s">
        <v>159</v>
      </c>
      <c r="C218" s="376"/>
      <c r="D218" s="115">
        <v>-92</v>
      </c>
      <c r="E218" s="120">
        <f>-230-D218</f>
        <v>-138</v>
      </c>
      <c r="F218" s="120">
        <f>-368-E218-D218</f>
        <v>-138</v>
      </c>
      <c r="G218" s="120">
        <f t="shared" si="142"/>
        <v>-137</v>
      </c>
      <c r="H218" s="188">
        <v>-505</v>
      </c>
      <c r="I218" s="115">
        <v>-139</v>
      </c>
      <c r="J218" s="120">
        <f>-277-I218</f>
        <v>-138</v>
      </c>
      <c r="K218" s="120">
        <f>-415-J218-I218</f>
        <v>-138</v>
      </c>
      <c r="L218" s="120">
        <f t="shared" si="143"/>
        <v>-138</v>
      </c>
      <c r="M218" s="188">
        <v>-553</v>
      </c>
      <c r="N218" s="36">
        <v>-25</v>
      </c>
      <c r="O218" s="337">
        <f>-51-N218</f>
        <v>-26</v>
      </c>
      <c r="P218" s="337">
        <f>-78-O218-N218</f>
        <v>-27</v>
      </c>
      <c r="Q218" s="333"/>
      <c r="R218" s="188">
        <v>0</v>
      </c>
    </row>
    <row r="219" spans="2:18" s="49" customFormat="1" outlineLevel="1" x14ac:dyDescent="0.3">
      <c r="B219" s="123" t="s">
        <v>160</v>
      </c>
      <c r="C219" s="124"/>
      <c r="D219" s="115">
        <v>-35</v>
      </c>
      <c r="E219" s="120">
        <f>-35-D219</f>
        <v>0</v>
      </c>
      <c r="F219" s="120">
        <f>-36-E219-D219</f>
        <v>-1</v>
      </c>
      <c r="G219" s="120">
        <f t="shared" si="142"/>
        <v>-9</v>
      </c>
      <c r="H219" s="188">
        <v>-45</v>
      </c>
      <c r="I219" s="115">
        <v>-36</v>
      </c>
      <c r="J219" s="120">
        <f>-37-I219</f>
        <v>-1</v>
      </c>
      <c r="K219" s="120">
        <f>-38-J219-I219</f>
        <v>-1</v>
      </c>
      <c r="L219" s="120">
        <f t="shared" si="143"/>
        <v>-17</v>
      </c>
      <c r="M219" s="188">
        <v>-55</v>
      </c>
      <c r="N219" s="36">
        <v>-30</v>
      </c>
      <c r="O219" s="337">
        <f>-31-N219</f>
        <v>-1</v>
      </c>
      <c r="P219" s="337">
        <f>-32-O219-N219</f>
        <v>-1</v>
      </c>
      <c r="Q219" s="333"/>
      <c r="R219" s="188">
        <v>0</v>
      </c>
    </row>
    <row r="220" spans="2:18" s="49" customFormat="1" ht="28.5" customHeight="1" outlineLevel="1" x14ac:dyDescent="0.3">
      <c r="B220" s="413" t="s">
        <v>161</v>
      </c>
      <c r="C220" s="414"/>
      <c r="D220" s="115">
        <v>13</v>
      </c>
      <c r="E220" s="120">
        <f>73-D220</f>
        <v>60</v>
      </c>
      <c r="F220" s="120">
        <f>117-E220-D220</f>
        <v>44</v>
      </c>
      <c r="G220" s="120">
        <f t="shared" si="142"/>
        <v>4</v>
      </c>
      <c r="H220" s="188">
        <v>121</v>
      </c>
      <c r="I220" s="115">
        <v>12</v>
      </c>
      <c r="J220" s="120">
        <f>19-I220</f>
        <v>7</v>
      </c>
      <c r="K220" s="120">
        <f>21-J220-I220</f>
        <v>2</v>
      </c>
      <c r="L220" s="120">
        <f t="shared" si="143"/>
        <v>13</v>
      </c>
      <c r="M220" s="188">
        <v>34</v>
      </c>
      <c r="N220" s="36">
        <v>30</v>
      </c>
      <c r="O220" s="337">
        <f>30-N220</f>
        <v>0</v>
      </c>
      <c r="P220" s="337">
        <f>2188-O220-N220</f>
        <v>2158</v>
      </c>
      <c r="Q220" s="333"/>
      <c r="R220" s="188">
        <v>0</v>
      </c>
    </row>
    <row r="221" spans="2:18" s="49" customFormat="1" ht="14.55" customHeight="1" outlineLevel="1" x14ac:dyDescent="0.3">
      <c r="B221" s="184" t="s">
        <v>167</v>
      </c>
      <c r="C221" s="185"/>
      <c r="D221" s="115">
        <v>18</v>
      </c>
      <c r="E221" s="120">
        <f>92-D221</f>
        <v>74</v>
      </c>
      <c r="F221" s="120">
        <v>0</v>
      </c>
      <c r="G221" s="120">
        <f t="shared" si="142"/>
        <v>934</v>
      </c>
      <c r="H221" s="188">
        <v>1026</v>
      </c>
      <c r="I221" s="115">
        <v>31</v>
      </c>
      <c r="J221" s="120">
        <v>156</v>
      </c>
      <c r="K221" s="120">
        <v>0</v>
      </c>
      <c r="L221" s="120">
        <v>0</v>
      </c>
      <c r="M221" s="188">
        <f t="shared" ref="M221" si="144">SUM(I221:L221)</f>
        <v>187</v>
      </c>
      <c r="N221" s="120">
        <f>N231</f>
        <v>440</v>
      </c>
      <c r="O221" s="337">
        <f>O231</f>
        <v>723</v>
      </c>
      <c r="P221" s="337">
        <f>1163-O221-N221</f>
        <v>0</v>
      </c>
      <c r="Q221" s="333"/>
      <c r="R221" s="188">
        <v>0</v>
      </c>
    </row>
    <row r="222" spans="2:18" s="49" customFormat="1" outlineLevel="1" x14ac:dyDescent="0.3">
      <c r="B222" s="123" t="s">
        <v>162</v>
      </c>
      <c r="C222" s="124"/>
      <c r="D222" s="115">
        <v>-51</v>
      </c>
      <c r="E222" s="120">
        <f>-102-D222</f>
        <v>-51</v>
      </c>
      <c r="F222" s="120">
        <f>-157-E222-D222</f>
        <v>-55</v>
      </c>
      <c r="G222" s="120">
        <f t="shared" si="142"/>
        <v>-59</v>
      </c>
      <c r="H222" s="188">
        <v>-216</v>
      </c>
      <c r="I222" s="115">
        <v>-67</v>
      </c>
      <c r="J222" s="120">
        <f>-135-I222</f>
        <v>-68</v>
      </c>
      <c r="K222" s="120">
        <f>-208-J222-I222</f>
        <v>-73</v>
      </c>
      <c r="L222" s="120">
        <f t="shared" si="143"/>
        <v>-74</v>
      </c>
      <c r="M222" s="188">
        <v>-282</v>
      </c>
      <c r="N222" s="36">
        <v>-78</v>
      </c>
      <c r="O222" s="337">
        <f>-159-N222</f>
        <v>-81</v>
      </c>
      <c r="P222" s="337">
        <f>-260-O222-N222</f>
        <v>-101</v>
      </c>
      <c r="Q222" s="333"/>
      <c r="R222" s="188">
        <v>0</v>
      </c>
    </row>
    <row r="223" spans="2:18" s="49" customFormat="1" ht="30" customHeight="1" outlineLevel="1" x14ac:dyDescent="0.45">
      <c r="B223" s="413" t="s">
        <v>163</v>
      </c>
      <c r="C223" s="414"/>
      <c r="D223" s="149">
        <v>0</v>
      </c>
      <c r="E223" s="146">
        <v>0</v>
      </c>
      <c r="F223" s="146">
        <v>0</v>
      </c>
      <c r="G223" s="147">
        <v>0</v>
      </c>
      <c r="H223" s="148">
        <f t="shared" ref="H223" si="145">SUM(D223:G223)</f>
        <v>0</v>
      </c>
      <c r="I223" s="149">
        <v>0</v>
      </c>
      <c r="J223" s="146">
        <v>0</v>
      </c>
      <c r="K223" s="146">
        <v>0</v>
      </c>
      <c r="L223" s="146">
        <v>0</v>
      </c>
      <c r="M223" s="148">
        <f>SUM(I223:L223)</f>
        <v>0</v>
      </c>
      <c r="N223" s="146">
        <v>413</v>
      </c>
      <c r="O223" s="338">
        <f>413-N223</f>
        <v>0</v>
      </c>
      <c r="P223" s="338">
        <f>413-O223-N223</f>
        <v>0</v>
      </c>
      <c r="Q223" s="338">
        <v>0</v>
      </c>
      <c r="R223" s="148">
        <v>0</v>
      </c>
    </row>
    <row r="224" spans="2:18" s="49" customFormat="1" outlineLevel="1" x14ac:dyDescent="0.3">
      <c r="B224" s="379" t="s">
        <v>165</v>
      </c>
      <c r="C224" s="380"/>
      <c r="D224" s="192">
        <f t="shared" ref="D224:P224" si="146">SUM(D214:D223)</f>
        <v>-62</v>
      </c>
      <c r="E224" s="145">
        <f>SUM(E214:E223)</f>
        <v>-362</v>
      </c>
      <c r="F224" s="145">
        <f>SUM(F214:F223)+F234</f>
        <v>1441</v>
      </c>
      <c r="G224" s="193">
        <f t="shared" si="146"/>
        <v>1000</v>
      </c>
      <c r="H224" s="193">
        <f t="shared" si="146"/>
        <v>1675</v>
      </c>
      <c r="I224" s="192">
        <f t="shared" si="146"/>
        <v>1369</v>
      </c>
      <c r="J224" s="145">
        <f>SUM(J214:J223)+348</f>
        <v>-520</v>
      </c>
      <c r="K224" s="145">
        <f t="shared" si="146"/>
        <v>-315</v>
      </c>
      <c r="L224" s="145">
        <f>SUM(L214:L223)</f>
        <v>-314</v>
      </c>
      <c r="M224" s="194">
        <f>SUM(M214:M223)+L235</f>
        <v>220</v>
      </c>
      <c r="N224" s="145">
        <f t="shared" si="146"/>
        <v>3119</v>
      </c>
      <c r="O224" s="145">
        <f t="shared" si="146"/>
        <v>-2790</v>
      </c>
      <c r="P224" s="145">
        <f t="shared" si="146"/>
        <v>2117</v>
      </c>
      <c r="Q224" s="145">
        <v>-413</v>
      </c>
      <c r="R224" s="194">
        <f>SUM(N224:Q224)</f>
        <v>2033</v>
      </c>
    </row>
    <row r="225" spans="2:19" s="50" customFormat="1" outlineLevel="1" x14ac:dyDescent="0.3">
      <c r="B225" s="94" t="s">
        <v>69</v>
      </c>
      <c r="C225" s="95"/>
      <c r="D225" s="143">
        <v>-23</v>
      </c>
      <c r="E225" s="173">
        <f>0-D225</f>
        <v>23</v>
      </c>
      <c r="F225" s="173">
        <f>1-E225-D225</f>
        <v>1</v>
      </c>
      <c r="G225" s="120">
        <f t="shared" ref="G225:G226" si="147">H225-(SUM(D225:F225))</f>
        <v>1</v>
      </c>
      <c r="H225" s="174">
        <v>2</v>
      </c>
      <c r="I225" s="198">
        <v>-1</v>
      </c>
      <c r="J225" s="173">
        <f>1-I225</f>
        <v>2</v>
      </c>
      <c r="K225" s="140">
        <f>-1-J225-I225</f>
        <v>-2</v>
      </c>
      <c r="L225" s="120">
        <f t="shared" ref="L225" si="148">M225-SUM(I225:K225)</f>
        <v>-1</v>
      </c>
      <c r="M225" s="174">
        <v>-2</v>
      </c>
      <c r="N225" s="195">
        <v>-1</v>
      </c>
      <c r="O225" s="339">
        <f>-1-N225</f>
        <v>0</v>
      </c>
      <c r="P225" s="337">
        <f>-1-O225-N225</f>
        <v>0</v>
      </c>
      <c r="Q225" s="355"/>
      <c r="R225" s="174">
        <v>0</v>
      </c>
    </row>
    <row r="226" spans="2:19" s="50" customFormat="1" ht="16.2" outlineLevel="1" x14ac:dyDescent="0.45">
      <c r="B226" s="375" t="s">
        <v>68</v>
      </c>
      <c r="C226" s="376"/>
      <c r="D226" s="149">
        <v>2226</v>
      </c>
      <c r="E226" s="172">
        <f>1667-D226</f>
        <v>-559</v>
      </c>
      <c r="F226" s="172">
        <f>4637-E226-D226</f>
        <v>2970</v>
      </c>
      <c r="G226" s="146">
        <f t="shared" si="147"/>
        <v>-966</v>
      </c>
      <c r="H226" s="175">
        <v>3671</v>
      </c>
      <c r="I226" s="199">
        <v>-5061</v>
      </c>
      <c r="J226" s="172">
        <f>-5196-I226</f>
        <v>-135</v>
      </c>
      <c r="K226" s="146">
        <f>-5297-J226-I226</f>
        <v>-101</v>
      </c>
      <c r="L226" s="146">
        <f>M226-SUM(I226:K226)</f>
        <v>-1133</v>
      </c>
      <c r="M226" s="175">
        <v>-6430</v>
      </c>
      <c r="N226" s="196">
        <f>2008</f>
        <v>2008</v>
      </c>
      <c r="O226" s="338">
        <f>455-N226</f>
        <v>-1553</v>
      </c>
      <c r="P226" s="354">
        <f>3041-O226-N226</f>
        <v>2586</v>
      </c>
      <c r="Q226" s="354">
        <f>Q201+Q212+Q224</f>
        <v>-796</v>
      </c>
      <c r="R226" s="175">
        <f>SUM(N226:Q226)</f>
        <v>2245</v>
      </c>
      <c r="S226" s="195"/>
    </row>
    <row r="227" spans="2:19" s="49" customFormat="1" outlineLevel="1" x14ac:dyDescent="0.3">
      <c r="B227" s="379" t="s">
        <v>70</v>
      </c>
      <c r="C227" s="380"/>
      <c r="D227" s="192">
        <v>3698</v>
      </c>
      <c r="E227" s="145">
        <v>5924</v>
      </c>
      <c r="F227" s="145">
        <v>5365</v>
      </c>
      <c r="G227" s="145">
        <v>8335</v>
      </c>
      <c r="H227" s="192">
        <f>D227</f>
        <v>3698</v>
      </c>
      <c r="I227" s="200">
        <v>7369</v>
      </c>
      <c r="J227" s="197">
        <f>I228</f>
        <v>2308</v>
      </c>
      <c r="K227" s="197">
        <f>J228</f>
        <v>2173</v>
      </c>
      <c r="L227" s="197">
        <f>K228</f>
        <v>2072</v>
      </c>
      <c r="M227" s="201">
        <f>I227</f>
        <v>7369</v>
      </c>
      <c r="N227" s="60">
        <v>939</v>
      </c>
      <c r="O227" s="340">
        <f>N228</f>
        <v>2947</v>
      </c>
      <c r="P227" s="340">
        <f>O228</f>
        <v>1394</v>
      </c>
      <c r="Q227" s="340">
        <f>P228</f>
        <v>3980</v>
      </c>
      <c r="R227" s="201">
        <f>N227</f>
        <v>939</v>
      </c>
    </row>
    <row r="228" spans="2:19" s="49" customFormat="1" outlineLevel="1" x14ac:dyDescent="0.3">
      <c r="B228" s="379" t="s">
        <v>71</v>
      </c>
      <c r="C228" s="380"/>
      <c r="D228" s="192">
        <f t="shared" ref="D228:O228" si="149">D226+D227</f>
        <v>5924</v>
      </c>
      <c r="E228" s="145">
        <f t="shared" si="149"/>
        <v>5365</v>
      </c>
      <c r="F228" s="145">
        <f t="shared" si="149"/>
        <v>8335</v>
      </c>
      <c r="G228" s="145">
        <f t="shared" si="149"/>
        <v>7369</v>
      </c>
      <c r="H228" s="194">
        <f t="shared" si="149"/>
        <v>7369</v>
      </c>
      <c r="I228" s="192">
        <f t="shared" si="149"/>
        <v>2308</v>
      </c>
      <c r="J228" s="145">
        <f t="shared" si="149"/>
        <v>2173</v>
      </c>
      <c r="K228" s="145">
        <f t="shared" si="149"/>
        <v>2072</v>
      </c>
      <c r="L228" s="145">
        <f t="shared" si="149"/>
        <v>939</v>
      </c>
      <c r="M228" s="194">
        <f t="shared" si="149"/>
        <v>939</v>
      </c>
      <c r="N228" s="145">
        <f t="shared" si="149"/>
        <v>2947</v>
      </c>
      <c r="O228" s="145">
        <f t="shared" si="149"/>
        <v>1394</v>
      </c>
      <c r="P228" s="145">
        <f>P226+P227</f>
        <v>3980</v>
      </c>
      <c r="Q228" s="145">
        <f>Q226+Q227</f>
        <v>3184</v>
      </c>
      <c r="R228" s="194">
        <f>R226+R227</f>
        <v>3184</v>
      </c>
    </row>
    <row r="229" spans="2:19" s="59" customFormat="1" outlineLevel="1" x14ac:dyDescent="0.3">
      <c r="B229" s="281" t="s">
        <v>166</v>
      </c>
      <c r="C229" s="282"/>
      <c r="D229" s="192"/>
      <c r="E229" s="145"/>
      <c r="F229" s="145"/>
      <c r="G229" s="193"/>
      <c r="H229" s="194"/>
      <c r="I229" s="192"/>
      <c r="J229" s="145"/>
      <c r="K229" s="145"/>
      <c r="L229" s="145"/>
      <c r="M229" s="194"/>
      <c r="N229" s="14"/>
      <c r="O229" s="189"/>
      <c r="P229" s="97"/>
      <c r="Q229" s="97"/>
      <c r="R229" s="194"/>
    </row>
    <row r="230" spans="2:19" s="59" customFormat="1" outlineLevel="1" x14ac:dyDescent="0.3">
      <c r="B230" s="281" t="s">
        <v>67</v>
      </c>
      <c r="C230" s="282"/>
      <c r="D230" s="192"/>
      <c r="E230" s="145"/>
      <c r="F230" s="145"/>
      <c r="G230" s="193"/>
      <c r="H230" s="194"/>
      <c r="I230" s="192"/>
      <c r="J230" s="145"/>
      <c r="K230" s="145"/>
      <c r="L230" s="145"/>
      <c r="M230" s="194"/>
      <c r="N230" s="14"/>
      <c r="O230" s="189"/>
      <c r="P230" s="97"/>
      <c r="Q230" s="97"/>
      <c r="R230" s="194"/>
    </row>
    <row r="231" spans="2:19" s="59" customFormat="1" outlineLevel="1" x14ac:dyDescent="0.3">
      <c r="B231" s="280" t="s">
        <v>167</v>
      </c>
      <c r="C231" s="282"/>
      <c r="D231" s="143"/>
      <c r="E231" s="140"/>
      <c r="F231" s="140"/>
      <c r="G231" s="141">
        <v>1026</v>
      </c>
      <c r="H231" s="142"/>
      <c r="I231" s="143">
        <v>31</v>
      </c>
      <c r="J231" s="140">
        <f>187-I231</f>
        <v>156</v>
      </c>
      <c r="K231" s="140"/>
      <c r="L231" s="140">
        <f>187-K231-J231-I231</f>
        <v>0</v>
      </c>
      <c r="M231" s="142"/>
      <c r="N231" s="202">
        <v>440</v>
      </c>
      <c r="O231" s="341">
        <f>1163-N231</f>
        <v>723</v>
      </c>
      <c r="P231" s="189"/>
      <c r="Q231" s="97"/>
      <c r="R231" s="142"/>
    </row>
    <row r="232" spans="2:19" s="59" customFormat="1" outlineLevel="1" x14ac:dyDescent="0.3">
      <c r="B232" s="281" t="s">
        <v>178</v>
      </c>
      <c r="C232" s="282"/>
      <c r="D232" s="192"/>
      <c r="E232" s="145"/>
      <c r="F232" s="145"/>
      <c r="G232" s="193"/>
      <c r="H232" s="194"/>
      <c r="I232" s="192"/>
      <c r="J232" s="145"/>
      <c r="K232" s="145"/>
      <c r="L232" s="145"/>
      <c r="M232" s="194"/>
      <c r="N232" s="14"/>
      <c r="O232" s="189"/>
      <c r="P232" s="97"/>
      <c r="Q232" s="97"/>
      <c r="R232" s="194"/>
    </row>
    <row r="233" spans="2:19" s="59" customFormat="1" outlineLevel="1" x14ac:dyDescent="0.3">
      <c r="B233" s="281" t="s">
        <v>67</v>
      </c>
      <c r="C233" s="282"/>
      <c r="D233" s="192"/>
      <c r="E233" s="145"/>
      <c r="F233" s="145"/>
      <c r="G233" s="193"/>
      <c r="H233" s="194"/>
      <c r="I233" s="192"/>
      <c r="J233" s="145"/>
      <c r="K233" s="145"/>
      <c r="L233" s="145"/>
      <c r="M233" s="194"/>
      <c r="N233" s="14"/>
      <c r="O233" s="189"/>
      <c r="P233" s="97"/>
      <c r="Q233" s="97"/>
      <c r="R233" s="194"/>
    </row>
    <row r="234" spans="2:19" s="59" customFormat="1" outlineLevel="1" x14ac:dyDescent="0.3">
      <c r="B234" s="280" t="s">
        <v>179</v>
      </c>
      <c r="C234" s="282"/>
      <c r="D234" s="143"/>
      <c r="E234" s="140">
        <v>92</v>
      </c>
      <c r="F234" s="140">
        <f>434-E234</f>
        <v>342</v>
      </c>
      <c r="G234" s="141"/>
      <c r="H234" s="142"/>
      <c r="I234" s="143">
        <v>0</v>
      </c>
      <c r="J234" s="140">
        <v>348</v>
      </c>
      <c r="K234" s="140">
        <f>187-J234</f>
        <v>-161</v>
      </c>
      <c r="L234" s="140"/>
      <c r="M234" s="142"/>
      <c r="N234" s="202"/>
      <c r="O234" s="341"/>
      <c r="P234" s="97"/>
      <c r="Q234" s="97"/>
      <c r="R234" s="142"/>
    </row>
    <row r="235" spans="2:19" s="59" customFormat="1" outlineLevel="1" x14ac:dyDescent="0.3">
      <c r="B235" s="280" t="s">
        <v>167</v>
      </c>
      <c r="C235" s="282"/>
      <c r="D235" s="192"/>
      <c r="E235" s="145"/>
      <c r="F235" s="145"/>
      <c r="G235" s="193"/>
      <c r="H235" s="194"/>
      <c r="I235" s="192">
        <v>0</v>
      </c>
      <c r="J235" s="145">
        <v>0</v>
      </c>
      <c r="K235" s="145">
        <v>0</v>
      </c>
      <c r="L235" s="140">
        <v>348</v>
      </c>
      <c r="M235" s="194"/>
      <c r="N235" s="14"/>
      <c r="O235" s="189"/>
      <c r="P235" s="97"/>
      <c r="Q235" s="97"/>
      <c r="R235" s="194"/>
    </row>
    <row r="236" spans="2:19" s="59" customFormat="1" outlineLevel="1" x14ac:dyDescent="0.3">
      <c r="B236" s="281" t="s">
        <v>176</v>
      </c>
      <c r="C236" s="282"/>
      <c r="D236" s="192"/>
      <c r="E236" s="145"/>
      <c r="F236" s="145"/>
      <c r="G236" s="193"/>
      <c r="H236" s="194"/>
      <c r="I236" s="143"/>
      <c r="J236" s="145"/>
      <c r="K236" s="145"/>
      <c r="L236" s="145"/>
      <c r="M236" s="194"/>
      <c r="N236" s="14"/>
      <c r="O236" s="189"/>
      <c r="P236" s="97"/>
      <c r="Q236" s="97"/>
      <c r="R236" s="194"/>
    </row>
    <row r="237" spans="2:19" s="59" customFormat="1" outlineLevel="1" x14ac:dyDescent="0.3">
      <c r="B237" s="281" t="s">
        <v>169</v>
      </c>
      <c r="C237" s="282"/>
      <c r="D237" s="192"/>
      <c r="E237" s="145"/>
      <c r="F237" s="145"/>
      <c r="G237" s="193"/>
      <c r="H237" s="194"/>
      <c r="I237" s="192"/>
      <c r="J237" s="145"/>
      <c r="K237" s="145"/>
      <c r="L237" s="145"/>
      <c r="M237" s="194"/>
      <c r="N237" s="14"/>
      <c r="O237" s="189"/>
      <c r="P237" s="97"/>
      <c r="Q237" s="97"/>
      <c r="R237" s="194"/>
    </row>
    <row r="238" spans="2:19" s="59" customFormat="1" outlineLevel="1" x14ac:dyDescent="0.3">
      <c r="B238" s="280" t="s">
        <v>170</v>
      </c>
      <c r="C238" s="282"/>
      <c r="D238" s="143"/>
      <c r="E238" s="140">
        <v>92</v>
      </c>
      <c r="F238" s="140">
        <f>93-E238</f>
        <v>1</v>
      </c>
      <c r="G238" s="141"/>
      <c r="H238" s="142"/>
      <c r="I238" s="143">
        <v>4</v>
      </c>
      <c r="J238" s="140">
        <f>1-I238</f>
        <v>-3</v>
      </c>
      <c r="K238" s="140">
        <v>0</v>
      </c>
      <c r="L238" s="140"/>
      <c r="M238" s="142"/>
      <c r="N238" s="202"/>
      <c r="O238" s="341"/>
      <c r="P238" s="189"/>
      <c r="Q238" s="97"/>
      <c r="R238" s="142"/>
    </row>
    <row r="239" spans="2:19" s="59" customFormat="1" outlineLevel="1" x14ac:dyDescent="0.3">
      <c r="B239" s="281" t="s">
        <v>168</v>
      </c>
      <c r="C239" s="282"/>
      <c r="D239" s="192"/>
      <c r="E239" s="145"/>
      <c r="F239" s="145"/>
      <c r="G239" s="193"/>
      <c r="H239" s="194"/>
      <c r="I239" s="192"/>
      <c r="J239" s="145"/>
      <c r="K239" s="145"/>
      <c r="L239" s="145"/>
      <c r="M239" s="194"/>
      <c r="N239" s="14"/>
      <c r="O239" s="189"/>
      <c r="P239" s="97"/>
      <c r="Q239" s="97"/>
      <c r="R239" s="194"/>
    </row>
    <row r="240" spans="2:19" s="59" customFormat="1" outlineLevel="1" x14ac:dyDescent="0.3">
      <c r="B240" s="281" t="s">
        <v>169</v>
      </c>
      <c r="C240" s="282"/>
      <c r="D240" s="192"/>
      <c r="E240" s="145"/>
      <c r="F240" s="145"/>
      <c r="G240" s="193"/>
      <c r="H240" s="194"/>
      <c r="I240" s="192"/>
      <c r="J240" s="145"/>
      <c r="K240" s="145"/>
      <c r="L240" s="145"/>
      <c r="M240" s="194"/>
      <c r="N240" s="14"/>
      <c r="O240" s="189"/>
      <c r="P240" s="97"/>
      <c r="Q240" s="97"/>
      <c r="R240" s="194"/>
    </row>
    <row r="241" spans="1:24" s="59" customFormat="1" outlineLevel="1" x14ac:dyDescent="0.3">
      <c r="B241" s="280" t="s">
        <v>170</v>
      </c>
      <c r="C241" s="282"/>
      <c r="D241" s="143">
        <v>4300</v>
      </c>
      <c r="E241" s="140">
        <f>4319-D241</f>
        <v>19</v>
      </c>
      <c r="F241" s="140">
        <f>4338-E241-D241</f>
        <v>19</v>
      </c>
      <c r="G241" s="141">
        <f>4360-SUM(D241:F241)</f>
        <v>22</v>
      </c>
      <c r="H241" s="142"/>
      <c r="I241" s="143">
        <v>-5210</v>
      </c>
      <c r="J241" s="140"/>
      <c r="K241" s="140">
        <f>-5210-I241</f>
        <v>0</v>
      </c>
      <c r="L241" s="140">
        <f>-5210-K241-J241-I241</f>
        <v>0</v>
      </c>
      <c r="M241" s="142"/>
      <c r="N241" s="202">
        <v>0</v>
      </c>
      <c r="O241" s="341"/>
      <c r="P241" s="189"/>
      <c r="Q241" s="97"/>
      <c r="R241" s="142"/>
    </row>
    <row r="242" spans="1:24" s="59" customFormat="1" outlineLevel="1" x14ac:dyDescent="0.3">
      <c r="A242" s="307"/>
      <c r="B242" s="281" t="s">
        <v>171</v>
      </c>
      <c r="C242" s="282"/>
      <c r="D242" s="192"/>
      <c r="E242" s="145"/>
      <c r="F242" s="145"/>
      <c r="G242" s="193"/>
      <c r="H242" s="194"/>
      <c r="I242" s="192"/>
      <c r="J242" s="145"/>
      <c r="K242" s="145"/>
      <c r="L242" s="145"/>
      <c r="M242" s="194"/>
      <c r="N242" s="14"/>
      <c r="O242" s="189"/>
      <c r="P242" s="97"/>
      <c r="Q242" s="97"/>
      <c r="R242" s="194"/>
    </row>
    <row r="243" spans="1:24" s="59" customFormat="1" outlineLevel="1" x14ac:dyDescent="0.3">
      <c r="B243" s="367" t="s">
        <v>172</v>
      </c>
      <c r="C243" s="368"/>
      <c r="D243" s="192"/>
      <c r="E243" s="145"/>
      <c r="F243" s="145"/>
      <c r="G243" s="193"/>
      <c r="H243" s="194"/>
      <c r="I243" s="192"/>
      <c r="J243" s="145"/>
      <c r="K243" s="145"/>
      <c r="L243" s="145"/>
      <c r="M243" s="194"/>
      <c r="N243" s="14"/>
      <c r="O243" s="189"/>
      <c r="P243" s="97"/>
      <c r="Q243" s="97"/>
      <c r="R243" s="194"/>
    </row>
    <row r="244" spans="1:24" s="59" customFormat="1" outlineLevel="1" x14ac:dyDescent="0.3">
      <c r="B244" s="367"/>
      <c r="C244" s="368"/>
      <c r="D244" s="192"/>
      <c r="E244" s="145"/>
      <c r="F244" s="145"/>
      <c r="G244" s="193"/>
      <c r="H244" s="194"/>
      <c r="I244" s="192"/>
      <c r="J244" s="145"/>
      <c r="K244" s="145"/>
      <c r="L244" s="145"/>
      <c r="M244" s="194"/>
      <c r="N244" s="14"/>
      <c r="O244" s="189"/>
      <c r="P244" s="97"/>
      <c r="Q244" s="97"/>
      <c r="R244" s="194"/>
    </row>
    <row r="245" spans="1:24" s="49" customFormat="1" outlineLevel="1" x14ac:dyDescent="0.3">
      <c r="B245" s="243" t="s">
        <v>173</v>
      </c>
      <c r="C245" s="242"/>
      <c r="D245" s="203">
        <v>46</v>
      </c>
      <c r="E245" s="204">
        <v>188</v>
      </c>
      <c r="F245" s="204">
        <v>-210</v>
      </c>
      <c r="G245" s="272">
        <f>-105-SUM(D245:F245)</f>
        <v>-129</v>
      </c>
      <c r="H245" s="205"/>
      <c r="I245" s="203">
        <v>-1198</v>
      </c>
      <c r="J245" s="204"/>
      <c r="K245" s="206">
        <f>-2627-J245-I245</f>
        <v>-1429</v>
      </c>
      <c r="L245" s="204">
        <f>-3152-K245-J245-I245</f>
        <v>-525</v>
      </c>
      <c r="M245" s="205"/>
      <c r="N245" s="339">
        <v>-413</v>
      </c>
      <c r="O245" s="339"/>
      <c r="P245" s="337"/>
      <c r="Q245" s="333"/>
      <c r="R245" s="205"/>
    </row>
    <row r="246" spans="1:24" s="49" customFormat="1" outlineLevel="1" x14ac:dyDescent="0.3">
      <c r="B246" s="399" t="s">
        <v>72</v>
      </c>
      <c r="C246" s="400"/>
      <c r="D246" s="273">
        <f t="shared" ref="D246:O246" si="150">(D142-D165-D161)/D50</f>
        <v>-15.168650793650794</v>
      </c>
      <c r="E246" s="274">
        <f t="shared" si="150"/>
        <v>-15.875739644970414</v>
      </c>
      <c r="F246" s="274">
        <f t="shared" si="150"/>
        <v>-12.584645669291339</v>
      </c>
      <c r="G246" s="275">
        <f t="shared" si="150"/>
        <v>-15.262845849802371</v>
      </c>
      <c r="H246" s="276">
        <f t="shared" si="150"/>
        <v>-15.262845849802371</v>
      </c>
      <c r="I246" s="273">
        <f t="shared" si="150"/>
        <v>-28.712031558185405</v>
      </c>
      <c r="J246" s="274">
        <f t="shared" si="150"/>
        <v>-27.278978388998034</v>
      </c>
      <c r="K246" s="274">
        <f t="shared" si="150"/>
        <v>-27.269685039370078</v>
      </c>
      <c r="L246" s="275">
        <f t="shared" si="150"/>
        <v>-28.994094488188978</v>
      </c>
      <c r="M246" s="276">
        <f>(M142-M165-M161)/M50</f>
        <v>-29.022514823154182</v>
      </c>
      <c r="N246" s="360">
        <f t="shared" si="150"/>
        <v>-31.04911591355599</v>
      </c>
      <c r="O246" s="342">
        <f t="shared" si="150"/>
        <v>-27.998039215686273</v>
      </c>
      <c r="P246" s="342">
        <f>(P142-P165-P161)/P50</f>
        <v>-23.013539651837526</v>
      </c>
      <c r="Q246" s="342">
        <f>(Q142-Q165-Q161)/Q50</f>
        <v>-22.030852994555353</v>
      </c>
      <c r="R246" s="276">
        <f>(R142-R165-R161)/R50</f>
        <v>-23.414889507638019</v>
      </c>
      <c r="S246" s="59"/>
      <c r="T246" s="59"/>
    </row>
    <row r="247" spans="1:24" s="49" customFormat="1" ht="15" customHeight="1" x14ac:dyDescent="0.3">
      <c r="B247" s="20"/>
      <c r="C247" s="98"/>
      <c r="D247" s="126">
        <f t="shared" ref="D247:M247" si="151">D228-D142</f>
        <v>0</v>
      </c>
      <c r="E247" s="126">
        <f t="shared" si="151"/>
        <v>0</v>
      </c>
      <c r="F247" s="126">
        <f t="shared" si="151"/>
        <v>0</v>
      </c>
      <c r="G247" s="126">
        <f t="shared" si="151"/>
        <v>0</v>
      </c>
      <c r="H247" s="126">
        <f t="shared" si="151"/>
        <v>0</v>
      </c>
      <c r="I247" s="126">
        <f t="shared" si="151"/>
        <v>0</v>
      </c>
      <c r="J247" s="126">
        <f t="shared" si="151"/>
        <v>0</v>
      </c>
      <c r="K247" s="126">
        <f t="shared" si="151"/>
        <v>0</v>
      </c>
      <c r="L247" s="126">
        <f t="shared" si="151"/>
        <v>0</v>
      </c>
      <c r="M247" s="126">
        <f t="shared" si="151"/>
        <v>0</v>
      </c>
      <c r="N247" s="35"/>
      <c r="O247" s="35"/>
      <c r="P247" s="35"/>
      <c r="Q247" s="35"/>
      <c r="R247" s="35"/>
      <c r="S247" s="35"/>
      <c r="T247" s="35"/>
      <c r="U247" s="35"/>
      <c r="V247" s="35"/>
      <c r="W247" s="35"/>
      <c r="X247" s="64"/>
    </row>
    <row r="248" spans="1:24" ht="15.6" x14ac:dyDescent="0.3">
      <c r="B248" s="381" t="s">
        <v>1</v>
      </c>
      <c r="C248" s="382"/>
      <c r="D248" s="11"/>
      <c r="E248" s="11"/>
      <c r="F248" s="11"/>
      <c r="G248" s="11"/>
      <c r="H248" s="18"/>
      <c r="I248" s="11"/>
      <c r="J248" s="11"/>
      <c r="K248" s="48"/>
      <c r="L248" s="11"/>
      <c r="M248" s="11"/>
      <c r="N248" s="11"/>
      <c r="O248" s="11"/>
      <c r="P248" s="11"/>
      <c r="Q248" s="11"/>
      <c r="R248" s="11"/>
      <c r="S248" s="11"/>
      <c r="T248" s="11"/>
      <c r="U248" s="11"/>
      <c r="V248" s="11"/>
      <c r="W248" s="11"/>
    </row>
    <row r="249" spans="1:24" x14ac:dyDescent="0.3">
      <c r="B249" s="22" t="s">
        <v>252</v>
      </c>
      <c r="C249" s="74">
        <v>204.74</v>
      </c>
      <c r="D249" s="86"/>
      <c r="E249" s="5"/>
      <c r="F249" s="5"/>
      <c r="G249" s="5"/>
      <c r="H249" s="28"/>
      <c r="I249" s="6"/>
      <c r="J249" s="7"/>
      <c r="K249" s="4"/>
      <c r="L249" s="4"/>
      <c r="M249" s="7"/>
      <c r="N249" s="6"/>
      <c r="O249" s="7"/>
      <c r="P249" s="4"/>
      <c r="Q249" s="4"/>
      <c r="R249" s="7"/>
      <c r="S249" s="6"/>
      <c r="T249" s="7"/>
      <c r="U249" s="4"/>
      <c r="V249" s="4"/>
      <c r="W249" s="7"/>
    </row>
    <row r="250" spans="1:24" x14ac:dyDescent="0.3">
      <c r="B250" s="22" t="s">
        <v>253</v>
      </c>
      <c r="C250" s="74">
        <v>212.47</v>
      </c>
      <c r="D250" s="87"/>
      <c r="E250" s="18"/>
      <c r="F250" s="18"/>
      <c r="G250" s="18"/>
      <c r="H250" s="28"/>
      <c r="I250" s="18"/>
      <c r="J250" s="18"/>
      <c r="K250" s="19"/>
      <c r="L250" s="19"/>
      <c r="M250" s="19"/>
      <c r="N250" s="18"/>
      <c r="O250" s="18"/>
      <c r="P250" s="19"/>
      <c r="Q250" s="19"/>
      <c r="R250" s="19"/>
      <c r="S250" s="18"/>
      <c r="T250" s="18"/>
      <c r="U250" s="19"/>
      <c r="V250" s="19"/>
      <c r="W250" s="19"/>
    </row>
    <row r="251" spans="1:24" x14ac:dyDescent="0.3">
      <c r="B251" s="22" t="s">
        <v>254</v>
      </c>
      <c r="C251" s="74">
        <v>193.15</v>
      </c>
      <c r="D251" s="87"/>
      <c r="E251" s="18"/>
      <c r="F251" s="24"/>
      <c r="G251" s="18"/>
      <c r="H251" s="28"/>
      <c r="I251" s="18"/>
      <c r="J251" s="18"/>
      <c r="K251" s="19"/>
      <c r="L251" s="19"/>
      <c r="M251" s="19"/>
      <c r="N251" s="18"/>
      <c r="O251" s="18"/>
      <c r="P251" s="19"/>
      <c r="Q251" s="19"/>
      <c r="R251" s="19"/>
      <c r="S251" s="18"/>
      <c r="T251" s="18"/>
      <c r="U251" s="19"/>
      <c r="V251" s="19"/>
      <c r="W251" s="19"/>
    </row>
    <row r="252" spans="1:24" x14ac:dyDescent="0.3">
      <c r="B252" s="22" t="s">
        <v>255</v>
      </c>
      <c r="C252" s="75">
        <f>C249</f>
        <v>204.74</v>
      </c>
      <c r="D252" s="87"/>
      <c r="E252" s="18"/>
      <c r="F252" s="18"/>
      <c r="G252" s="18"/>
      <c r="H252" s="28"/>
      <c r="I252" s="18"/>
      <c r="J252" s="18"/>
      <c r="K252" s="19"/>
      <c r="L252" s="19"/>
      <c r="M252" s="19"/>
      <c r="N252" s="18"/>
      <c r="O252" s="18"/>
      <c r="P252" s="19"/>
      <c r="Q252" s="19"/>
      <c r="R252" s="19"/>
      <c r="S252" s="18"/>
      <c r="T252" s="18"/>
      <c r="U252" s="19"/>
      <c r="V252" s="19"/>
      <c r="W252" s="19"/>
    </row>
    <row r="253" spans="1:24" s="49" customFormat="1" x14ac:dyDescent="0.3">
      <c r="B253" s="22" t="s">
        <v>256</v>
      </c>
      <c r="C253" s="315">
        <v>0.35</v>
      </c>
      <c r="D253" s="87"/>
      <c r="E253" s="18"/>
      <c r="F253" s="18"/>
      <c r="G253" s="18"/>
      <c r="H253" s="28"/>
      <c r="I253" s="18"/>
      <c r="J253" s="18"/>
      <c r="K253" s="19"/>
      <c r="L253" s="19"/>
      <c r="M253" s="19"/>
      <c r="N253" s="18"/>
      <c r="O253" s="18"/>
      <c r="P253" s="19"/>
      <c r="Q253" s="19"/>
      <c r="R253" s="19"/>
      <c r="S253" s="18"/>
      <c r="T253" s="18"/>
      <c r="U253" s="19"/>
      <c r="V253" s="19"/>
      <c r="W253" s="19"/>
    </row>
    <row r="254" spans="1:24" x14ac:dyDescent="0.3">
      <c r="B254" s="12" t="s">
        <v>21</v>
      </c>
      <c r="C254" s="316">
        <f>C252*C253</f>
        <v>71.658999999999992</v>
      </c>
      <c r="D254" s="88"/>
      <c r="E254" s="18"/>
      <c r="F254" s="18"/>
      <c r="G254" s="18"/>
      <c r="H254" s="28"/>
      <c r="I254" s="18"/>
      <c r="J254" s="18"/>
      <c r="K254" s="19"/>
      <c r="L254" s="19"/>
      <c r="M254" s="19"/>
      <c r="N254" s="18"/>
      <c r="O254" s="18"/>
      <c r="P254" s="19"/>
      <c r="Q254" s="19"/>
      <c r="R254" s="19"/>
      <c r="S254" s="18"/>
      <c r="T254" s="18"/>
      <c r="U254" s="19"/>
      <c r="V254" s="19"/>
      <c r="W254" s="19"/>
    </row>
    <row r="255" spans="1:24" s="23" customFormat="1" ht="103.2" customHeight="1" x14ac:dyDescent="0.3">
      <c r="B255" s="393" t="s">
        <v>257</v>
      </c>
      <c r="C255" s="394"/>
      <c r="D255" s="88"/>
      <c r="E255" s="18"/>
      <c r="F255" s="18"/>
      <c r="G255" s="18"/>
      <c r="H255" s="18"/>
      <c r="I255" s="18"/>
      <c r="J255" s="18"/>
      <c r="K255" s="19"/>
      <c r="L255" s="19"/>
      <c r="M255" s="19"/>
      <c r="N255" s="18"/>
      <c r="O255" s="18"/>
      <c r="P255" s="19"/>
      <c r="Q255" s="19"/>
      <c r="R255" s="19"/>
      <c r="S255" s="18"/>
      <c r="T255" s="18"/>
      <c r="U255" s="19"/>
      <c r="V255" s="19"/>
      <c r="W255" s="19"/>
    </row>
    <row r="256" spans="1:24" s="23" customFormat="1" ht="55.2" customHeight="1" x14ac:dyDescent="0.3">
      <c r="B256" s="391" t="s">
        <v>259</v>
      </c>
      <c r="C256" s="392"/>
      <c r="D256" s="88"/>
      <c r="E256" s="18"/>
      <c r="F256" s="18"/>
      <c r="G256" s="18"/>
      <c r="H256" s="18"/>
      <c r="I256" s="18"/>
      <c r="J256" s="18"/>
      <c r="K256" s="19"/>
      <c r="L256" s="19"/>
      <c r="M256" s="19"/>
      <c r="N256" s="18"/>
      <c r="O256" s="18"/>
      <c r="P256" s="19"/>
      <c r="Q256" s="19"/>
      <c r="R256" s="19"/>
      <c r="S256" s="18"/>
      <c r="T256" s="18"/>
      <c r="U256" s="19"/>
      <c r="V256" s="19"/>
      <c r="W256" s="19"/>
    </row>
    <row r="257" spans="2:23" x14ac:dyDescent="0.3">
      <c r="B257" s="9"/>
      <c r="C257" s="1"/>
      <c r="D257" s="8"/>
    </row>
    <row r="258" spans="2:23" ht="15.6" x14ac:dyDescent="0.3">
      <c r="B258" s="381" t="s">
        <v>53</v>
      </c>
      <c r="C258" s="382"/>
      <c r="D258" s="8"/>
    </row>
    <row r="259" spans="2:23" x14ac:dyDescent="0.3">
      <c r="B259" s="81" t="s">
        <v>49</v>
      </c>
      <c r="C259" s="277">
        <v>5.5599999999999997E-2</v>
      </c>
    </row>
    <row r="260" spans="2:23" s="49" customFormat="1" x14ac:dyDescent="0.3">
      <c r="B260" s="3" t="s">
        <v>50</v>
      </c>
      <c r="C260" s="90">
        <v>9.1300000000000006E-2</v>
      </c>
      <c r="D260" s="1"/>
      <c r="E260" s="1"/>
      <c r="F260" s="1"/>
      <c r="G260" s="1"/>
      <c r="H260" s="1"/>
      <c r="I260" s="1"/>
      <c r="J260" s="1"/>
      <c r="K260" s="2"/>
      <c r="L260" s="2"/>
      <c r="M260" s="2"/>
      <c r="N260" s="1"/>
      <c r="O260" s="1"/>
      <c r="P260" s="2"/>
      <c r="Q260" s="2"/>
      <c r="R260" s="2"/>
      <c r="S260" s="1"/>
      <c r="T260" s="1"/>
      <c r="U260" s="2"/>
      <c r="V260" s="2"/>
      <c r="W260" s="2"/>
    </row>
    <row r="261" spans="2:23" s="49" customFormat="1" x14ac:dyDescent="0.3">
      <c r="B261" s="3" t="s">
        <v>54</v>
      </c>
      <c r="C261" s="82">
        <f>C254</f>
        <v>71.658999999999992</v>
      </c>
      <c r="D261" s="1"/>
      <c r="E261" s="1"/>
      <c r="F261" s="1"/>
      <c r="G261" s="1"/>
      <c r="H261" s="1"/>
      <c r="I261" s="1"/>
      <c r="J261" s="1"/>
      <c r="K261" s="2"/>
      <c r="L261" s="2"/>
      <c r="M261" s="2"/>
      <c r="N261" s="1"/>
      <c r="O261" s="1"/>
      <c r="P261" s="2"/>
      <c r="Q261" s="2"/>
      <c r="R261" s="2"/>
      <c r="S261" s="1"/>
      <c r="T261" s="1"/>
      <c r="U261" s="2"/>
      <c r="V261" s="2"/>
      <c r="W261" s="2"/>
    </row>
    <row r="262" spans="2:23" x14ac:dyDescent="0.3">
      <c r="B262" s="22" t="s">
        <v>51</v>
      </c>
      <c r="C262" s="82">
        <f>C261*(1+(C260+2*C259))</f>
        <v>86.169947499999992</v>
      </c>
      <c r="H262" s="80"/>
    </row>
    <row r="263" spans="2:23" x14ac:dyDescent="0.3">
      <c r="B263" s="83" t="s">
        <v>52</v>
      </c>
      <c r="C263" s="278">
        <f>C261*(1-(C260+2*C259))</f>
        <v>57.148052499999991</v>
      </c>
      <c r="H263" s="79"/>
    </row>
    <row r="264" spans="2:23" s="49" customFormat="1" ht="15" customHeight="1" x14ac:dyDescent="0.3">
      <c r="B264" s="387" t="s">
        <v>258</v>
      </c>
      <c r="C264" s="388"/>
      <c r="D264" s="1"/>
      <c r="E264" s="1"/>
      <c r="F264" s="1"/>
      <c r="G264" s="1"/>
      <c r="H264" s="1"/>
      <c r="I264" s="1"/>
      <c r="J264" s="1"/>
      <c r="K264" s="2"/>
      <c r="L264" s="2"/>
      <c r="M264" s="2"/>
      <c r="N264" s="1"/>
      <c r="O264" s="1"/>
      <c r="P264" s="2"/>
      <c r="Q264" s="2"/>
      <c r="R264" s="2"/>
      <c r="S264" s="1"/>
      <c r="T264" s="1"/>
      <c r="U264" s="2"/>
      <c r="V264" s="2"/>
      <c r="W264" s="2"/>
    </row>
    <row r="265" spans="2:23" x14ac:dyDescent="0.3">
      <c r="B265" s="387"/>
      <c r="C265" s="388"/>
    </row>
    <row r="266" spans="2:23" x14ac:dyDescent="0.3">
      <c r="B266" s="387"/>
      <c r="C266" s="388"/>
    </row>
    <row r="267" spans="2:23" x14ac:dyDescent="0.3">
      <c r="B267" s="387"/>
      <c r="C267" s="388"/>
    </row>
    <row r="268" spans="2:23" x14ac:dyDescent="0.3">
      <c r="B268" s="387"/>
      <c r="C268" s="388"/>
    </row>
    <row r="269" spans="2:23" x14ac:dyDescent="0.3">
      <c r="B269" s="387"/>
      <c r="C269" s="388"/>
    </row>
    <row r="270" spans="2:23" x14ac:dyDescent="0.3">
      <c r="B270" s="387"/>
      <c r="C270" s="388"/>
    </row>
    <row r="271" spans="2:23" x14ac:dyDescent="0.3">
      <c r="B271" s="387"/>
      <c r="C271" s="388"/>
    </row>
    <row r="272" spans="2:23" x14ac:dyDescent="0.3">
      <c r="B272" s="387"/>
      <c r="C272" s="388"/>
    </row>
    <row r="273" spans="2:3" x14ac:dyDescent="0.3">
      <c r="B273" s="387"/>
      <c r="C273" s="388"/>
    </row>
    <row r="274" spans="2:3" x14ac:dyDescent="0.3">
      <c r="B274" s="387"/>
      <c r="C274" s="388"/>
    </row>
    <row r="275" spans="2:3" x14ac:dyDescent="0.3">
      <c r="B275" s="387"/>
      <c r="C275" s="388"/>
    </row>
    <row r="276" spans="2:3" x14ac:dyDescent="0.3">
      <c r="B276" s="387"/>
      <c r="C276" s="388"/>
    </row>
    <row r="277" spans="2:3" x14ac:dyDescent="0.3">
      <c r="B277" s="387"/>
      <c r="C277" s="388"/>
    </row>
    <row r="278" spans="2:3" x14ac:dyDescent="0.3">
      <c r="B278" s="387"/>
      <c r="C278" s="388"/>
    </row>
    <row r="279" spans="2:3" x14ac:dyDescent="0.3">
      <c r="B279" s="389"/>
      <c r="C279" s="390"/>
    </row>
    <row r="281" spans="2:3" x14ac:dyDescent="0.3">
      <c r="B281" s="91" t="s">
        <v>56</v>
      </c>
    </row>
  </sheetData>
  <dataConsolidate/>
  <mergeCells count="85">
    <mergeCell ref="B212:C212"/>
    <mergeCell ref="B224:C224"/>
    <mergeCell ref="B226:C226"/>
    <mergeCell ref="B227:C227"/>
    <mergeCell ref="B228:C228"/>
    <mergeCell ref="B220:C220"/>
    <mergeCell ref="B213:C213"/>
    <mergeCell ref="B216:C216"/>
    <mergeCell ref="B217:C217"/>
    <mergeCell ref="B218:C218"/>
    <mergeCell ref="B223:C223"/>
    <mergeCell ref="B197:C197"/>
    <mergeCell ref="B198:C198"/>
    <mergeCell ref="B199:C199"/>
    <mergeCell ref="B200:C200"/>
    <mergeCell ref="B201:C201"/>
    <mergeCell ref="B2:C2"/>
    <mergeCell ref="B102:C102"/>
    <mergeCell ref="B89:C89"/>
    <mergeCell ref="B54:C54"/>
    <mergeCell ref="B9:C9"/>
    <mergeCell ref="B42:C42"/>
    <mergeCell ref="B10:C10"/>
    <mergeCell ref="B40:C40"/>
    <mergeCell ref="B17:C17"/>
    <mergeCell ref="B18:C18"/>
    <mergeCell ref="B34:C34"/>
    <mergeCell ref="B38:C38"/>
    <mergeCell ref="B11:C11"/>
    <mergeCell ref="B39:C39"/>
    <mergeCell ref="B104:C104"/>
    <mergeCell ref="B103:C103"/>
    <mergeCell ref="B101:C101"/>
    <mergeCell ref="B48:C48"/>
    <mergeCell ref="B3:C3"/>
    <mergeCell ref="B4:C4"/>
    <mergeCell ref="B5:C5"/>
    <mergeCell ref="B46:C46"/>
    <mergeCell ref="B45:C45"/>
    <mergeCell ref="B50:C50"/>
    <mergeCell ref="B258:C258"/>
    <mergeCell ref="B264:C279"/>
    <mergeCell ref="B47:C47"/>
    <mergeCell ref="B256:C256"/>
    <mergeCell ref="B248:C248"/>
    <mergeCell ref="B255:C255"/>
    <mergeCell ref="B49:C49"/>
    <mergeCell ref="B53:C53"/>
    <mergeCell ref="B107:C107"/>
    <mergeCell ref="B138:C138"/>
    <mergeCell ref="B246:C246"/>
    <mergeCell ref="B139:C139"/>
    <mergeCell ref="B140:C140"/>
    <mergeCell ref="B195:C195"/>
    <mergeCell ref="B141:C141"/>
    <mergeCell ref="B142:C142"/>
    <mergeCell ref="B154:C154"/>
    <mergeCell ref="B155:C155"/>
    <mergeCell ref="B156:C156"/>
    <mergeCell ref="B143:C143"/>
    <mergeCell ref="B157:C157"/>
    <mergeCell ref="B158:C158"/>
    <mergeCell ref="B164:C164"/>
    <mergeCell ref="B168:C168"/>
    <mergeCell ref="B169:C169"/>
    <mergeCell ref="B187:C187"/>
    <mergeCell ref="B186:C186"/>
    <mergeCell ref="B184:C184"/>
    <mergeCell ref="B185:C185"/>
    <mergeCell ref="B188:C188"/>
    <mergeCell ref="B194:C194"/>
    <mergeCell ref="B108:C108"/>
    <mergeCell ref="B243:C244"/>
    <mergeCell ref="B196:C196"/>
    <mergeCell ref="B180:C180"/>
    <mergeCell ref="B170:C170"/>
    <mergeCell ref="B171:C171"/>
    <mergeCell ref="B172:C172"/>
    <mergeCell ref="B175:C175"/>
    <mergeCell ref="B177:C177"/>
    <mergeCell ref="B207:C207"/>
    <mergeCell ref="B208:C208"/>
    <mergeCell ref="B210:C210"/>
    <mergeCell ref="B182:C182"/>
    <mergeCell ref="B183:C183"/>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Kanyuka</dc:creator>
  <cp:lastModifiedBy>Admin</cp:lastModifiedBy>
  <cp:lastPrinted>2016-03-31T01:20:23Z</cp:lastPrinted>
  <dcterms:created xsi:type="dcterms:W3CDTF">2014-10-18T18:34:10Z</dcterms:created>
  <dcterms:modified xsi:type="dcterms:W3CDTF">2017-02-20T02:31:13Z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