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mc:AlternateContent xmlns:mc="http://schemas.openxmlformats.org/markup-compatibility/2006">
    <mc:Choice Requires="x15">
      <x15ac:absPath xmlns:x15ac="http://schemas.microsoft.com/office/spreadsheetml/2010/11/ac" url="C:\Users\Admin\Documents\Articles (2-15-2016)\NFLX Netflix\Contributor Models\"/>
    </mc:Choice>
  </mc:AlternateContent>
  <bookViews>
    <workbookView xWindow="0" yWindow="0" windowWidth="22980" windowHeight="4740"/>
  </bookViews>
  <sheets>
    <sheet name="Earnings Model" sheetId="3" r:id="rId1"/>
  </sheets>
  <definedNames>
    <definedName name="DATA">#REF!</definedName>
    <definedName name="_xlnm.Print_Area" localSheetId="0">'Earnings Model'!$A$1:$AL$237</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40" i="3" l="1"/>
  <c r="S40" i="3" s="1"/>
  <c r="Q51" i="3"/>
  <c r="S51" i="3" s="1"/>
  <c r="AQ173" i="3"/>
  <c r="AQ171" i="3"/>
  <c r="AQ170" i="3"/>
  <c r="AQ169" i="3"/>
  <c r="AQ167" i="3"/>
  <c r="AQ160" i="3"/>
  <c r="AQ155" i="3"/>
  <c r="AQ154" i="3"/>
  <c r="AQ153" i="3"/>
  <c r="AQ149" i="3"/>
  <c r="AQ148" i="3"/>
  <c r="AQ147" i="3"/>
  <c r="AQ146" i="3"/>
  <c r="AQ144" i="3"/>
  <c r="AQ143" i="3"/>
  <c r="AQ142" i="3"/>
  <c r="AQ141" i="3"/>
  <c r="AP132" i="3"/>
  <c r="AO132" i="3"/>
  <c r="AN132" i="3"/>
  <c r="AM132" i="3"/>
  <c r="AP26" i="3"/>
  <c r="AO26" i="3"/>
  <c r="AQ26" i="3" s="1"/>
  <c r="AN26" i="3"/>
  <c r="AM26" i="3"/>
  <c r="C209" i="3"/>
  <c r="P131" i="3"/>
  <c r="O131" i="3"/>
  <c r="P191" i="3"/>
  <c r="O191" i="3"/>
  <c r="O188" i="3"/>
  <c r="P163" i="3"/>
  <c r="O163" i="3"/>
  <c r="O93" i="3"/>
  <c r="P93" i="3"/>
  <c r="P82" i="3"/>
  <c r="P83" i="3"/>
  <c r="O76" i="3"/>
  <c r="P76" i="3"/>
  <c r="O77" i="3"/>
  <c r="P77" i="3"/>
  <c r="O78" i="3"/>
  <c r="O79" i="3"/>
  <c r="P79" i="3"/>
  <c r="O68" i="3"/>
  <c r="P68" i="3"/>
  <c r="P63" i="3"/>
  <c r="O63" i="3"/>
  <c r="O59" i="3"/>
  <c r="P59" i="3"/>
  <c r="O57" i="3"/>
  <c r="P57" i="3"/>
  <c r="O55" i="3"/>
  <c r="P55" i="3"/>
  <c r="P52" i="3"/>
  <c r="O52" i="3"/>
  <c r="O49" i="3"/>
  <c r="P49" i="3"/>
  <c r="O48" i="3"/>
  <c r="P48" i="3"/>
  <c r="P46" i="3"/>
  <c r="O46" i="3"/>
  <c r="O44" i="3"/>
  <c r="P44" i="3"/>
  <c r="P41" i="3"/>
  <c r="O41" i="3"/>
  <c r="N41" i="3"/>
  <c r="AL171" i="3"/>
  <c r="AL170" i="3"/>
  <c r="AL169" i="3"/>
  <c r="AL167" i="3"/>
  <c r="AL160" i="3"/>
  <c r="AL155" i="3"/>
  <c r="AL154" i="3"/>
  <c r="AL153" i="3"/>
  <c r="AL149" i="3"/>
  <c r="AL148" i="3"/>
  <c r="AL147" i="3"/>
  <c r="AL146" i="3"/>
  <c r="AL144" i="3"/>
  <c r="AL143" i="3"/>
  <c r="AL142" i="3"/>
  <c r="AL141" i="3"/>
  <c r="AG171" i="3"/>
  <c r="AG170" i="3"/>
  <c r="AG169" i="3"/>
  <c r="AG167" i="3"/>
  <c r="AG160" i="3"/>
  <c r="AG155" i="3"/>
  <c r="AG154" i="3"/>
  <c r="AG153" i="3"/>
  <c r="AG149" i="3"/>
  <c r="AG148" i="3"/>
  <c r="AG147" i="3"/>
  <c r="AG146" i="3"/>
  <c r="AG144" i="3"/>
  <c r="AG143" i="3"/>
  <c r="AG142" i="3"/>
  <c r="AG141" i="3"/>
  <c r="AB171" i="3"/>
  <c r="AB170" i="3"/>
  <c r="AB169" i="3"/>
  <c r="AB167" i="3"/>
  <c r="AB160" i="3"/>
  <c r="AB155" i="3"/>
  <c r="AB154" i="3"/>
  <c r="AB153" i="3"/>
  <c r="AB149" i="3"/>
  <c r="AB148" i="3"/>
  <c r="AB147" i="3"/>
  <c r="AB146" i="3"/>
  <c r="AB144" i="3"/>
  <c r="AB143" i="3"/>
  <c r="AB142" i="3"/>
  <c r="AB141" i="3"/>
  <c r="W171" i="3"/>
  <c r="W170" i="3"/>
  <c r="W169" i="3"/>
  <c r="W167" i="3"/>
  <c r="W160" i="3"/>
  <c r="W155" i="3"/>
  <c r="W154" i="3"/>
  <c r="W153" i="3"/>
  <c r="W149" i="3"/>
  <c r="W148" i="3"/>
  <c r="W147" i="3"/>
  <c r="W146" i="3"/>
  <c r="W144" i="3"/>
  <c r="W143" i="3"/>
  <c r="W142" i="3"/>
  <c r="W141" i="3"/>
  <c r="R141" i="3"/>
  <c r="R142" i="3"/>
  <c r="R143" i="3"/>
  <c r="R144" i="3"/>
  <c r="R160" i="3"/>
  <c r="N83" i="3"/>
  <c r="N82" i="3"/>
  <c r="N79" i="3"/>
  <c r="N77" i="3"/>
  <c r="N76" i="3"/>
  <c r="N35" i="3"/>
  <c r="N68" i="3"/>
  <c r="N63" i="3"/>
  <c r="N60" i="3"/>
  <c r="N57" i="3"/>
  <c r="N52" i="3"/>
  <c r="N49" i="3"/>
  <c r="N46" i="3"/>
  <c r="N93" i="3"/>
  <c r="N172" i="3"/>
  <c r="N131" i="3"/>
  <c r="N132" i="3" s="1"/>
  <c r="N191" i="3"/>
  <c r="N188" i="3"/>
  <c r="N163" i="3"/>
  <c r="Q30" i="3"/>
  <c r="S30" i="3"/>
  <c r="Q29" i="3"/>
  <c r="S29" i="3"/>
  <c r="T29" i="3" s="1"/>
  <c r="U29" i="3"/>
  <c r="I83" i="3"/>
  <c r="I82" i="3"/>
  <c r="L83" i="3"/>
  <c r="K83" i="3"/>
  <c r="J83" i="3"/>
  <c r="L82" i="3"/>
  <c r="K82" i="3"/>
  <c r="J82" i="3"/>
  <c r="F82" i="3"/>
  <c r="G82" i="3"/>
  <c r="F83" i="3"/>
  <c r="G83" i="3"/>
  <c r="E83" i="3"/>
  <c r="E82" i="3"/>
  <c r="N19" i="3"/>
  <c r="AK26" i="3"/>
  <c r="AJ26" i="3"/>
  <c r="AI26" i="3"/>
  <c r="AH26" i="3"/>
  <c r="AF26" i="3"/>
  <c r="AE26" i="3"/>
  <c r="AD26" i="3"/>
  <c r="AC26" i="3"/>
  <c r="AA26" i="3"/>
  <c r="AB26" i="3" s="1"/>
  <c r="Z26" i="3"/>
  <c r="Y26" i="3"/>
  <c r="X26" i="3"/>
  <c r="V26" i="3"/>
  <c r="W26" i="3" s="1"/>
  <c r="U26" i="3"/>
  <c r="T26" i="3"/>
  <c r="S26" i="3"/>
  <c r="Q26" i="3"/>
  <c r="R26" i="3" s="1"/>
  <c r="P26" i="3"/>
  <c r="O26" i="3"/>
  <c r="N26" i="3"/>
  <c r="L26" i="3"/>
  <c r="K26" i="3"/>
  <c r="J26" i="3"/>
  <c r="I26" i="3"/>
  <c r="E26" i="3"/>
  <c r="H26" i="3" s="1"/>
  <c r="F26" i="3"/>
  <c r="G26" i="3"/>
  <c r="D26" i="3"/>
  <c r="L19" i="3"/>
  <c r="K19" i="3"/>
  <c r="J19" i="3"/>
  <c r="I19" i="3"/>
  <c r="E19" i="3"/>
  <c r="H19" i="3" s="1"/>
  <c r="H93" i="3" s="1"/>
  <c r="F19" i="3"/>
  <c r="G19" i="3"/>
  <c r="D19" i="3"/>
  <c r="M19" i="3"/>
  <c r="L93" i="3"/>
  <c r="K93" i="3"/>
  <c r="J93" i="3"/>
  <c r="I93" i="3"/>
  <c r="E93" i="3"/>
  <c r="F93" i="3"/>
  <c r="G93" i="3"/>
  <c r="D93" i="3"/>
  <c r="AL173" i="3"/>
  <c r="AK132" i="3"/>
  <c r="AJ132" i="3"/>
  <c r="AI132" i="3"/>
  <c r="AH132" i="3"/>
  <c r="K88" i="3"/>
  <c r="L131" i="3"/>
  <c r="L188" i="3"/>
  <c r="L191" i="3"/>
  <c r="L178" i="3"/>
  <c r="L163" i="3"/>
  <c r="L76" i="3"/>
  <c r="L77" i="3"/>
  <c r="L78" i="3"/>
  <c r="C218" i="3"/>
  <c r="L79" i="3"/>
  <c r="L68" i="3"/>
  <c r="L63" i="3"/>
  <c r="L60" i="3"/>
  <c r="L57" i="3"/>
  <c r="L52" i="3"/>
  <c r="L49" i="3"/>
  <c r="K49" i="3"/>
  <c r="L46" i="3"/>
  <c r="L42" i="3"/>
  <c r="L41" i="3"/>
  <c r="D88" i="3"/>
  <c r="H88" i="3" s="1"/>
  <c r="F88" i="3"/>
  <c r="G88" i="3"/>
  <c r="I88" i="3"/>
  <c r="J88" i="3"/>
  <c r="D87" i="3"/>
  <c r="E87" i="3"/>
  <c r="F87" i="3"/>
  <c r="G87" i="3"/>
  <c r="I87" i="3"/>
  <c r="J87" i="3"/>
  <c r="K87" i="3"/>
  <c r="D86" i="3"/>
  <c r="E86" i="3"/>
  <c r="F86" i="3"/>
  <c r="G86" i="3"/>
  <c r="I86" i="3"/>
  <c r="J86" i="3"/>
  <c r="K86" i="3"/>
  <c r="H89" i="3"/>
  <c r="H87" i="3"/>
  <c r="K178" i="3"/>
  <c r="K76" i="3"/>
  <c r="K77" i="3"/>
  <c r="K78" i="3"/>
  <c r="K79" i="3"/>
  <c r="K68" i="3"/>
  <c r="K63" i="3"/>
  <c r="K57" i="3"/>
  <c r="K52" i="3"/>
  <c r="K46" i="3"/>
  <c r="K42" i="3"/>
  <c r="K48" i="3" s="1"/>
  <c r="K41" i="3"/>
  <c r="K131" i="3"/>
  <c r="K132" i="3"/>
  <c r="K188" i="3"/>
  <c r="K191" i="3"/>
  <c r="K163" i="3"/>
  <c r="J177" i="3"/>
  <c r="J191" i="3"/>
  <c r="J188" i="3"/>
  <c r="J163" i="3"/>
  <c r="J79" i="3"/>
  <c r="J78" i="3"/>
  <c r="J77" i="3"/>
  <c r="J76" i="3"/>
  <c r="J71" i="3"/>
  <c r="J68" i="3"/>
  <c r="J64" i="3"/>
  <c r="J70" i="3"/>
  <c r="J63" i="3"/>
  <c r="J60" i="3"/>
  <c r="J57" i="3"/>
  <c r="J53" i="3"/>
  <c r="J52" i="3"/>
  <c r="D35" i="3"/>
  <c r="E35" i="3"/>
  <c r="F35" i="3"/>
  <c r="G35" i="3"/>
  <c r="I35" i="3"/>
  <c r="J35" i="3"/>
  <c r="J41" i="3"/>
  <c r="J49" i="3"/>
  <c r="J46" i="3"/>
  <c r="J42" i="3"/>
  <c r="J66" i="3"/>
  <c r="W181" i="3"/>
  <c r="AB181" i="3"/>
  <c r="AG181" i="3" s="1"/>
  <c r="AL181" i="3" s="1"/>
  <c r="AQ181" i="3" s="1"/>
  <c r="E68" i="3"/>
  <c r="F78" i="3"/>
  <c r="AG173" i="3"/>
  <c r="AB173" i="3"/>
  <c r="W173" i="3"/>
  <c r="M167" i="3"/>
  <c r="M160" i="3"/>
  <c r="M155" i="3"/>
  <c r="M154" i="3"/>
  <c r="M153" i="3"/>
  <c r="M149" i="3"/>
  <c r="M148" i="3"/>
  <c r="M147" i="3"/>
  <c r="M146" i="3"/>
  <c r="M144" i="3"/>
  <c r="M143" i="3"/>
  <c r="M142" i="3"/>
  <c r="M141" i="3"/>
  <c r="M173" i="3"/>
  <c r="I191" i="3"/>
  <c r="I188" i="3"/>
  <c r="I163" i="3"/>
  <c r="I164" i="3"/>
  <c r="H160" i="3"/>
  <c r="G163" i="3"/>
  <c r="F163" i="3"/>
  <c r="E163" i="3"/>
  <c r="E164" i="3" s="1"/>
  <c r="M178" i="3"/>
  <c r="H141" i="3"/>
  <c r="H142" i="3"/>
  <c r="H143" i="3"/>
  <c r="H144" i="3"/>
  <c r="H178" i="3"/>
  <c r="E177" i="3"/>
  <c r="F177" i="3"/>
  <c r="G177" i="3"/>
  <c r="I177" i="3"/>
  <c r="D177" i="3"/>
  <c r="D172" i="3"/>
  <c r="D163" i="3"/>
  <c r="D164" i="3"/>
  <c r="I131" i="3"/>
  <c r="F131" i="3"/>
  <c r="G131" i="3"/>
  <c r="E131" i="3"/>
  <c r="Q102" i="3"/>
  <c r="S102" i="3"/>
  <c r="T102" i="3" s="1"/>
  <c r="U102" i="3" s="1"/>
  <c r="V102" i="3" s="1"/>
  <c r="X102" i="3" s="1"/>
  <c r="Y102" i="3" s="1"/>
  <c r="Z102" i="3" s="1"/>
  <c r="AA102" i="3" s="1"/>
  <c r="AC102" i="3" s="1"/>
  <c r="AD102" i="3" s="1"/>
  <c r="AE102" i="3" s="1"/>
  <c r="AF102" i="3" s="1"/>
  <c r="AH102" i="3" s="1"/>
  <c r="AI102" i="3" s="1"/>
  <c r="E115" i="3"/>
  <c r="F115" i="3"/>
  <c r="G115" i="3"/>
  <c r="I115" i="3"/>
  <c r="D115" i="3"/>
  <c r="D119" i="3"/>
  <c r="I122" i="3"/>
  <c r="G122" i="3"/>
  <c r="F122" i="3"/>
  <c r="E122" i="3"/>
  <c r="D122" i="3"/>
  <c r="H111" i="3"/>
  <c r="H105" i="3"/>
  <c r="E79" i="3"/>
  <c r="F79" i="3"/>
  <c r="G79" i="3"/>
  <c r="I79" i="3"/>
  <c r="D79" i="3"/>
  <c r="E77" i="3"/>
  <c r="F77" i="3"/>
  <c r="G77" i="3"/>
  <c r="I77" i="3"/>
  <c r="D77" i="3"/>
  <c r="E76" i="3"/>
  <c r="F76" i="3"/>
  <c r="G76" i="3"/>
  <c r="I76" i="3"/>
  <c r="D76" i="3"/>
  <c r="D64" i="3"/>
  <c r="D70" i="3"/>
  <c r="D63" i="3"/>
  <c r="I71" i="3"/>
  <c r="G71" i="3"/>
  <c r="F71" i="3"/>
  <c r="E71" i="3"/>
  <c r="D71" i="3"/>
  <c r="I68" i="3"/>
  <c r="G68" i="3"/>
  <c r="F68" i="3"/>
  <c r="D68" i="3"/>
  <c r="I64" i="3"/>
  <c r="I70" i="3"/>
  <c r="G64" i="3"/>
  <c r="F64" i="3"/>
  <c r="E64" i="3"/>
  <c r="I63" i="3"/>
  <c r="G63" i="3"/>
  <c r="F63" i="3"/>
  <c r="E63" i="3"/>
  <c r="D53" i="3"/>
  <c r="D59" i="3"/>
  <c r="D52" i="3"/>
  <c r="I60" i="3"/>
  <c r="G60" i="3"/>
  <c r="F60" i="3"/>
  <c r="E60" i="3"/>
  <c r="D60" i="3"/>
  <c r="I57" i="3"/>
  <c r="G57" i="3"/>
  <c r="F57" i="3"/>
  <c r="E57" i="3"/>
  <c r="D57" i="3"/>
  <c r="I53" i="3"/>
  <c r="I59" i="3" s="1"/>
  <c r="G53" i="3"/>
  <c r="G59" i="3" s="1"/>
  <c r="F53" i="3"/>
  <c r="E53" i="3"/>
  <c r="E59" i="3" s="1"/>
  <c r="I52" i="3"/>
  <c r="G52" i="3"/>
  <c r="F52" i="3"/>
  <c r="E52" i="3"/>
  <c r="D46" i="3"/>
  <c r="I46" i="3"/>
  <c r="I49" i="3"/>
  <c r="E49" i="3"/>
  <c r="F49" i="3"/>
  <c r="G49" i="3"/>
  <c r="D49" i="3"/>
  <c r="E46" i="3"/>
  <c r="F46" i="3"/>
  <c r="G46" i="3"/>
  <c r="I42" i="3"/>
  <c r="I48" i="3" s="1"/>
  <c r="F42" i="3"/>
  <c r="G42" i="3"/>
  <c r="G44" i="3" s="1"/>
  <c r="E42" i="3"/>
  <c r="D42" i="3"/>
  <c r="D48" i="3" s="1"/>
  <c r="D41" i="3"/>
  <c r="I41" i="3"/>
  <c r="F41" i="3"/>
  <c r="G41" i="3"/>
  <c r="E41" i="3"/>
  <c r="H22" i="3"/>
  <c r="H16" i="3"/>
  <c r="H15" i="3"/>
  <c r="E13" i="3"/>
  <c r="E73" i="3" s="1"/>
  <c r="F13" i="3"/>
  <c r="F73" i="3" s="1"/>
  <c r="G13" i="3"/>
  <c r="G73" i="3" s="1"/>
  <c r="I13" i="3"/>
  <c r="I73" i="3" s="1"/>
  <c r="D13" i="3"/>
  <c r="D17" i="3"/>
  <c r="M105" i="3"/>
  <c r="Q111" i="3"/>
  <c r="S111" i="3"/>
  <c r="T111" i="3" s="1"/>
  <c r="U111" i="3"/>
  <c r="V111" i="3" s="1"/>
  <c r="X111" i="3" s="1"/>
  <c r="Y111" i="3" s="1"/>
  <c r="Z111" i="3" s="1"/>
  <c r="AA111" i="3" s="1"/>
  <c r="M29" i="3"/>
  <c r="O82" i="3" s="1"/>
  <c r="M30" i="3"/>
  <c r="O83" i="3" s="1"/>
  <c r="D44" i="3"/>
  <c r="I44" i="3"/>
  <c r="Q62" i="3"/>
  <c r="I66" i="3"/>
  <c r="D66" i="3"/>
  <c r="E70" i="3"/>
  <c r="E66" i="3"/>
  <c r="G70" i="3"/>
  <c r="G66" i="3"/>
  <c r="E55" i="3"/>
  <c r="G55" i="3"/>
  <c r="K53" i="3"/>
  <c r="D55" i="3"/>
  <c r="I55" i="3"/>
  <c r="AJ102" i="3"/>
  <c r="AK102" i="3" s="1"/>
  <c r="K59" i="3"/>
  <c r="K55" i="3"/>
  <c r="R29" i="3"/>
  <c r="O64" i="3"/>
  <c r="O66" i="3"/>
  <c r="L64" i="3"/>
  <c r="M111" i="3"/>
  <c r="R30" i="3"/>
  <c r="P64" i="3"/>
  <c r="P69" i="3" s="1"/>
  <c r="P71" i="3" s="1"/>
  <c r="N64" i="3"/>
  <c r="N42" i="3"/>
  <c r="N48" i="3" s="1"/>
  <c r="Q64" i="3"/>
  <c r="Q65" i="3" s="1"/>
  <c r="S62" i="3"/>
  <c r="K64" i="3"/>
  <c r="K66" i="3" s="1"/>
  <c r="L53" i="3"/>
  <c r="L55" i="3" s="1"/>
  <c r="N69" i="3"/>
  <c r="N66" i="3"/>
  <c r="P66" i="3"/>
  <c r="N44" i="3"/>
  <c r="L59" i="3"/>
  <c r="L69" i="3"/>
  <c r="L71" i="3" s="1"/>
  <c r="L66" i="3"/>
  <c r="O69" i="3"/>
  <c r="O71" i="3" s="1"/>
  <c r="N53" i="3"/>
  <c r="N55" i="3" s="1"/>
  <c r="K60" i="3"/>
  <c r="N59" i="3"/>
  <c r="K71" i="3"/>
  <c r="L35" i="3"/>
  <c r="Q42" i="3"/>
  <c r="N71" i="3"/>
  <c r="M14" i="3"/>
  <c r="Q47" i="3"/>
  <c r="Q43" i="3"/>
  <c r="Q45" i="3" s="1"/>
  <c r="N89" i="3"/>
  <c r="K35" i="3"/>
  <c r="M22" i="3"/>
  <c r="Q105" i="3"/>
  <c r="M11" i="3"/>
  <c r="M12" i="3"/>
  <c r="I172" i="3"/>
  <c r="R171" i="3"/>
  <c r="M103" i="3"/>
  <c r="R147" i="3"/>
  <c r="R148" i="3"/>
  <c r="R149" i="3"/>
  <c r="R146" i="3"/>
  <c r="H175" i="3"/>
  <c r="F188" i="3"/>
  <c r="M171" i="3"/>
  <c r="H117" i="3"/>
  <c r="H114" i="3"/>
  <c r="H103" i="3"/>
  <c r="I125" i="3"/>
  <c r="E104" i="3"/>
  <c r="F104" i="3"/>
  <c r="G104" i="3"/>
  <c r="I104" i="3"/>
  <c r="D104" i="3"/>
  <c r="D108" i="3"/>
  <c r="G78" i="3"/>
  <c r="O19" i="3"/>
  <c r="O89" i="3" s="1"/>
  <c r="O35" i="3"/>
  <c r="M89" i="3"/>
  <c r="M15" i="3"/>
  <c r="J168" i="3"/>
  <c r="S105" i="3"/>
  <c r="R105" i="3"/>
  <c r="M16" i="3"/>
  <c r="Q49" i="3"/>
  <c r="R111" i="3"/>
  <c r="O17" i="3"/>
  <c r="P19" i="3"/>
  <c r="O60" i="3"/>
  <c r="G188" i="3"/>
  <c r="E188" i="3"/>
  <c r="Q103" i="3"/>
  <c r="I78" i="3"/>
  <c r="H11" i="3"/>
  <c r="T105" i="3"/>
  <c r="U105" i="3" s="1"/>
  <c r="F164" i="3"/>
  <c r="L86" i="3"/>
  <c r="H77" i="3"/>
  <c r="H76" i="3"/>
  <c r="Q53" i="3"/>
  <c r="Q58" i="3"/>
  <c r="P60" i="3"/>
  <c r="R103" i="3"/>
  <c r="S103" i="3"/>
  <c r="T103" i="3"/>
  <c r="U103" i="3" s="1"/>
  <c r="V103" i="3"/>
  <c r="X103" i="3" s="1"/>
  <c r="Y103" i="3" s="1"/>
  <c r="Z103" i="3" s="1"/>
  <c r="AA103" i="3"/>
  <c r="AC103" i="3" s="1"/>
  <c r="AD103" i="3" s="1"/>
  <c r="AE103" i="3" s="1"/>
  <c r="AF103" i="3" s="1"/>
  <c r="H171" i="3"/>
  <c r="P89" i="3"/>
  <c r="P78" i="3"/>
  <c r="M21" i="3"/>
  <c r="M168" i="3"/>
  <c r="G164" i="3"/>
  <c r="M117" i="3"/>
  <c r="N78" i="3"/>
  <c r="Q54" i="3"/>
  <c r="M114" i="3"/>
  <c r="H12" i="3"/>
  <c r="H13" i="3" s="1"/>
  <c r="H73" i="3"/>
  <c r="I17" i="3"/>
  <c r="I18" i="3"/>
  <c r="I20" i="3" s="1"/>
  <c r="I28" i="3"/>
  <c r="I34" i="3" s="1"/>
  <c r="I75" i="3"/>
  <c r="V105" i="3"/>
  <c r="AB103" i="3"/>
  <c r="J13" i="3"/>
  <c r="J73" i="3" s="1"/>
  <c r="H21" i="3"/>
  <c r="H86" i="3" s="1"/>
  <c r="H30" i="3"/>
  <c r="N86" i="3"/>
  <c r="O86" i="3"/>
  <c r="X105" i="3"/>
  <c r="W105" i="3"/>
  <c r="W111" i="3"/>
  <c r="P172" i="3"/>
  <c r="Q117" i="3"/>
  <c r="S117" i="3"/>
  <c r="T117" i="3" s="1"/>
  <c r="U117" i="3" s="1"/>
  <c r="U168" i="3" s="1"/>
  <c r="R173" i="3"/>
  <c r="O172" i="3"/>
  <c r="K172" i="3"/>
  <c r="L172" i="3"/>
  <c r="G191" i="3"/>
  <c r="F191" i="3"/>
  <c r="E191" i="3"/>
  <c r="AF132" i="3"/>
  <c r="AE132" i="3"/>
  <c r="AD132" i="3"/>
  <c r="AC132" i="3"/>
  <c r="AA132" i="3"/>
  <c r="Z132" i="3"/>
  <c r="Y132" i="3"/>
  <c r="X132" i="3"/>
  <c r="V132" i="3"/>
  <c r="U132" i="3"/>
  <c r="T132" i="3"/>
  <c r="S132" i="3"/>
  <c r="J115" i="3"/>
  <c r="H147" i="3"/>
  <c r="H148" i="3"/>
  <c r="H149" i="3"/>
  <c r="H155" i="3"/>
  <c r="H173" i="3"/>
  <c r="E172" i="3"/>
  <c r="F172" i="3"/>
  <c r="G172" i="3"/>
  <c r="H113" i="3"/>
  <c r="H29" i="3"/>
  <c r="H24" i="3"/>
  <c r="H14" i="3"/>
  <c r="H17" i="3" s="1"/>
  <c r="H18" i="3" s="1"/>
  <c r="F17" i="3"/>
  <c r="F18" i="3"/>
  <c r="E17" i="3"/>
  <c r="E18" i="3"/>
  <c r="G17" i="3"/>
  <c r="G18" i="3"/>
  <c r="G74" i="3" s="1"/>
  <c r="F74" i="3"/>
  <c r="G20" i="3"/>
  <c r="P86" i="3"/>
  <c r="G23" i="3"/>
  <c r="G80" i="3" s="1"/>
  <c r="T168" i="3"/>
  <c r="T172" i="3" s="1"/>
  <c r="Y105" i="3"/>
  <c r="Z105" i="3" s="1"/>
  <c r="S168" i="3"/>
  <c r="Q168" i="3"/>
  <c r="Q172" i="3"/>
  <c r="M113" i="3"/>
  <c r="Q114" i="3"/>
  <c r="S114" i="3" s="1"/>
  <c r="T114" i="3" s="1"/>
  <c r="U114" i="3" s="1"/>
  <c r="V114" i="3" s="1"/>
  <c r="X114" i="3" s="1"/>
  <c r="Y114" i="3" s="1"/>
  <c r="Z114" i="3" s="1"/>
  <c r="AA114" i="3" s="1"/>
  <c r="AC114" i="3" s="1"/>
  <c r="AD114" i="3" s="1"/>
  <c r="AE114" i="3" s="1"/>
  <c r="AF114" i="3" s="1"/>
  <c r="J164" i="3"/>
  <c r="M116" i="3"/>
  <c r="Q116" i="3"/>
  <c r="R116" i="3"/>
  <c r="S116" i="3" s="1"/>
  <c r="Q21" i="3"/>
  <c r="R21" i="3" s="1"/>
  <c r="R117" i="3"/>
  <c r="L13" i="3"/>
  <c r="L73" i="3" s="1"/>
  <c r="V117" i="3"/>
  <c r="U172" i="3"/>
  <c r="M161" i="3"/>
  <c r="G25" i="3"/>
  <c r="K13" i="3"/>
  <c r="K73" i="3" s="1"/>
  <c r="M13" i="3"/>
  <c r="M73" i="3" s="1"/>
  <c r="S21" i="3"/>
  <c r="T116" i="3"/>
  <c r="U116" i="3" s="1"/>
  <c r="V116" i="3" s="1"/>
  <c r="M163" i="3"/>
  <c r="J172" i="3"/>
  <c r="AA105" i="3"/>
  <c r="M101" i="3"/>
  <c r="T21" i="3"/>
  <c r="AC105" i="3"/>
  <c r="AD105" i="3"/>
  <c r="AE105" i="3" s="1"/>
  <c r="AF105" i="3"/>
  <c r="AH105" i="3" s="1"/>
  <c r="AI105" i="3" s="1"/>
  <c r="AJ105" i="3" s="1"/>
  <c r="AK105" i="3" s="1"/>
  <c r="AM105" i="3" s="1"/>
  <c r="AN105" i="3" s="1"/>
  <c r="AB105" i="3"/>
  <c r="U21" i="3"/>
  <c r="W116" i="3"/>
  <c r="X116" i="3" s="1"/>
  <c r="Y116" i="3" s="1"/>
  <c r="Z116" i="3" s="1"/>
  <c r="AA116" i="3" s="1"/>
  <c r="AB116" i="3" s="1"/>
  <c r="AC116" i="3" s="1"/>
  <c r="AD116" i="3" s="1"/>
  <c r="AE116" i="3" s="1"/>
  <c r="AF116" i="3" s="1"/>
  <c r="AG116" i="3" s="1"/>
  <c r="AH116" i="3" s="1"/>
  <c r="AI116" i="3" s="1"/>
  <c r="AJ116" i="3" s="1"/>
  <c r="AK116" i="3" s="1"/>
  <c r="AL116" i="3" s="1"/>
  <c r="AM116" i="3" s="1"/>
  <c r="AN116" i="3" s="1"/>
  <c r="AO116" i="3" s="1"/>
  <c r="AG105" i="3"/>
  <c r="V21" i="3"/>
  <c r="Q113" i="3"/>
  <c r="R113" i="3" s="1"/>
  <c r="W114" i="3"/>
  <c r="Q101" i="3"/>
  <c r="Q163" i="3"/>
  <c r="S113" i="3"/>
  <c r="T113" i="3" s="1"/>
  <c r="R155" i="3"/>
  <c r="S101" i="3"/>
  <c r="S163" i="3"/>
  <c r="C214" i="3"/>
  <c r="C216" i="3" s="1"/>
  <c r="T101" i="3"/>
  <c r="T163" i="3"/>
  <c r="W163" i="3" s="1"/>
  <c r="U113" i="3"/>
  <c r="I132" i="3"/>
  <c r="AL105" i="3"/>
  <c r="U101" i="3"/>
  <c r="U163" i="3"/>
  <c r="V113" i="3"/>
  <c r="V101" i="3"/>
  <c r="V163" i="3" s="1"/>
  <c r="W113" i="3"/>
  <c r="X113" i="3" s="1"/>
  <c r="Y113" i="3" s="1"/>
  <c r="Z113" i="3" s="1"/>
  <c r="AA113" i="3"/>
  <c r="AB113" i="3" s="1"/>
  <c r="AC113" i="3" s="1"/>
  <c r="AD113" i="3" s="1"/>
  <c r="AE113" i="3" s="1"/>
  <c r="AF113" i="3" s="1"/>
  <c r="AG113" i="3" s="1"/>
  <c r="AH113" i="3" s="1"/>
  <c r="AI113" i="3" s="1"/>
  <c r="AJ113" i="3" s="1"/>
  <c r="AK113" i="3" s="1"/>
  <c r="X101" i="3"/>
  <c r="Y101" i="3" s="1"/>
  <c r="Y163" i="3" s="1"/>
  <c r="AG26" i="3"/>
  <c r="X163" i="3"/>
  <c r="AP116" i="3"/>
  <c r="AQ116" i="3" s="1"/>
  <c r="K164" i="3"/>
  <c r="Z101" i="3"/>
  <c r="H169" i="3"/>
  <c r="H168" i="3"/>
  <c r="H163" i="3"/>
  <c r="H162" i="3"/>
  <c r="H154" i="3"/>
  <c r="H146" i="3"/>
  <c r="R170" i="3"/>
  <c r="R168" i="3"/>
  <c r="R167" i="3"/>
  <c r="R163" i="3"/>
  <c r="M170" i="3"/>
  <c r="H145" i="3"/>
  <c r="H124" i="3"/>
  <c r="H123" i="3"/>
  <c r="H122" i="3"/>
  <c r="H118" i="3"/>
  <c r="H116" i="3"/>
  <c r="H112" i="3"/>
  <c r="J131" i="3" s="1"/>
  <c r="H107" i="3"/>
  <c r="H106" i="3"/>
  <c r="H102" i="3"/>
  <c r="H101" i="3"/>
  <c r="H100" i="3"/>
  <c r="H104" i="3" s="1"/>
  <c r="H108" i="3" s="1"/>
  <c r="H115" i="3"/>
  <c r="H119" i="3" s="1"/>
  <c r="J132" i="3"/>
  <c r="M118" i="3"/>
  <c r="H177" i="3"/>
  <c r="N164" i="3"/>
  <c r="H152" i="3"/>
  <c r="H153" i="3"/>
  <c r="H156" i="3"/>
  <c r="H125" i="3"/>
  <c r="G132" i="3"/>
  <c r="F132" i="3"/>
  <c r="E132" i="3"/>
  <c r="G125" i="3"/>
  <c r="F125" i="3"/>
  <c r="E125" i="3"/>
  <c r="E126" i="3" s="1"/>
  <c r="D125" i="3"/>
  <c r="D126" i="3"/>
  <c r="D127" i="3" s="1"/>
  <c r="G119" i="3"/>
  <c r="F119" i="3"/>
  <c r="E119" i="3"/>
  <c r="F126" i="3"/>
  <c r="F127" i="3" s="1"/>
  <c r="L164" i="3"/>
  <c r="M162" i="3"/>
  <c r="M164" i="3" s="1"/>
  <c r="H126" i="3"/>
  <c r="O164" i="3"/>
  <c r="H170" i="3"/>
  <c r="H167" i="3"/>
  <c r="H172" i="3" s="1"/>
  <c r="C210" i="3"/>
  <c r="C217" i="3"/>
  <c r="AL26" i="3"/>
  <c r="H161" i="3"/>
  <c r="H164" i="3" s="1"/>
  <c r="Q132" i="3"/>
  <c r="P132" i="3"/>
  <c r="O132" i="3"/>
  <c r="L132" i="3"/>
  <c r="H190" i="3"/>
  <c r="Q118" i="3"/>
  <c r="Q162" i="3" s="1"/>
  <c r="S118" i="3"/>
  <c r="R118" i="3"/>
  <c r="AL113" i="3"/>
  <c r="AM113" i="3" s="1"/>
  <c r="AN113" i="3" s="1"/>
  <c r="AO113" i="3" s="1"/>
  <c r="AP113" i="3" s="1"/>
  <c r="AQ113" i="3" s="1"/>
  <c r="G31" i="3"/>
  <c r="M122" i="3"/>
  <c r="M107" i="3"/>
  <c r="M156" i="3"/>
  <c r="P164" i="3"/>
  <c r="M124" i="3"/>
  <c r="Q124" i="3"/>
  <c r="Q161" i="3"/>
  <c r="Q122" i="3"/>
  <c r="R122" i="3" s="1"/>
  <c r="R124" i="3"/>
  <c r="S124" i="3" s="1"/>
  <c r="T124" i="3" s="1"/>
  <c r="U124" i="3" s="1"/>
  <c r="V124" i="3" s="1"/>
  <c r="W124" i="3" s="1"/>
  <c r="X124" i="3" s="1"/>
  <c r="Y124" i="3" s="1"/>
  <c r="Z124" i="3" s="1"/>
  <c r="AA124" i="3" s="1"/>
  <c r="AB124" i="3" s="1"/>
  <c r="AC124" i="3" s="1"/>
  <c r="AD124" i="3" s="1"/>
  <c r="AE124" i="3" s="1"/>
  <c r="AF124" i="3" s="1"/>
  <c r="AG124" i="3" s="1"/>
  <c r="AH124" i="3" s="1"/>
  <c r="AI124" i="3" s="1"/>
  <c r="AJ124" i="3" s="1"/>
  <c r="AK124" i="3" s="1"/>
  <c r="AL124" i="3" s="1"/>
  <c r="AM124" i="3" s="1"/>
  <c r="AN124" i="3" s="1"/>
  <c r="AO124" i="3" s="1"/>
  <c r="AP124" i="3" s="1"/>
  <c r="AQ124" i="3" s="1"/>
  <c r="R154" i="3"/>
  <c r="S122" i="3"/>
  <c r="T122" i="3" s="1"/>
  <c r="U122" i="3" s="1"/>
  <c r="V122" i="3" s="1"/>
  <c r="W122" i="3" s="1"/>
  <c r="X122" i="3" s="1"/>
  <c r="Y122" i="3" s="1"/>
  <c r="Z122" i="3" s="1"/>
  <c r="AA122" i="3" s="1"/>
  <c r="AB122" i="3" s="1"/>
  <c r="AC122" i="3" s="1"/>
  <c r="Q107" i="3"/>
  <c r="Q156" i="3"/>
  <c r="R156" i="3" s="1"/>
  <c r="E108" i="3"/>
  <c r="E127" i="3"/>
  <c r="R107" i="3"/>
  <c r="S107" i="3"/>
  <c r="T107" i="3" s="1"/>
  <c r="M169" i="3"/>
  <c r="AD122" i="3"/>
  <c r="AE122" i="3" s="1"/>
  <c r="AF122" i="3" s="1"/>
  <c r="AG122" i="3" s="1"/>
  <c r="AH122" i="3" s="1"/>
  <c r="AI122" i="3" s="1"/>
  <c r="AJ122" i="3" s="1"/>
  <c r="AK122" i="3" s="1"/>
  <c r="G108" i="3"/>
  <c r="F108" i="3"/>
  <c r="R169" i="3"/>
  <c r="M172" i="3"/>
  <c r="R172" i="3"/>
  <c r="I119" i="3"/>
  <c r="I126" i="3"/>
  <c r="L17" i="3"/>
  <c r="L18" i="3" s="1"/>
  <c r="L74" i="3"/>
  <c r="K17" i="3"/>
  <c r="M190" i="3"/>
  <c r="K18" i="3"/>
  <c r="L115" i="3"/>
  <c r="K115" i="3"/>
  <c r="J17" i="3"/>
  <c r="M17" i="3"/>
  <c r="M18" i="3"/>
  <c r="M74" i="3" s="1"/>
  <c r="M102" i="3"/>
  <c r="M20" i="3"/>
  <c r="L87" i="3"/>
  <c r="M87" i="3" s="1"/>
  <c r="J18" i="3"/>
  <c r="M152" i="3"/>
  <c r="M112" i="3"/>
  <c r="M115" i="3"/>
  <c r="R101" i="3"/>
  <c r="M24" i="3"/>
  <c r="P17" i="3"/>
  <c r="P18" i="3" s="1"/>
  <c r="C220" i="3"/>
  <c r="C221" i="3"/>
  <c r="J125" i="3"/>
  <c r="W101" i="3"/>
  <c r="I108" i="3"/>
  <c r="I127" i="3"/>
  <c r="M145" i="3"/>
  <c r="L88" i="3"/>
  <c r="N88" i="3"/>
  <c r="M88" i="3"/>
  <c r="M106" i="3"/>
  <c r="O88" i="3"/>
  <c r="J119" i="3"/>
  <c r="J126" i="3"/>
  <c r="K119" i="3"/>
  <c r="L119" i="3"/>
  <c r="K125" i="3"/>
  <c r="K126" i="3"/>
  <c r="N17" i="3"/>
  <c r="R162" i="3"/>
  <c r="P88" i="3"/>
  <c r="P188" i="3"/>
  <c r="Q145" i="3"/>
  <c r="N115" i="3"/>
  <c r="O13" i="3"/>
  <c r="O18" i="3" s="1"/>
  <c r="O20" i="3" s="1"/>
  <c r="O75" i="3" s="1"/>
  <c r="O74" i="3"/>
  <c r="O73" i="3"/>
  <c r="N13" i="3"/>
  <c r="P13" i="3"/>
  <c r="P73" i="3" s="1"/>
  <c r="N119" i="3"/>
  <c r="O115" i="3"/>
  <c r="O23" i="3"/>
  <c r="O28" i="3"/>
  <c r="O34" i="3" s="1"/>
  <c r="O87" i="3"/>
  <c r="O119" i="3"/>
  <c r="P115" i="3"/>
  <c r="P23" i="3"/>
  <c r="P87" i="3"/>
  <c r="N87" i="3"/>
  <c r="P119" i="3"/>
  <c r="R153" i="3"/>
  <c r="R102" i="3"/>
  <c r="N125" i="3"/>
  <c r="N126" i="3" s="1"/>
  <c r="P125" i="3"/>
  <c r="P126" i="3"/>
  <c r="W102" i="3"/>
  <c r="AB102" i="3"/>
  <c r="AG102" i="3"/>
  <c r="J104" i="3"/>
  <c r="J108" i="3" s="1"/>
  <c r="J127" i="3" s="1"/>
  <c r="M26" i="3"/>
  <c r="M28" i="3"/>
  <c r="M34" i="3" s="1"/>
  <c r="M75" i="3"/>
  <c r="P80" i="3" l="1"/>
  <c r="P25" i="3"/>
  <c r="K23" i="3"/>
  <c r="K74" i="3"/>
  <c r="K20" i="3"/>
  <c r="U107" i="3"/>
  <c r="AL122" i="3"/>
  <c r="P74" i="3"/>
  <c r="P20" i="3"/>
  <c r="O25" i="3"/>
  <c r="O80" i="3"/>
  <c r="N73" i="3"/>
  <c r="N18" i="3"/>
  <c r="J74" i="3"/>
  <c r="J20" i="3"/>
  <c r="J23" i="3"/>
  <c r="S161" i="3"/>
  <c r="Q164" i="3"/>
  <c r="Q106" i="3"/>
  <c r="R161" i="3"/>
  <c r="S162" i="3"/>
  <c r="T118" i="3"/>
  <c r="R145" i="3"/>
  <c r="Q88" i="3"/>
  <c r="R88" i="3" s="1"/>
  <c r="M119" i="3"/>
  <c r="L23" i="3"/>
  <c r="L20" i="3"/>
  <c r="AO105" i="3"/>
  <c r="M23" i="3"/>
  <c r="G126" i="3"/>
  <c r="G127" i="3" s="1"/>
  <c r="S156" i="3"/>
  <c r="W21" i="3"/>
  <c r="AG114" i="3"/>
  <c r="AH114" i="3"/>
  <c r="AI114" i="3" s="1"/>
  <c r="AJ114" i="3" s="1"/>
  <c r="AK114" i="3" s="1"/>
  <c r="H127" i="3"/>
  <c r="Z163" i="3"/>
  <c r="AA101" i="3"/>
  <c r="AB114" i="3"/>
  <c r="W168" i="3"/>
  <c r="W172" i="3" s="1"/>
  <c r="S172" i="3"/>
  <c r="G27" i="3"/>
  <c r="G33" i="3" s="1"/>
  <c r="G85" i="3"/>
  <c r="G90" i="3" s="1"/>
  <c r="G140" i="3"/>
  <c r="G157" i="3" s="1"/>
  <c r="G32" i="3"/>
  <c r="X117" i="3"/>
  <c r="W117" i="3"/>
  <c r="V168" i="3"/>
  <c r="V172" i="3" s="1"/>
  <c r="G28" i="3"/>
  <c r="G34" i="3" s="1"/>
  <c r="G75" i="3"/>
  <c r="E74" i="3"/>
  <c r="E23" i="3"/>
  <c r="E20" i="3"/>
  <c r="H20" i="3"/>
  <c r="H74" i="3"/>
  <c r="H23" i="3"/>
  <c r="AC111" i="3"/>
  <c r="AB111" i="3"/>
  <c r="V29" i="3"/>
  <c r="X29" i="3" s="1"/>
  <c r="J48" i="3"/>
  <c r="J44" i="3"/>
  <c r="F20" i="3"/>
  <c r="F23" i="3"/>
  <c r="Q11" i="3"/>
  <c r="Q56" i="3"/>
  <c r="Q12" i="3" s="1"/>
  <c r="R12" i="3" s="1"/>
  <c r="AH103" i="3"/>
  <c r="AG103" i="3"/>
  <c r="AL102" i="3"/>
  <c r="AM102" i="3"/>
  <c r="F59" i="3"/>
  <c r="F55" i="3"/>
  <c r="S53" i="3"/>
  <c r="T51" i="3"/>
  <c r="R114" i="3"/>
  <c r="E48" i="3"/>
  <c r="E44" i="3"/>
  <c r="F70" i="3"/>
  <c r="F66" i="3"/>
  <c r="M86" i="3"/>
  <c r="T62" i="3"/>
  <c r="T64" i="3" s="1"/>
  <c r="S64" i="3"/>
  <c r="I23" i="3"/>
  <c r="I74" i="3"/>
  <c r="W103" i="3"/>
  <c r="Q67" i="3"/>
  <c r="Q71" i="3"/>
  <c r="D73" i="3"/>
  <c r="D18" i="3"/>
  <c r="F48" i="3"/>
  <c r="F44" i="3"/>
  <c r="J59" i="3"/>
  <c r="J55" i="3"/>
  <c r="K44" i="3"/>
  <c r="L44" i="3"/>
  <c r="L48" i="3"/>
  <c r="T30" i="3"/>
  <c r="U30" i="3" s="1"/>
  <c r="V30" i="3" s="1"/>
  <c r="X30" i="3" s="1"/>
  <c r="S42" i="3"/>
  <c r="T40" i="3"/>
  <c r="Q69" i="3"/>
  <c r="Q14" i="3" s="1"/>
  <c r="G48" i="3"/>
  <c r="T65" i="3" l="1"/>
  <c r="T69" i="3"/>
  <c r="S58" i="3"/>
  <c r="S54" i="3"/>
  <c r="Y29" i="3"/>
  <c r="Z29" i="3" s="1"/>
  <c r="AA29" i="3" s="1"/>
  <c r="AC29" i="3" s="1"/>
  <c r="M80" i="3"/>
  <c r="M25" i="3"/>
  <c r="L25" i="3"/>
  <c r="L80" i="3"/>
  <c r="T162" i="3"/>
  <c r="U118" i="3"/>
  <c r="O31" i="3"/>
  <c r="O32" i="3"/>
  <c r="O27" i="3"/>
  <c r="O33" i="3" s="1"/>
  <c r="O140" i="3"/>
  <c r="O157" i="3" s="1"/>
  <c r="O123" i="3"/>
  <c r="O125" i="3" s="1"/>
  <c r="O126" i="3" s="1"/>
  <c r="O85" i="3"/>
  <c r="O90" i="3" s="1"/>
  <c r="T156" i="3"/>
  <c r="K80" i="3"/>
  <c r="K25" i="3"/>
  <c r="W30" i="3"/>
  <c r="Q92" i="3"/>
  <c r="Q19" i="3" s="1"/>
  <c r="Q22" i="3"/>
  <c r="Q15" i="3"/>
  <c r="R15" i="3" s="1"/>
  <c r="R11" i="3"/>
  <c r="R13" i="3" s="1"/>
  <c r="Q16" i="3"/>
  <c r="R16" i="3" s="1"/>
  <c r="Q112" i="3"/>
  <c r="Q13" i="3"/>
  <c r="H28" i="3"/>
  <c r="H34" i="3" s="1"/>
  <c r="H75" i="3"/>
  <c r="Y117" i="3"/>
  <c r="X21" i="3"/>
  <c r="X168" i="3"/>
  <c r="S164" i="3"/>
  <c r="T161" i="3"/>
  <c r="N20" i="3"/>
  <c r="N74" i="3"/>
  <c r="N23" i="3"/>
  <c r="P75" i="3"/>
  <c r="P28" i="3"/>
  <c r="P34" i="3" s="1"/>
  <c r="V107" i="3"/>
  <c r="P85" i="3"/>
  <c r="P90" i="3" s="1"/>
  <c r="P31" i="3"/>
  <c r="P32" i="3"/>
  <c r="P27" i="3"/>
  <c r="P33" i="3" s="1"/>
  <c r="P140" i="3"/>
  <c r="P157" i="3" s="1"/>
  <c r="S43" i="3"/>
  <c r="S47" i="3"/>
  <c r="I80" i="3"/>
  <c r="I25" i="3"/>
  <c r="Y30" i="3"/>
  <c r="Z30" i="3" s="1"/>
  <c r="AA30" i="3" s="1"/>
  <c r="AC30" i="3" s="1"/>
  <c r="AB30" i="3"/>
  <c r="D23" i="3"/>
  <c r="D74" i="3"/>
  <c r="D20" i="3"/>
  <c r="S69" i="3"/>
  <c r="S65" i="3"/>
  <c r="U51" i="3"/>
  <c r="AI103" i="3"/>
  <c r="F25" i="3"/>
  <c r="F80" i="3"/>
  <c r="AD111" i="3"/>
  <c r="E28" i="3"/>
  <c r="E34" i="3" s="1"/>
  <c r="E75" i="3"/>
  <c r="AC101" i="3"/>
  <c r="AA163" i="3"/>
  <c r="AB101" i="3"/>
  <c r="AM114" i="3"/>
  <c r="AN114" i="3" s="1"/>
  <c r="AO114" i="3" s="1"/>
  <c r="AP114" i="3" s="1"/>
  <c r="AQ114" i="3" s="1"/>
  <c r="AL114" i="3"/>
  <c r="AP105" i="3"/>
  <c r="R164" i="3"/>
  <c r="R190" i="3"/>
  <c r="J25" i="3"/>
  <c r="J80" i="3"/>
  <c r="AM122" i="3"/>
  <c r="K28" i="3"/>
  <c r="K34" i="3" s="1"/>
  <c r="K75" i="3"/>
  <c r="R14" i="3"/>
  <c r="Q17" i="3"/>
  <c r="U40" i="3"/>
  <c r="U42" i="3"/>
  <c r="T42" i="3"/>
  <c r="U62" i="3"/>
  <c r="T53" i="3"/>
  <c r="AN102" i="3"/>
  <c r="Q60" i="3"/>
  <c r="F75" i="3"/>
  <c r="F28" i="3"/>
  <c r="F34" i="3" s="1"/>
  <c r="W29" i="3"/>
  <c r="H25" i="3"/>
  <c r="H80" i="3"/>
  <c r="E25" i="3"/>
  <c r="E80" i="3"/>
  <c r="G179" i="3"/>
  <c r="G180" i="3"/>
  <c r="G174" i="3"/>
  <c r="AB163" i="3"/>
  <c r="L28" i="3"/>
  <c r="L34" i="3" s="1"/>
  <c r="L75" i="3"/>
  <c r="S145" i="3"/>
  <c r="R106" i="3"/>
  <c r="S106" i="3"/>
  <c r="J28" i="3"/>
  <c r="J34" i="3" s="1"/>
  <c r="J75" i="3"/>
  <c r="P179" i="3" l="1"/>
  <c r="P189" i="3"/>
  <c r="P180" i="3"/>
  <c r="P174" i="3"/>
  <c r="U161" i="3"/>
  <c r="T164" i="3"/>
  <c r="X172" i="3"/>
  <c r="U162" i="3"/>
  <c r="V118" i="3"/>
  <c r="M140" i="3"/>
  <c r="M157" i="3" s="1"/>
  <c r="M27" i="3"/>
  <c r="M33" i="3" s="1"/>
  <c r="S56" i="3"/>
  <c r="S60" i="3" s="1"/>
  <c r="E27" i="3"/>
  <c r="E33" i="3" s="1"/>
  <c r="E85" i="3"/>
  <c r="E90" i="3" s="1"/>
  <c r="E140" i="3"/>
  <c r="E157" i="3" s="1"/>
  <c r="E32" i="3"/>
  <c r="E31" i="3"/>
  <c r="AO102" i="3"/>
  <c r="T43" i="3"/>
  <c r="T47" i="3"/>
  <c r="T14" i="3" s="1"/>
  <c r="R17" i="3"/>
  <c r="S71" i="3"/>
  <c r="S67" i="3"/>
  <c r="D80" i="3"/>
  <c r="D25" i="3"/>
  <c r="U156" i="3"/>
  <c r="W156" i="3" s="1"/>
  <c r="N25" i="3"/>
  <c r="N80" i="3"/>
  <c r="R18" i="3"/>
  <c r="R73" i="3"/>
  <c r="AQ105" i="3"/>
  <c r="F32" i="3"/>
  <c r="F140" i="3"/>
  <c r="F157" i="3" s="1"/>
  <c r="F27" i="3"/>
  <c r="F33" i="3" s="1"/>
  <c r="F31" i="3"/>
  <c r="F85" i="3"/>
  <c r="F90" i="3" s="1"/>
  <c r="R19" i="3"/>
  <c r="Q89" i="3"/>
  <c r="R89" i="3" s="1"/>
  <c r="S88" i="3"/>
  <c r="T54" i="3"/>
  <c r="T58" i="3"/>
  <c r="U43" i="3"/>
  <c r="U47" i="3"/>
  <c r="AN122" i="3"/>
  <c r="AC163" i="3"/>
  <c r="AD101" i="3"/>
  <c r="AE111" i="3"/>
  <c r="AJ103" i="3"/>
  <c r="S14" i="3"/>
  <c r="V156" i="3"/>
  <c r="W107" i="3"/>
  <c r="X107" i="3" s="1"/>
  <c r="Z117" i="3"/>
  <c r="Y21" i="3"/>
  <c r="Y168" i="3"/>
  <c r="Y172" i="3" s="1"/>
  <c r="Q73" i="3"/>
  <c r="Q18" i="3"/>
  <c r="K31" i="3"/>
  <c r="K32" i="3"/>
  <c r="K27" i="3"/>
  <c r="K33" i="3" s="1"/>
  <c r="K140" i="3"/>
  <c r="K157" i="3" s="1"/>
  <c r="K85" i="3"/>
  <c r="K90" i="3" s="1"/>
  <c r="AD29" i="3"/>
  <c r="AE29" i="3" s="1"/>
  <c r="AF29" i="3" s="1"/>
  <c r="AH29" i="3" s="1"/>
  <c r="T145" i="3"/>
  <c r="T88" i="3" s="1"/>
  <c r="V62" i="3"/>
  <c r="J85" i="3"/>
  <c r="J90" i="3" s="1"/>
  <c r="J140" i="3"/>
  <c r="J157" i="3" s="1"/>
  <c r="J27" i="3"/>
  <c r="J33" i="3" s="1"/>
  <c r="J31" i="3"/>
  <c r="J32" i="3"/>
  <c r="V51" i="3"/>
  <c r="V53" i="3"/>
  <c r="I31" i="3"/>
  <c r="I85" i="3"/>
  <c r="I32" i="3"/>
  <c r="I140" i="3"/>
  <c r="I157" i="3" s="1"/>
  <c r="I27" i="3"/>
  <c r="I33" i="3" s="1"/>
  <c r="H27" i="3"/>
  <c r="H33" i="3" s="1"/>
  <c r="H32" i="3"/>
  <c r="H31" i="3"/>
  <c r="U64" i="3"/>
  <c r="V40" i="3"/>
  <c r="V42" i="3" s="1"/>
  <c r="U53" i="3"/>
  <c r="D75" i="3"/>
  <c r="D28" i="3"/>
  <c r="D34" i="3" s="1"/>
  <c r="AD30" i="3"/>
  <c r="AE30" i="3" s="1"/>
  <c r="AF30" i="3" s="1"/>
  <c r="AH30" i="3" s="1"/>
  <c r="AG30" i="3"/>
  <c r="S11" i="3"/>
  <c r="S45" i="3"/>
  <c r="S12" i="3" s="1"/>
  <c r="N28" i="3"/>
  <c r="N34" i="3" s="1"/>
  <c r="N75" i="3"/>
  <c r="Q115" i="3"/>
  <c r="R112" i="3"/>
  <c r="R115" i="3" s="1"/>
  <c r="R119" i="3" s="1"/>
  <c r="R22" i="3"/>
  <c r="Q86" i="3"/>
  <c r="R86" i="3" s="1"/>
  <c r="O174" i="3"/>
  <c r="O179" i="3"/>
  <c r="O180" i="3"/>
  <c r="L140" i="3"/>
  <c r="L157" i="3" s="1"/>
  <c r="L32" i="3"/>
  <c r="L123" i="3"/>
  <c r="L27" i="3"/>
  <c r="L33" i="3" s="1"/>
  <c r="L85" i="3"/>
  <c r="L90" i="3" s="1"/>
  <c r="L31" i="3"/>
  <c r="AB29" i="3"/>
  <c r="T67" i="3"/>
  <c r="T71" i="3"/>
  <c r="V43" i="3" l="1"/>
  <c r="V47" i="3"/>
  <c r="M123" i="3"/>
  <c r="M125" i="3" s="1"/>
  <c r="M126" i="3" s="1"/>
  <c r="L125" i="3"/>
  <c r="L126" i="3" s="1"/>
  <c r="V54" i="3"/>
  <c r="V58" i="3"/>
  <c r="X62" i="3"/>
  <c r="R20" i="3"/>
  <c r="R74" i="3"/>
  <c r="R23" i="3"/>
  <c r="M180" i="3"/>
  <c r="M182" i="3" s="1"/>
  <c r="M179" i="3"/>
  <c r="M174" i="3"/>
  <c r="AI30" i="3"/>
  <c r="AJ30" i="3" s="1"/>
  <c r="AK30" i="3" s="1"/>
  <c r="AM30" i="3" s="1"/>
  <c r="AL30" i="3"/>
  <c r="M32" i="3"/>
  <c r="X51" i="3"/>
  <c r="X53" i="3" s="1"/>
  <c r="J189" i="3"/>
  <c r="J179" i="3"/>
  <c r="J174" i="3"/>
  <c r="J180" i="3"/>
  <c r="T106" i="3"/>
  <c r="U45" i="3"/>
  <c r="U49" i="3"/>
  <c r="N31" i="3"/>
  <c r="N85" i="3"/>
  <c r="N140" i="3"/>
  <c r="N157" i="3" s="1"/>
  <c r="N32" i="3"/>
  <c r="N27" i="3"/>
  <c r="N33" i="3" s="1"/>
  <c r="T45" i="3"/>
  <c r="T11" i="3"/>
  <c r="X118" i="3"/>
  <c r="X156" i="3" s="1"/>
  <c r="W118" i="3"/>
  <c r="V162" i="3"/>
  <c r="U54" i="3"/>
  <c r="U58" i="3"/>
  <c r="AI29" i="3"/>
  <c r="AJ29" i="3" s="1"/>
  <c r="AK29" i="3" s="1"/>
  <c r="AM29" i="3" s="1"/>
  <c r="Y107" i="3"/>
  <c r="AK103" i="3"/>
  <c r="L189" i="3"/>
  <c r="L179" i="3"/>
  <c r="L174" i="3"/>
  <c r="L180" i="3"/>
  <c r="Q119" i="3"/>
  <c r="Q152" i="3"/>
  <c r="R152" i="3" s="1"/>
  <c r="S92" i="3"/>
  <c r="S19" i="3" s="1"/>
  <c r="S22" i="3"/>
  <c r="S15" i="3"/>
  <c r="S16" i="3"/>
  <c r="S13" i="3"/>
  <c r="S112" i="3"/>
  <c r="S115" i="3" s="1"/>
  <c r="X40" i="3"/>
  <c r="X42" i="3"/>
  <c r="I90" i="3"/>
  <c r="M90" i="3" s="1"/>
  <c r="M85" i="3"/>
  <c r="AF111" i="3"/>
  <c r="E179" i="3"/>
  <c r="E180" i="3"/>
  <c r="E174" i="3"/>
  <c r="W162" i="3"/>
  <c r="U164" i="3"/>
  <c r="V161" i="3"/>
  <c r="I179" i="3"/>
  <c r="I174" i="3"/>
  <c r="I180" i="3"/>
  <c r="I189" i="3"/>
  <c r="S49" i="3"/>
  <c r="U69" i="3"/>
  <c r="U14" i="3" s="1"/>
  <c r="U65" i="3"/>
  <c r="M31" i="3"/>
  <c r="V64" i="3"/>
  <c r="AG29" i="3"/>
  <c r="K174" i="3"/>
  <c r="K180" i="3"/>
  <c r="K179" i="3"/>
  <c r="K189" i="3"/>
  <c r="Q74" i="3"/>
  <c r="Q23" i="3"/>
  <c r="Q20" i="3"/>
  <c r="Z21" i="3"/>
  <c r="AA117" i="3"/>
  <c r="Z168" i="3"/>
  <c r="Z172" i="3" s="1"/>
  <c r="AD163" i="3"/>
  <c r="AE101" i="3"/>
  <c r="AO122" i="3"/>
  <c r="T56" i="3"/>
  <c r="T60" i="3"/>
  <c r="F174" i="3"/>
  <c r="F189" i="3"/>
  <c r="F179" i="3"/>
  <c r="F180" i="3"/>
  <c r="G189" i="3"/>
  <c r="D85" i="3"/>
  <c r="D27" i="3"/>
  <c r="D33" i="3" s="1"/>
  <c r="D32" i="3"/>
  <c r="D31" i="3"/>
  <c r="D140" i="3"/>
  <c r="AP102" i="3"/>
  <c r="X54" i="3" l="1"/>
  <c r="X58" i="3"/>
  <c r="X43" i="3"/>
  <c r="X47" i="3"/>
  <c r="AM103" i="3"/>
  <c r="AL103" i="3"/>
  <c r="N180" i="3"/>
  <c r="N179" i="3"/>
  <c r="N189" i="3"/>
  <c r="N174" i="3"/>
  <c r="O189" i="3"/>
  <c r="U145" i="3"/>
  <c r="Y62" i="3"/>
  <c r="AP122" i="3"/>
  <c r="AB117" i="3"/>
  <c r="AC117" i="3"/>
  <c r="AA168" i="3"/>
  <c r="AA172" i="3" s="1"/>
  <c r="AA21" i="3"/>
  <c r="AB21" i="3" s="1"/>
  <c r="U67" i="3"/>
  <c r="U71" i="3"/>
  <c r="Y40" i="3"/>
  <c r="T12" i="3"/>
  <c r="N90" i="3"/>
  <c r="AN30" i="3"/>
  <c r="AO30" i="3" s="1"/>
  <c r="AP30" i="3" s="1"/>
  <c r="R75" i="3"/>
  <c r="D90" i="3"/>
  <c r="H90" i="3" s="1"/>
  <c r="H85" i="3"/>
  <c r="Q24" i="3"/>
  <c r="AN29" i="3"/>
  <c r="AO29" i="3" s="1"/>
  <c r="AP29" i="3" s="1"/>
  <c r="AQ29" i="3"/>
  <c r="X161" i="3"/>
  <c r="V164" i="3"/>
  <c r="W161" i="3"/>
  <c r="S152" i="3"/>
  <c r="S119" i="3"/>
  <c r="Z107" i="3"/>
  <c r="Y156" i="3"/>
  <c r="U56" i="3"/>
  <c r="U12" i="3" s="1"/>
  <c r="U60" i="3"/>
  <c r="Y118" i="3"/>
  <c r="X162" i="3"/>
  <c r="U11" i="3"/>
  <c r="Y51" i="3"/>
  <c r="Y53" i="3"/>
  <c r="V56" i="3"/>
  <c r="V60" i="3"/>
  <c r="V14" i="3"/>
  <c r="D157" i="3"/>
  <c r="H140" i="3"/>
  <c r="H157" i="3" s="1"/>
  <c r="S89" i="3"/>
  <c r="T92" i="3"/>
  <c r="T19" i="3" s="1"/>
  <c r="T89" i="3" s="1"/>
  <c r="T16" i="3"/>
  <c r="T22" i="3"/>
  <c r="T86" i="3" s="1"/>
  <c r="T15" i="3"/>
  <c r="T17" i="3" s="1"/>
  <c r="T112" i="3"/>
  <c r="T115" i="3" s="1"/>
  <c r="T13" i="3"/>
  <c r="AF101" i="3"/>
  <c r="AE163" i="3"/>
  <c r="AH111" i="3"/>
  <c r="AG111" i="3"/>
  <c r="AQ102" i="3"/>
  <c r="Q75" i="3"/>
  <c r="Q28" i="3"/>
  <c r="Q34" i="3" s="1"/>
  <c r="V69" i="3"/>
  <c r="V65" i="3"/>
  <c r="S17" i="3"/>
  <c r="S18" i="3" s="1"/>
  <c r="S73" i="3"/>
  <c r="S86" i="3"/>
  <c r="AL29" i="3"/>
  <c r="T49" i="3"/>
  <c r="X64" i="3"/>
  <c r="V45" i="3"/>
  <c r="V49" i="3"/>
  <c r="V11" i="3"/>
  <c r="S74" i="3" l="1"/>
  <c r="S23" i="3"/>
  <c r="S20" i="3"/>
  <c r="Z40" i="3"/>
  <c r="Z42" i="3"/>
  <c r="X45" i="3"/>
  <c r="X49" i="3"/>
  <c r="AH101" i="3"/>
  <c r="AF163" i="3"/>
  <c r="AG163" i="3" s="1"/>
  <c r="AG101" i="3"/>
  <c r="Z53" i="3"/>
  <c r="Z51" i="3"/>
  <c r="Y162" i="3"/>
  <c r="Z118" i="3"/>
  <c r="AA107" i="3"/>
  <c r="Z156" i="3"/>
  <c r="AQ30" i="3"/>
  <c r="AD117" i="3"/>
  <c r="AC168" i="3"/>
  <c r="AC21" i="3"/>
  <c r="AB168" i="3"/>
  <c r="AB172" i="3" s="1"/>
  <c r="U88" i="3"/>
  <c r="Y58" i="3"/>
  <c r="Y54" i="3"/>
  <c r="V67" i="3"/>
  <c r="V71" i="3" s="1"/>
  <c r="T73" i="3"/>
  <c r="T18" i="3"/>
  <c r="U15" i="3"/>
  <c r="U92" i="3"/>
  <c r="U19" i="3" s="1"/>
  <c r="U22" i="3"/>
  <c r="U16" i="3"/>
  <c r="W16" i="3" s="1"/>
  <c r="U13" i="3"/>
  <c r="U112" i="3"/>
  <c r="U115" i="3" s="1"/>
  <c r="W11" i="3"/>
  <c r="X164" i="3"/>
  <c r="Y161" i="3"/>
  <c r="Q87" i="3"/>
  <c r="R87" i="3" s="1"/>
  <c r="R24" i="3"/>
  <c r="U106" i="3"/>
  <c r="AN103" i="3"/>
  <c r="X56" i="3"/>
  <c r="X60" i="3" s="1"/>
  <c r="D174" i="3"/>
  <c r="D176" i="3" s="1"/>
  <c r="E175" i="3" s="1"/>
  <c r="E176" i="3" s="1"/>
  <c r="F175" i="3" s="1"/>
  <c r="F176" i="3" s="1"/>
  <c r="G175" i="3" s="1"/>
  <c r="G176" i="3" s="1"/>
  <c r="I175" i="3" s="1"/>
  <c r="I176" i="3" s="1"/>
  <c r="J175" i="3" s="1"/>
  <c r="J176" i="3" s="1"/>
  <c r="K175" i="3" s="1"/>
  <c r="K176" i="3" s="1"/>
  <c r="D179" i="3"/>
  <c r="D180" i="3"/>
  <c r="E189" i="3"/>
  <c r="W164" i="3"/>
  <c r="W190" i="3"/>
  <c r="AQ122" i="3"/>
  <c r="Z62" i="3"/>
  <c r="V92" i="3"/>
  <c r="V19" i="3" s="1"/>
  <c r="V89" i="3" s="1"/>
  <c r="V22" i="3"/>
  <c r="V86" i="3" s="1"/>
  <c r="V15" i="3"/>
  <c r="V17" i="3" s="1"/>
  <c r="V16" i="3"/>
  <c r="V112" i="3"/>
  <c r="X69" i="3"/>
  <c r="X65" i="3"/>
  <c r="AI111" i="3"/>
  <c r="T152" i="3"/>
  <c r="T119" i="3"/>
  <c r="H180" i="3"/>
  <c r="H179" i="3"/>
  <c r="H174" i="3"/>
  <c r="H176" i="3" s="1"/>
  <c r="M175" i="3" s="1"/>
  <c r="M176" i="3" s="1"/>
  <c r="Q25" i="3"/>
  <c r="Y42" i="3"/>
  <c r="Y64" i="3"/>
  <c r="X14" i="3"/>
  <c r="W14" i="3"/>
  <c r="AJ111" i="3" l="1"/>
  <c r="K100" i="3"/>
  <c r="L175" i="3"/>
  <c r="L176" i="3" s="1"/>
  <c r="L100" i="3" s="1"/>
  <c r="U86" i="3"/>
  <c r="W86" i="3" s="1"/>
  <c r="W22" i="3"/>
  <c r="V12" i="3"/>
  <c r="AD168" i="3"/>
  <c r="AD172" i="3" s="1"/>
  <c r="AE117" i="3"/>
  <c r="AD21" i="3"/>
  <c r="AA51" i="3"/>
  <c r="AA53" i="3"/>
  <c r="S28" i="3"/>
  <c r="S34" i="3" s="1"/>
  <c r="S75" i="3"/>
  <c r="Y43" i="3"/>
  <c r="Y47" i="3"/>
  <c r="Y69" i="3"/>
  <c r="Y65" i="3"/>
  <c r="AA62" i="3"/>
  <c r="AA64" i="3" s="1"/>
  <c r="AO103" i="3"/>
  <c r="U152" i="3"/>
  <c r="U119" i="3"/>
  <c r="U89" i="3"/>
  <c r="W89" i="3" s="1"/>
  <c r="W19" i="3"/>
  <c r="Y56" i="3"/>
  <c r="Y60" i="3" s="1"/>
  <c r="AB107" i="3"/>
  <c r="AC107" i="3" s="1"/>
  <c r="Z58" i="3"/>
  <c r="Z54" i="3"/>
  <c r="AI101" i="3"/>
  <c r="AH163" i="3"/>
  <c r="Z43" i="3"/>
  <c r="Z47" i="3"/>
  <c r="S24" i="3"/>
  <c r="S25" i="3"/>
  <c r="V115" i="3"/>
  <c r="W112" i="3"/>
  <c r="W115" i="3" s="1"/>
  <c r="W119" i="3" s="1"/>
  <c r="R28" i="3"/>
  <c r="R34" i="3" s="1"/>
  <c r="R25" i="3"/>
  <c r="T74" i="3"/>
  <c r="T20" i="3"/>
  <c r="T23" i="3"/>
  <c r="AC172" i="3"/>
  <c r="Q32" i="3"/>
  <c r="R32" i="3" s="1"/>
  <c r="Q27" i="3"/>
  <c r="Q33" i="3" s="1"/>
  <c r="Q85" i="3"/>
  <c r="Q31" i="3"/>
  <c r="R31" i="3" s="1"/>
  <c r="Q140" i="3"/>
  <c r="Q157" i="3" s="1"/>
  <c r="Q123" i="3"/>
  <c r="X71" i="3"/>
  <c r="X67" i="3"/>
  <c r="X12" i="3" s="1"/>
  <c r="N175" i="3"/>
  <c r="N176" i="3" s="1"/>
  <c r="R175" i="3"/>
  <c r="Z64" i="3"/>
  <c r="V145" i="3"/>
  <c r="V106" i="3" s="1"/>
  <c r="Y164" i="3"/>
  <c r="Z161" i="3"/>
  <c r="U73" i="3"/>
  <c r="U17" i="3"/>
  <c r="U18" i="3" s="1"/>
  <c r="W15" i="3"/>
  <c r="W17" i="3" s="1"/>
  <c r="AA118" i="3"/>
  <c r="Z162" i="3"/>
  <c r="X11" i="3"/>
  <c r="AA40" i="3"/>
  <c r="AA69" i="3" l="1"/>
  <c r="AA65" i="3"/>
  <c r="U74" i="3"/>
  <c r="U23" i="3"/>
  <c r="U20" i="3"/>
  <c r="W106" i="3"/>
  <c r="X145" i="3"/>
  <c r="X106" i="3" s="1"/>
  <c r="Q179" i="3"/>
  <c r="Q180" i="3"/>
  <c r="Q189" i="3"/>
  <c r="Q174" i="3"/>
  <c r="W12" i="3"/>
  <c r="W13" i="3" s="1"/>
  <c r="V13" i="3"/>
  <c r="L177" i="3"/>
  <c r="L104" i="3"/>
  <c r="L108" i="3" s="1"/>
  <c r="L127" i="3" s="1"/>
  <c r="M100" i="3"/>
  <c r="Z164" i="3"/>
  <c r="AA161" i="3"/>
  <c r="AB161" i="3"/>
  <c r="T24" i="3"/>
  <c r="T87" i="3" s="1"/>
  <c r="Z45" i="3"/>
  <c r="Y14" i="3"/>
  <c r="AE168" i="3"/>
  <c r="AE21" i="3"/>
  <c r="AF117" i="3"/>
  <c r="K104" i="3"/>
  <c r="K108" i="3" s="1"/>
  <c r="K127" i="3" s="1"/>
  <c r="K177" i="3"/>
  <c r="R27" i="3"/>
  <c r="R33" i="3" s="1"/>
  <c r="R140" i="3"/>
  <c r="R157" i="3" s="1"/>
  <c r="Z60" i="3"/>
  <c r="Z56" i="3"/>
  <c r="Z65" i="3"/>
  <c r="Z11" i="3" s="1"/>
  <c r="Z69" i="3"/>
  <c r="Z14" i="3" s="1"/>
  <c r="AD107" i="3"/>
  <c r="AC62" i="3"/>
  <c r="AC64" i="3" s="1"/>
  <c r="Y49" i="3"/>
  <c r="Y45" i="3"/>
  <c r="Y11" i="3"/>
  <c r="AA58" i="3"/>
  <c r="AA54" i="3"/>
  <c r="X15" i="3"/>
  <c r="X22" i="3"/>
  <c r="X92" i="3"/>
  <c r="X19" i="3" s="1"/>
  <c r="X16" i="3"/>
  <c r="X13" i="3"/>
  <c r="X112" i="3"/>
  <c r="X115" i="3" s="1"/>
  <c r="N100" i="3"/>
  <c r="O175" i="3"/>
  <c r="O176" i="3" s="1"/>
  <c r="V119" i="3"/>
  <c r="V152" i="3"/>
  <c r="W152" i="3" s="1"/>
  <c r="AP103" i="3"/>
  <c r="AC42" i="3"/>
  <c r="AC40" i="3"/>
  <c r="AA162" i="3"/>
  <c r="AB162" i="3" s="1"/>
  <c r="AB118" i="3"/>
  <c r="AC118" i="3"/>
  <c r="Q90" i="3"/>
  <c r="R90" i="3" s="1"/>
  <c r="R85" i="3"/>
  <c r="T75" i="3"/>
  <c r="T28" i="3"/>
  <c r="T34" i="3" s="1"/>
  <c r="S27" i="3"/>
  <c r="S33" i="3" s="1"/>
  <c r="S140" i="3"/>
  <c r="S157" i="3" s="1"/>
  <c r="S32" i="3"/>
  <c r="S31" i="3"/>
  <c r="S85" i="3"/>
  <c r="AA42" i="3"/>
  <c r="V88" i="3"/>
  <c r="W88" i="3" s="1"/>
  <c r="W145" i="3"/>
  <c r="R123" i="3"/>
  <c r="Q125" i="3"/>
  <c r="Q126" i="3" s="1"/>
  <c r="S87" i="3"/>
  <c r="AI163" i="3"/>
  <c r="AJ101" i="3"/>
  <c r="AA156" i="3"/>
  <c r="AB156" i="3" s="1"/>
  <c r="Y67" i="3"/>
  <c r="Y71" i="3"/>
  <c r="AC51" i="3"/>
  <c r="AK111" i="3"/>
  <c r="Z92" i="3" l="1"/>
  <c r="Z19" i="3" s="1"/>
  <c r="Z89" i="3" s="1"/>
  <c r="Z22" i="3"/>
  <c r="Z86" i="3" s="1"/>
  <c r="Z15" i="3"/>
  <c r="Z16" i="3"/>
  <c r="Z17" i="3" s="1"/>
  <c r="AC65" i="3"/>
  <c r="AC69" i="3"/>
  <c r="Y106" i="3"/>
  <c r="Y145" i="3"/>
  <c r="Y88" i="3" s="1"/>
  <c r="S123" i="3"/>
  <c r="R125" i="3"/>
  <c r="R126" i="3" s="1"/>
  <c r="AD118" i="3"/>
  <c r="AC162" i="3"/>
  <c r="AM111" i="3"/>
  <c r="AL111" i="3"/>
  <c r="AA47" i="3"/>
  <c r="AA14" i="3" s="1"/>
  <c r="AA43" i="3"/>
  <c r="S179" i="3"/>
  <c r="S189" i="3"/>
  <c r="S180" i="3"/>
  <c r="S174" i="3"/>
  <c r="X73" i="3"/>
  <c r="X18" i="3"/>
  <c r="X17" i="3"/>
  <c r="AC156" i="3"/>
  <c r="AE172" i="3"/>
  <c r="Z12" i="3"/>
  <c r="Z13" i="3" s="1"/>
  <c r="AC161" i="3"/>
  <c r="AA164" i="3"/>
  <c r="AA67" i="3"/>
  <c r="AA71" i="3"/>
  <c r="AC47" i="3"/>
  <c r="AC43" i="3"/>
  <c r="X86" i="3"/>
  <c r="Z71" i="3"/>
  <c r="Z67" i="3"/>
  <c r="S90" i="3"/>
  <c r="AQ103" i="3"/>
  <c r="O100" i="3"/>
  <c r="P175" i="3"/>
  <c r="P176" i="3" s="1"/>
  <c r="Y92" i="3"/>
  <c r="Y19" i="3" s="1"/>
  <c r="Y89" i="3" s="1"/>
  <c r="Y15" i="3"/>
  <c r="Y22" i="3"/>
  <c r="Y86" i="3" s="1"/>
  <c r="Y16" i="3"/>
  <c r="Y112" i="3"/>
  <c r="Y115" i="3" s="1"/>
  <c r="AD62" i="3"/>
  <c r="AD64" i="3"/>
  <c r="AB14" i="3"/>
  <c r="V73" i="3"/>
  <c r="V18" i="3"/>
  <c r="U75" i="3"/>
  <c r="X152" i="3"/>
  <c r="X119" i="3"/>
  <c r="AA56" i="3"/>
  <c r="AA60" i="3" s="1"/>
  <c r="AE107" i="3"/>
  <c r="AB164" i="3"/>
  <c r="AD51" i="3"/>
  <c r="AD53" i="3"/>
  <c r="AC53" i="3"/>
  <c r="AJ163" i="3"/>
  <c r="AK101" i="3"/>
  <c r="AD40" i="3"/>
  <c r="AD42" i="3"/>
  <c r="N104" i="3"/>
  <c r="N108" i="3" s="1"/>
  <c r="N127" i="3" s="1"/>
  <c r="N177" i="3"/>
  <c r="X89" i="3"/>
  <c r="Y12" i="3"/>
  <c r="R180" i="3"/>
  <c r="R182" i="3" s="1"/>
  <c r="R179" i="3"/>
  <c r="R174" i="3"/>
  <c r="R176" i="3" s="1"/>
  <c r="AF168" i="3"/>
  <c r="AF172" i="3" s="1"/>
  <c r="AH117" i="3"/>
  <c r="AF21" i="3"/>
  <c r="AG117" i="3"/>
  <c r="Z49" i="3"/>
  <c r="T25" i="3"/>
  <c r="M177" i="3"/>
  <c r="M104" i="3"/>
  <c r="M108" i="3" s="1"/>
  <c r="M127" i="3" s="1"/>
  <c r="W73" i="3"/>
  <c r="W18" i="3"/>
  <c r="X88" i="3"/>
  <c r="U24" i="3"/>
  <c r="U25" i="3"/>
  <c r="Z73" i="3" l="1"/>
  <c r="Z18" i="3"/>
  <c r="AC67" i="3"/>
  <c r="AC71" i="3"/>
  <c r="U87" i="3"/>
  <c r="AB12" i="3"/>
  <c r="U28" i="3"/>
  <c r="U34" i="3" s="1"/>
  <c r="AE62" i="3"/>
  <c r="AE64" i="3" s="1"/>
  <c r="Q175" i="3"/>
  <c r="Q176" i="3" s="1"/>
  <c r="Q100" i="3" s="1"/>
  <c r="P100" i="3"/>
  <c r="AC164" i="3"/>
  <c r="AD161" i="3"/>
  <c r="W23" i="3"/>
  <c r="W74" i="3"/>
  <c r="W20" i="3"/>
  <c r="AE118" i="3"/>
  <c r="AD162" i="3"/>
  <c r="AD43" i="3"/>
  <c r="AD47" i="3"/>
  <c r="AM101" i="3"/>
  <c r="AK163" i="3"/>
  <c r="AL163" i="3" s="1"/>
  <c r="AL101" i="3"/>
  <c r="Y152" i="3"/>
  <c r="Y119" i="3"/>
  <c r="O104" i="3"/>
  <c r="O108" i="3" s="1"/>
  <c r="O127" i="3" s="1"/>
  <c r="O177" i="3"/>
  <c r="AA49" i="3"/>
  <c r="AA45" i="3"/>
  <c r="AA12" i="3" s="1"/>
  <c r="AA11" i="3"/>
  <c r="AN111" i="3"/>
  <c r="T123" i="3"/>
  <c r="S125" i="3"/>
  <c r="S126" i="3" s="1"/>
  <c r="Z145" i="3"/>
  <c r="U32" i="3"/>
  <c r="U27" i="3"/>
  <c r="U33" i="3" s="1"/>
  <c r="U85" i="3"/>
  <c r="U90" i="3" s="1"/>
  <c r="U31" i="3"/>
  <c r="U140" i="3"/>
  <c r="U157" i="3" s="1"/>
  <c r="T27" i="3"/>
  <c r="T33" i="3" s="1"/>
  <c r="T32" i="3"/>
  <c r="T140" i="3"/>
  <c r="T157" i="3" s="1"/>
  <c r="T31" i="3"/>
  <c r="T85" i="3"/>
  <c r="AH21" i="3"/>
  <c r="AI117" i="3"/>
  <c r="AH168" i="3"/>
  <c r="AC58" i="3"/>
  <c r="AC54" i="3"/>
  <c r="AE156" i="3"/>
  <c r="AF107" i="3"/>
  <c r="AD69" i="3"/>
  <c r="AD65" i="3"/>
  <c r="AC14" i="3"/>
  <c r="X74" i="3"/>
  <c r="X23" i="3"/>
  <c r="X20" i="3"/>
  <c r="S175" i="3"/>
  <c r="S176" i="3" s="1"/>
  <c r="W175" i="3"/>
  <c r="AD58" i="3"/>
  <c r="AD54" i="3"/>
  <c r="AG21" i="3"/>
  <c r="AE42" i="3"/>
  <c r="AE40" i="3"/>
  <c r="AE53" i="3"/>
  <c r="AE51" i="3"/>
  <c r="AD156" i="3"/>
  <c r="V74" i="3"/>
  <c r="V20" i="3"/>
  <c r="V23" i="3"/>
  <c r="Y17" i="3"/>
  <c r="Y13" i="3"/>
  <c r="AC11" i="3"/>
  <c r="AC45" i="3"/>
  <c r="AC49" i="3"/>
  <c r="AG168" i="3"/>
  <c r="AG172" i="3" s="1"/>
  <c r="Z112" i="3"/>
  <c r="Z115" i="3" s="1"/>
  <c r="AE65" i="3" l="1"/>
  <c r="AE69" i="3"/>
  <c r="AE47" i="3"/>
  <c r="AE43" i="3"/>
  <c r="S100" i="3"/>
  <c r="T175" i="3"/>
  <c r="T180" i="3"/>
  <c r="T189" i="3"/>
  <c r="T179" i="3"/>
  <c r="T174" i="3"/>
  <c r="Z88" i="3"/>
  <c r="AD45" i="3"/>
  <c r="AD12" i="3" s="1"/>
  <c r="AD11" i="3"/>
  <c r="AC12" i="3"/>
  <c r="V24" i="3"/>
  <c r="V25" i="3"/>
  <c r="AF51" i="3"/>
  <c r="AD56" i="3"/>
  <c r="AD60" i="3"/>
  <c r="X75" i="3"/>
  <c r="AD67" i="3"/>
  <c r="AD71" i="3"/>
  <c r="AC56" i="3"/>
  <c r="AC60" i="3"/>
  <c r="Z106" i="3"/>
  <c r="AO111" i="3"/>
  <c r="W75" i="3"/>
  <c r="Z74" i="3"/>
  <c r="Z23" i="3"/>
  <c r="Z20" i="3"/>
  <c r="AC17" i="3"/>
  <c r="AI21" i="3"/>
  <c r="AJ117" i="3"/>
  <c r="AI168" i="3"/>
  <c r="AI172" i="3" s="1"/>
  <c r="AE54" i="3"/>
  <c r="AE58" i="3"/>
  <c r="X24" i="3"/>
  <c r="X25" i="3" s="1"/>
  <c r="T90" i="3"/>
  <c r="AA92" i="3"/>
  <c r="AA19" i="3" s="1"/>
  <c r="AA22" i="3"/>
  <c r="AA15" i="3"/>
  <c r="AA16" i="3"/>
  <c r="AB16" i="3" s="1"/>
  <c r="AA112" i="3"/>
  <c r="AA13" i="3"/>
  <c r="AB11" i="3"/>
  <c r="AM163" i="3"/>
  <c r="AN101" i="3"/>
  <c r="AF118" i="3"/>
  <c r="AE162" i="3"/>
  <c r="AF62" i="3"/>
  <c r="AF64" i="3" s="1"/>
  <c r="Z119" i="3"/>
  <c r="Z152" i="3"/>
  <c r="R100" i="3"/>
  <c r="Q177" i="3"/>
  <c r="Q104" i="3"/>
  <c r="Q108" i="3" s="1"/>
  <c r="Q127" i="3" s="1"/>
  <c r="AC92" i="3"/>
  <c r="AC19" i="3" s="1"/>
  <c r="AC15" i="3"/>
  <c r="AC22" i="3"/>
  <c r="AC16" i="3"/>
  <c r="AC13" i="3"/>
  <c r="AC112" i="3"/>
  <c r="AC115" i="3" s="1"/>
  <c r="V28" i="3"/>
  <c r="V34" i="3" s="1"/>
  <c r="V75" i="3"/>
  <c r="Y18" i="3"/>
  <c r="Y73" i="3"/>
  <c r="AF40" i="3"/>
  <c r="AF42" i="3"/>
  <c r="AG107" i="3"/>
  <c r="AH107" i="3" s="1"/>
  <c r="AH172" i="3"/>
  <c r="U179" i="3"/>
  <c r="U180" i="3"/>
  <c r="U189" i="3"/>
  <c r="U174" i="3"/>
  <c r="U123" i="3"/>
  <c r="T125" i="3"/>
  <c r="T126" i="3" s="1"/>
  <c r="AD14" i="3"/>
  <c r="AD164" i="3"/>
  <c r="AE161" i="3"/>
  <c r="P104" i="3"/>
  <c r="P108" i="3" s="1"/>
  <c r="P127" i="3" s="1"/>
  <c r="P177" i="3"/>
  <c r="C199" i="3" s="1"/>
  <c r="C231" i="3" s="1"/>
  <c r="AF69" i="3" l="1"/>
  <c r="AF65" i="3"/>
  <c r="X32" i="3"/>
  <c r="X27" i="3"/>
  <c r="X33" i="3" s="1"/>
  <c r="X140" i="3"/>
  <c r="X157" i="3" s="1"/>
  <c r="X31" i="3"/>
  <c r="X85" i="3"/>
  <c r="AA73" i="3"/>
  <c r="AE56" i="3"/>
  <c r="AE60" i="3" s="1"/>
  <c r="V85" i="3"/>
  <c r="V32" i="3"/>
  <c r="W32" i="3" s="1"/>
  <c r="C200" i="3" s="1"/>
  <c r="V140" i="3"/>
  <c r="V157" i="3" s="1"/>
  <c r="V27" i="3"/>
  <c r="V33" i="3" s="1"/>
  <c r="V31" i="3"/>
  <c r="W31" i="3" s="1"/>
  <c r="T176" i="3"/>
  <c r="Y74" i="3"/>
  <c r="Y23" i="3"/>
  <c r="Y20" i="3"/>
  <c r="AC119" i="3"/>
  <c r="AO101" i="3"/>
  <c r="AN163" i="3"/>
  <c r="AB112" i="3"/>
  <c r="AB115" i="3" s="1"/>
  <c r="AB119" i="3" s="1"/>
  <c r="AA115" i="3"/>
  <c r="AA89" i="3"/>
  <c r="AB89" i="3" s="1"/>
  <c r="AB19" i="3"/>
  <c r="AP111" i="3"/>
  <c r="V87" i="3"/>
  <c r="W87" i="3" s="1"/>
  <c r="W24" i="3"/>
  <c r="AD49" i="3"/>
  <c r="S104" i="3"/>
  <c r="S108" i="3" s="1"/>
  <c r="S127" i="3" s="1"/>
  <c r="S177" i="3"/>
  <c r="AH156" i="3"/>
  <c r="AI107" i="3"/>
  <c r="AC86" i="3"/>
  <c r="AH118" i="3"/>
  <c r="AF162" i="3"/>
  <c r="AG118" i="3"/>
  <c r="AA86" i="3"/>
  <c r="AB86" i="3" s="1"/>
  <c r="AB22" i="3"/>
  <c r="R177" i="3"/>
  <c r="R104" i="3"/>
  <c r="R108" i="3" s="1"/>
  <c r="R127" i="3" s="1"/>
  <c r="AH64" i="3"/>
  <c r="AH62" i="3"/>
  <c r="X87" i="3"/>
  <c r="AK117" i="3"/>
  <c r="AJ21" i="3"/>
  <c r="AJ168" i="3"/>
  <c r="Z75" i="3"/>
  <c r="AA145" i="3"/>
  <c r="AH51" i="3"/>
  <c r="AH53" i="3" s="1"/>
  <c r="AE45" i="3"/>
  <c r="AE49" i="3" s="1"/>
  <c r="AE11" i="3"/>
  <c r="AE164" i="3"/>
  <c r="AF161" i="3"/>
  <c r="AG161" i="3"/>
  <c r="AF43" i="3"/>
  <c r="AF47" i="3"/>
  <c r="AC73" i="3"/>
  <c r="AC18" i="3"/>
  <c r="U125" i="3"/>
  <c r="U126" i="3" s="1"/>
  <c r="V123" i="3"/>
  <c r="AF156" i="3"/>
  <c r="AG156" i="3" s="1"/>
  <c r="AH40" i="3"/>
  <c r="AH42" i="3"/>
  <c r="AC89" i="3"/>
  <c r="AG162" i="3"/>
  <c r="AB13" i="3"/>
  <c r="AB190" i="3"/>
  <c r="AA17" i="3"/>
  <c r="AA18" i="3" s="1"/>
  <c r="AB15" i="3"/>
  <c r="AB17" i="3" s="1"/>
  <c r="Z24" i="3"/>
  <c r="Z87" i="3" s="1"/>
  <c r="X28" i="3"/>
  <c r="X34" i="3" s="1"/>
  <c r="AF53" i="3"/>
  <c r="AD92" i="3"/>
  <c r="AD19" i="3" s="1"/>
  <c r="AD89" i="3" s="1"/>
  <c r="AD16" i="3"/>
  <c r="AD22" i="3"/>
  <c r="AD86" i="3" s="1"/>
  <c r="AD15" i="3"/>
  <c r="AD17" i="3" s="1"/>
  <c r="AD13" i="3"/>
  <c r="AD112" i="3"/>
  <c r="AD115" i="3" s="1"/>
  <c r="AE14" i="3"/>
  <c r="AE71" i="3"/>
  <c r="AE67" i="3"/>
  <c r="AH54" i="3" l="1"/>
  <c r="AH58" i="3"/>
  <c r="AA74" i="3"/>
  <c r="AA20" i="3"/>
  <c r="AA23" i="3"/>
  <c r="AE22" i="3"/>
  <c r="AE86" i="3" s="1"/>
  <c r="AE16" i="3"/>
  <c r="AE92" i="3"/>
  <c r="AE19" i="3" s="1"/>
  <c r="AE89" i="3" s="1"/>
  <c r="AE15" i="3"/>
  <c r="AE112" i="3"/>
  <c r="AE115" i="3" s="1"/>
  <c r="AE13" i="3"/>
  <c r="AH162" i="3"/>
  <c r="AI118" i="3"/>
  <c r="W28" i="3"/>
  <c r="W34" i="3" s="1"/>
  <c r="W25" i="3"/>
  <c r="AA119" i="3"/>
  <c r="AA152" i="3"/>
  <c r="AB152" i="3" s="1"/>
  <c r="AC152" i="3"/>
  <c r="X90" i="3"/>
  <c r="AE17" i="3"/>
  <c r="AF58" i="3"/>
  <c r="AF54" i="3"/>
  <c r="AB73" i="3"/>
  <c r="AB18" i="3"/>
  <c r="V125" i="3"/>
  <c r="V126" i="3" s="1"/>
  <c r="W123" i="3"/>
  <c r="AF164" i="3"/>
  <c r="AH161" i="3"/>
  <c r="AK168" i="3"/>
  <c r="AK172" i="3" s="1"/>
  <c r="AL117" i="3"/>
  <c r="AK21" i="3"/>
  <c r="AM117" i="3"/>
  <c r="AI62" i="3"/>
  <c r="AI64" i="3"/>
  <c r="V180" i="3"/>
  <c r="V179" i="3"/>
  <c r="V189" i="3"/>
  <c r="V174" i="3"/>
  <c r="AF67" i="3"/>
  <c r="AF71" i="3" s="1"/>
  <c r="AG164" i="3"/>
  <c r="AA88" i="3"/>
  <c r="AB88" i="3" s="1"/>
  <c r="AB145" i="3"/>
  <c r="Z28" i="3"/>
  <c r="Z34" i="3" s="1"/>
  <c r="AH65" i="3"/>
  <c r="AH69" i="3"/>
  <c r="Y75" i="3"/>
  <c r="U175" i="3"/>
  <c r="U176" i="3" s="1"/>
  <c r="T100" i="3"/>
  <c r="C5" i="3"/>
  <c r="C201" i="3"/>
  <c r="X189" i="3"/>
  <c r="X179" i="3"/>
  <c r="X180" i="3"/>
  <c r="X174" i="3"/>
  <c r="AD73" i="3"/>
  <c r="AD18" i="3"/>
  <c r="AC74" i="3"/>
  <c r="AC20" i="3"/>
  <c r="AC23" i="3"/>
  <c r="AI53" i="3"/>
  <c r="AI51" i="3"/>
  <c r="AL21" i="3"/>
  <c r="AH47" i="3"/>
  <c r="AH14" i="3" s="1"/>
  <c r="AH43" i="3"/>
  <c r="AF14" i="3"/>
  <c r="AE12" i="3"/>
  <c r="AD152" i="3"/>
  <c r="AD119" i="3"/>
  <c r="Z25" i="3"/>
  <c r="AI40" i="3"/>
  <c r="AF45" i="3"/>
  <c r="AF11" i="3"/>
  <c r="AF49" i="3"/>
  <c r="AA106" i="3"/>
  <c r="AJ172" i="3"/>
  <c r="AL168" i="3"/>
  <c r="AL172" i="3" s="1"/>
  <c r="AJ107" i="3"/>
  <c r="AI156" i="3"/>
  <c r="AQ111" i="3"/>
  <c r="AO163" i="3"/>
  <c r="AP101" i="3"/>
  <c r="Y24" i="3"/>
  <c r="Y25" i="3" s="1"/>
  <c r="V90" i="3"/>
  <c r="W90" i="3" s="1"/>
  <c r="W85" i="3"/>
  <c r="Y85" i="3" l="1"/>
  <c r="Y31" i="3"/>
  <c r="Y27" i="3"/>
  <c r="Y33" i="3" s="1"/>
  <c r="Y140" i="3"/>
  <c r="Y157" i="3" s="1"/>
  <c r="Y32" i="3"/>
  <c r="AI161" i="3"/>
  <c r="AH164" i="3"/>
  <c r="AF22" i="3"/>
  <c r="AF16" i="3"/>
  <c r="AG16" i="3" s="1"/>
  <c r="AF92" i="3"/>
  <c r="AF19" i="3" s="1"/>
  <c r="AF15" i="3"/>
  <c r="AG15" i="3" s="1"/>
  <c r="AF112" i="3"/>
  <c r="AC24" i="3"/>
  <c r="AC25" i="3"/>
  <c r="AD20" i="3"/>
  <c r="AD74" i="3"/>
  <c r="AD23" i="3"/>
  <c r="T104" i="3"/>
  <c r="T108" i="3" s="1"/>
  <c r="T127" i="3" s="1"/>
  <c r="T177" i="3"/>
  <c r="AJ118" i="3"/>
  <c r="AI162" i="3"/>
  <c r="AE119" i="3"/>
  <c r="AE152" i="3"/>
  <c r="AK107" i="3"/>
  <c r="AJ42" i="3"/>
  <c r="AJ40" i="3"/>
  <c r="Z85" i="3"/>
  <c r="Z90" i="3" s="1"/>
  <c r="Z27" i="3"/>
  <c r="Z33" i="3" s="1"/>
  <c r="Z32" i="3"/>
  <c r="Z140" i="3"/>
  <c r="Z157" i="3" s="1"/>
  <c r="Z31" i="3"/>
  <c r="AF17" i="3"/>
  <c r="AG14" i="3"/>
  <c r="AC75" i="3"/>
  <c r="AC28" i="3"/>
  <c r="AC34" i="3" s="1"/>
  <c r="U100" i="3"/>
  <c r="V175" i="3"/>
  <c r="V176" i="3" s="1"/>
  <c r="V100" i="3" s="1"/>
  <c r="AI65" i="3"/>
  <c r="AI69" i="3"/>
  <c r="W125" i="3"/>
  <c r="W126" i="3" s="1"/>
  <c r="X123" i="3"/>
  <c r="AF56" i="3"/>
  <c r="AF12" i="3" s="1"/>
  <c r="AF60" i="3"/>
  <c r="AA25" i="3"/>
  <c r="AA24" i="3"/>
  <c r="AA87" i="3" s="1"/>
  <c r="AH60" i="3"/>
  <c r="AH56" i="3"/>
  <c r="AQ163" i="3"/>
  <c r="AI54" i="3"/>
  <c r="AI58" i="3"/>
  <c r="AM168" i="3"/>
  <c r="AM21" i="3"/>
  <c r="AN117" i="3"/>
  <c r="AB74" i="3"/>
  <c r="AB20" i="3"/>
  <c r="AB23" i="3"/>
  <c r="AE73" i="3"/>
  <c r="AE18" i="3"/>
  <c r="Y87" i="3"/>
  <c r="AB87" i="3" s="1"/>
  <c r="AB24" i="3"/>
  <c r="AQ101" i="3"/>
  <c r="AP163" i="3"/>
  <c r="AB106" i="3"/>
  <c r="AC145" i="3"/>
  <c r="AI42" i="3"/>
  <c r="AH49" i="3"/>
  <c r="AH11" i="3"/>
  <c r="AH45" i="3"/>
  <c r="AJ51" i="3"/>
  <c r="AJ53" i="3" s="1"/>
  <c r="Y28" i="3"/>
  <c r="Y34" i="3" s="1"/>
  <c r="AH67" i="3"/>
  <c r="AH71" i="3" s="1"/>
  <c r="AJ62" i="3"/>
  <c r="AJ64" i="3"/>
  <c r="W140" i="3"/>
  <c r="W157" i="3" s="1"/>
  <c r="W27" i="3"/>
  <c r="W33" i="3" s="1"/>
  <c r="AG11" i="3"/>
  <c r="AA75" i="3"/>
  <c r="AA28" i="3"/>
  <c r="AA34" i="3" s="1"/>
  <c r="AF13" i="3" l="1"/>
  <c r="AG12" i="3"/>
  <c r="AJ58" i="3"/>
  <c r="AJ54" i="3"/>
  <c r="Y123" i="3"/>
  <c r="X125" i="3"/>
  <c r="X126" i="3" s="1"/>
  <c r="AG17" i="3"/>
  <c r="AL107" i="3"/>
  <c r="AM107" i="3" s="1"/>
  <c r="AK156" i="3"/>
  <c r="AJ162" i="3"/>
  <c r="AK118" i="3"/>
  <c r="AG112" i="3"/>
  <c r="AG115" i="3" s="1"/>
  <c r="AG119" i="3" s="1"/>
  <c r="AF115" i="3"/>
  <c r="AF86" i="3"/>
  <c r="AG86" i="3" s="1"/>
  <c r="AG22" i="3"/>
  <c r="AI47" i="3"/>
  <c r="AI14" i="3" s="1"/>
  <c r="AI43" i="3"/>
  <c r="AB75" i="3"/>
  <c r="AB28" i="3"/>
  <c r="AB34" i="3" s="1"/>
  <c r="AM172" i="3"/>
  <c r="U104" i="3"/>
  <c r="U108" i="3" s="1"/>
  <c r="U127" i="3" s="1"/>
  <c r="U177" i="3"/>
  <c r="AK40" i="3"/>
  <c r="AD25" i="3"/>
  <c r="AD24" i="3"/>
  <c r="AD87" i="3" s="1"/>
  <c r="AC87" i="3"/>
  <c r="AJ161" i="3"/>
  <c r="AI164" i="3"/>
  <c r="AB31" i="3"/>
  <c r="AG13" i="3"/>
  <c r="AG190" i="3"/>
  <c r="AK51" i="3"/>
  <c r="AK53" i="3"/>
  <c r="W179" i="3"/>
  <c r="W180" i="3"/>
  <c r="W182" i="3" s="1"/>
  <c r="W174" i="3"/>
  <c r="W176" i="3" s="1"/>
  <c r="AH12" i="3"/>
  <c r="AH13" i="3" s="1"/>
  <c r="AJ47" i="3"/>
  <c r="AJ43" i="3"/>
  <c r="AF89" i="3"/>
  <c r="AG89" i="3" s="1"/>
  <c r="AG19" i="3"/>
  <c r="Y90" i="3"/>
  <c r="AB90" i="3" s="1"/>
  <c r="AB85" i="3"/>
  <c r="AB25" i="3"/>
  <c r="AA31" i="3"/>
  <c r="AA27" i="3"/>
  <c r="AA33" i="3" s="1"/>
  <c r="AA140" i="3"/>
  <c r="AA157" i="3" s="1"/>
  <c r="AA32" i="3"/>
  <c r="AB32" i="3" s="1"/>
  <c r="AA85" i="3"/>
  <c r="AA90" i="3" s="1"/>
  <c r="V104" i="3"/>
  <c r="V108" i="3" s="1"/>
  <c r="V127" i="3" s="1"/>
  <c r="V177" i="3"/>
  <c r="W100" i="3"/>
  <c r="AC140" i="3"/>
  <c r="AC157" i="3" s="1"/>
  <c r="AC85" i="3"/>
  <c r="AC32" i="3"/>
  <c r="AC31" i="3"/>
  <c r="AC27" i="3"/>
  <c r="AC33" i="3" s="1"/>
  <c r="AJ65" i="3"/>
  <c r="AJ69" i="3"/>
  <c r="AC88" i="3"/>
  <c r="AE23" i="3"/>
  <c r="AE74" i="3"/>
  <c r="AE20" i="3"/>
  <c r="AK62" i="3"/>
  <c r="AH16" i="3"/>
  <c r="AH22" i="3"/>
  <c r="AH92" i="3"/>
  <c r="AH19" i="3" s="1"/>
  <c r="AH15" i="3"/>
  <c r="AH112" i="3"/>
  <c r="AH115" i="3" s="1"/>
  <c r="AC106" i="3"/>
  <c r="AN21" i="3"/>
  <c r="AO117" i="3"/>
  <c r="AN168" i="3"/>
  <c r="AN172" i="3" s="1"/>
  <c r="AI60" i="3"/>
  <c r="AI56" i="3"/>
  <c r="AI71" i="3"/>
  <c r="AI67" i="3"/>
  <c r="Z189" i="3"/>
  <c r="Z180" i="3"/>
  <c r="Z179" i="3"/>
  <c r="Z174" i="3"/>
  <c r="AJ156" i="3"/>
  <c r="AL156" i="3" s="1"/>
  <c r="AD75" i="3"/>
  <c r="AD28" i="3"/>
  <c r="AD34" i="3" s="1"/>
  <c r="Y180" i="3"/>
  <c r="Y179" i="3"/>
  <c r="Y189" i="3"/>
  <c r="Y174" i="3"/>
  <c r="AH73" i="3" l="1"/>
  <c r="AH17" i="3"/>
  <c r="AH18" i="3" s="1"/>
  <c r="AE75" i="3"/>
  <c r="W177" i="3"/>
  <c r="W104" i="3"/>
  <c r="W108" i="3" s="1"/>
  <c r="W127" i="3" s="1"/>
  <c r="AB140" i="3"/>
  <c r="AB157" i="3" s="1"/>
  <c r="AB27" i="3"/>
  <c r="AB33" i="3" s="1"/>
  <c r="AK54" i="3"/>
  <c r="AK58" i="3"/>
  <c r="AI45" i="3"/>
  <c r="AI12" i="3" s="1"/>
  <c r="AI49" i="3"/>
  <c r="AI11" i="3"/>
  <c r="AF119" i="3"/>
  <c r="AF152" i="3"/>
  <c r="AG152" i="3" s="1"/>
  <c r="Y125" i="3"/>
  <c r="Y126" i="3" s="1"/>
  <c r="Z123" i="3"/>
  <c r="AA180" i="3"/>
  <c r="AA179" i="3"/>
  <c r="AA189" i="3"/>
  <c r="AA174" i="3"/>
  <c r="AB175" i="3"/>
  <c r="X175" i="3"/>
  <c r="X176" i="3" s="1"/>
  <c r="AM53" i="3"/>
  <c r="AM51" i="3"/>
  <c r="AN107" i="3"/>
  <c r="AO21" i="3"/>
  <c r="AO168" i="3"/>
  <c r="AP117" i="3"/>
  <c r="AM40" i="3"/>
  <c r="AM42" i="3"/>
  <c r="AD145" i="3"/>
  <c r="AD106" i="3"/>
  <c r="AE24" i="3"/>
  <c r="AE28" i="3" s="1"/>
  <c r="AE34" i="3" s="1"/>
  <c r="AE25" i="3"/>
  <c r="AJ45" i="3"/>
  <c r="AJ49" i="3"/>
  <c r="AJ11" i="3"/>
  <c r="AJ164" i="3"/>
  <c r="AK161" i="3"/>
  <c r="AD27" i="3"/>
  <c r="AD33" i="3" s="1"/>
  <c r="AD32" i="3"/>
  <c r="AD31" i="3"/>
  <c r="AD85" i="3"/>
  <c r="AD140" i="3"/>
  <c r="AD157" i="3" s="1"/>
  <c r="AM118" i="3"/>
  <c r="AL118" i="3"/>
  <c r="AK162" i="3"/>
  <c r="AF18" i="3"/>
  <c r="AF73" i="3"/>
  <c r="AH89" i="3"/>
  <c r="AM62" i="3"/>
  <c r="AJ67" i="3"/>
  <c r="AJ71" i="3"/>
  <c r="AC90" i="3"/>
  <c r="AH119" i="3"/>
  <c r="AH152" i="3"/>
  <c r="AH86" i="3"/>
  <c r="AK64" i="3"/>
  <c r="AC180" i="3"/>
  <c r="AC189" i="3"/>
  <c r="AC179" i="3"/>
  <c r="AC174" i="3"/>
  <c r="AJ14" i="3"/>
  <c r="AG73" i="3"/>
  <c r="AG18" i="3"/>
  <c r="AK42" i="3"/>
  <c r="AL162" i="3"/>
  <c r="AJ56" i="3"/>
  <c r="AJ60" i="3" s="1"/>
  <c r="AH20" i="3" l="1"/>
  <c r="AH74" i="3"/>
  <c r="AH23" i="3"/>
  <c r="AK65" i="3"/>
  <c r="AK69" i="3"/>
  <c r="AM161" i="3"/>
  <c r="AK164" i="3"/>
  <c r="AG74" i="3"/>
  <c r="AG23" i="3"/>
  <c r="AG20" i="3"/>
  <c r="AF20" i="3"/>
  <c r="AF74" i="3"/>
  <c r="AF23" i="3"/>
  <c r="AN118" i="3"/>
  <c r="AM162" i="3"/>
  <c r="AJ12" i="3"/>
  <c r="AD88" i="3"/>
  <c r="AM156" i="3"/>
  <c r="X100" i="3"/>
  <c r="Y175" i="3"/>
  <c r="Y176" i="3" s="1"/>
  <c r="AA123" i="3"/>
  <c r="Z125" i="3"/>
  <c r="Z126" i="3" s="1"/>
  <c r="AI13" i="3"/>
  <c r="AI16" i="3"/>
  <c r="AI22" i="3"/>
  <c r="AI92" i="3"/>
  <c r="AI19" i="3" s="1"/>
  <c r="AI15" i="3"/>
  <c r="AI112" i="3"/>
  <c r="AI115" i="3" s="1"/>
  <c r="AK56" i="3"/>
  <c r="AK60" i="3"/>
  <c r="AE145" i="3"/>
  <c r="AE88" i="3" s="1"/>
  <c r="AN62" i="3"/>
  <c r="AD180" i="3"/>
  <c r="AD189" i="3"/>
  <c r="AD179" i="3"/>
  <c r="AD174" i="3"/>
  <c r="AE31" i="3"/>
  <c r="AE27" i="3"/>
  <c r="AE33" i="3" s="1"/>
  <c r="AE32" i="3"/>
  <c r="AE140" i="3"/>
  <c r="AE85" i="3"/>
  <c r="AM47" i="3"/>
  <c r="AM43" i="3"/>
  <c r="AP168" i="3"/>
  <c r="AP172" i="3" s="1"/>
  <c r="AP21" i="3"/>
  <c r="AQ21" i="3" s="1"/>
  <c r="AQ117" i="3"/>
  <c r="AO107" i="3"/>
  <c r="AN156" i="3"/>
  <c r="AB176" i="3"/>
  <c r="AM54" i="3"/>
  <c r="AM58" i="3"/>
  <c r="AK47" i="3"/>
  <c r="AK14" i="3" s="1"/>
  <c r="AK43" i="3"/>
  <c r="AM64" i="3"/>
  <c r="AD90" i="3"/>
  <c r="AL161" i="3"/>
  <c r="AJ13" i="3"/>
  <c r="AJ92" i="3"/>
  <c r="AJ19" i="3" s="1"/>
  <c r="AJ89" i="3" s="1"/>
  <c r="AJ15" i="3"/>
  <c r="AJ17" i="3" s="1"/>
  <c r="AJ16" i="3"/>
  <c r="AJ22" i="3"/>
  <c r="AJ86" i="3" s="1"/>
  <c r="AJ112" i="3"/>
  <c r="AJ115" i="3" s="1"/>
  <c r="AE87" i="3"/>
  <c r="AN42" i="3"/>
  <c r="AN40" i="3"/>
  <c r="AO172" i="3"/>
  <c r="AQ168" i="3"/>
  <c r="AQ172" i="3" s="1"/>
  <c r="AL14" i="3"/>
  <c r="AN51" i="3"/>
  <c r="AN53" i="3"/>
  <c r="AB180" i="3"/>
  <c r="AB182" i="3" s="1"/>
  <c r="AB179" i="3"/>
  <c r="AB174" i="3"/>
  <c r="AC175" i="3" l="1"/>
  <c r="AC176" i="3" s="1"/>
  <c r="AG175" i="3"/>
  <c r="AE90" i="3"/>
  <c r="AL164" i="3"/>
  <c r="AE157" i="3"/>
  <c r="AE106" i="3"/>
  <c r="AI119" i="3"/>
  <c r="AI152" i="3"/>
  <c r="Y100" i="3"/>
  <c r="Z175" i="3"/>
  <c r="Z176" i="3" s="1"/>
  <c r="AN162" i="3"/>
  <c r="AO118" i="3"/>
  <c r="AA125" i="3"/>
  <c r="AA126" i="3" s="1"/>
  <c r="AB123" i="3"/>
  <c r="AF75" i="3"/>
  <c r="AH24" i="3"/>
  <c r="AH25" i="3"/>
  <c r="AM56" i="3"/>
  <c r="AM60" i="3" s="1"/>
  <c r="AP107" i="3"/>
  <c r="AO156" i="3"/>
  <c r="AM49" i="3"/>
  <c r="AM45" i="3"/>
  <c r="AO62" i="3"/>
  <c r="AO64" i="3"/>
  <c r="AI17" i="3"/>
  <c r="AI73" i="3"/>
  <c r="AI18" i="3"/>
  <c r="X177" i="3"/>
  <c r="X104" i="3"/>
  <c r="X108" i="3" s="1"/>
  <c r="X127" i="3" s="1"/>
  <c r="AF24" i="3"/>
  <c r="AG75" i="3"/>
  <c r="AK67" i="3"/>
  <c r="AK71" i="3"/>
  <c r="AH28" i="3"/>
  <c r="AH34" i="3" s="1"/>
  <c r="AH75" i="3"/>
  <c r="AN47" i="3"/>
  <c r="AN43" i="3"/>
  <c r="AJ18" i="3"/>
  <c r="AJ73" i="3"/>
  <c r="AI86" i="3"/>
  <c r="AN54" i="3"/>
  <c r="AN58" i="3"/>
  <c r="AO51" i="3"/>
  <c r="AO40" i="3"/>
  <c r="AO42" i="3" s="1"/>
  <c r="AJ119" i="3"/>
  <c r="AJ152" i="3"/>
  <c r="AM69" i="3"/>
  <c r="AM14" i="3" s="1"/>
  <c r="AM65" i="3"/>
  <c r="AK11" i="3"/>
  <c r="AK45" i="3"/>
  <c r="AK12" i="3" s="1"/>
  <c r="AL12" i="3" s="1"/>
  <c r="AK49" i="3"/>
  <c r="AN64" i="3"/>
  <c r="AI89" i="3"/>
  <c r="AN161" i="3"/>
  <c r="AM164" i="3"/>
  <c r="AO43" i="3" l="1"/>
  <c r="AO47" i="3"/>
  <c r="AN69" i="3"/>
  <c r="AN65" i="3"/>
  <c r="AP51" i="3"/>
  <c r="AP53" i="3" s="1"/>
  <c r="AF87" i="3"/>
  <c r="AG87" i="3" s="1"/>
  <c r="AG24" i="3"/>
  <c r="AO65" i="3"/>
  <c r="AO69" i="3"/>
  <c r="Z100" i="3"/>
  <c r="AA175" i="3"/>
  <c r="AA176" i="3" s="1"/>
  <c r="AA100" i="3" s="1"/>
  <c r="AD175" i="3"/>
  <c r="AD176" i="3" s="1"/>
  <c r="AC100" i="3"/>
  <c r="AM67" i="3"/>
  <c r="AM12" i="3" s="1"/>
  <c r="AJ23" i="3"/>
  <c r="AJ74" i="3"/>
  <c r="AJ20" i="3"/>
  <c r="AP62" i="3"/>
  <c r="AP64" i="3" s="1"/>
  <c r="AF28" i="3"/>
  <c r="AF34" i="3" s="1"/>
  <c r="AO162" i="3"/>
  <c r="AP118" i="3"/>
  <c r="Y104" i="3"/>
  <c r="Y108" i="3" s="1"/>
  <c r="Y127" i="3" s="1"/>
  <c r="Y177" i="3"/>
  <c r="AF145" i="3"/>
  <c r="AH145" i="3"/>
  <c r="AF106" i="3"/>
  <c r="AI74" i="3"/>
  <c r="AI23" i="3"/>
  <c r="AI20" i="3"/>
  <c r="AO161" i="3"/>
  <c r="AN164" i="3"/>
  <c r="AM11" i="3"/>
  <c r="AQ107" i="3"/>
  <c r="AH85" i="3"/>
  <c r="AH32" i="3"/>
  <c r="AH140" i="3"/>
  <c r="AH157" i="3" s="1"/>
  <c r="AH27" i="3"/>
  <c r="AH33" i="3" s="1"/>
  <c r="AH31" i="3"/>
  <c r="AC123" i="3"/>
  <c r="AB125" i="3"/>
  <c r="AB126" i="3" s="1"/>
  <c r="AE180" i="3"/>
  <c r="AE189" i="3"/>
  <c r="AE179" i="3"/>
  <c r="AE174" i="3"/>
  <c r="AK92" i="3"/>
  <c r="AK19" i="3" s="1"/>
  <c r="AK15" i="3"/>
  <c r="AK16" i="3"/>
  <c r="AL16" i="3" s="1"/>
  <c r="AK22" i="3"/>
  <c r="AK13" i="3"/>
  <c r="AK112" i="3"/>
  <c r="AL11" i="3"/>
  <c r="AP40" i="3"/>
  <c r="AP42" i="3" s="1"/>
  <c r="AN45" i="3"/>
  <c r="AN49" i="3"/>
  <c r="AN11" i="3"/>
  <c r="AO53" i="3"/>
  <c r="AN56" i="3"/>
  <c r="AN60" i="3" s="1"/>
  <c r="AN14" i="3"/>
  <c r="AF25" i="3"/>
  <c r="AH87" i="3"/>
  <c r="AP47" i="3" l="1"/>
  <c r="AP43" i="3"/>
  <c r="AP69" i="3"/>
  <c r="AP65" i="3"/>
  <c r="AP54" i="3"/>
  <c r="AP58" i="3"/>
  <c r="AN17" i="3"/>
  <c r="AL112" i="3"/>
  <c r="AL115" i="3" s="1"/>
  <c r="AL119" i="3" s="1"/>
  <c r="AK115" i="3"/>
  <c r="AI28" i="3"/>
  <c r="AI34" i="3" s="1"/>
  <c r="AI75" i="3"/>
  <c r="AO67" i="3"/>
  <c r="AO71" i="3" s="1"/>
  <c r="AN92" i="3"/>
  <c r="AN19" i="3" s="1"/>
  <c r="AN89" i="3" s="1"/>
  <c r="AN15" i="3"/>
  <c r="AN22" i="3"/>
  <c r="AN86" i="3" s="1"/>
  <c r="AN16" i="3"/>
  <c r="AK73" i="3"/>
  <c r="AK89" i="3"/>
  <c r="AL89" i="3" s="1"/>
  <c r="AL19" i="3"/>
  <c r="AC125" i="3"/>
  <c r="AC126" i="3" s="1"/>
  <c r="AD123" i="3"/>
  <c r="AM22" i="3"/>
  <c r="AM15" i="3"/>
  <c r="AM16" i="3"/>
  <c r="AM13" i="3"/>
  <c r="AM92" i="3"/>
  <c r="AM19" i="3" s="1"/>
  <c r="AM112" i="3"/>
  <c r="AM115" i="3" s="1"/>
  <c r="AI24" i="3"/>
  <c r="AI25" i="3"/>
  <c r="AF88" i="3"/>
  <c r="AG88" i="3" s="1"/>
  <c r="AG145" i="3"/>
  <c r="AJ75" i="3"/>
  <c r="AM71" i="3"/>
  <c r="AA104" i="3"/>
  <c r="AA108" i="3" s="1"/>
  <c r="AA127" i="3" s="1"/>
  <c r="AB100" i="3"/>
  <c r="AA177" i="3"/>
  <c r="AG25" i="3"/>
  <c r="AG28" i="3"/>
  <c r="AG34" i="3" s="1"/>
  <c r="AN67" i="3"/>
  <c r="AN71" i="3" s="1"/>
  <c r="AH88" i="3"/>
  <c r="AH90" i="3" s="1"/>
  <c r="AK86" i="3"/>
  <c r="AL86" i="3" s="1"/>
  <c r="AL22" i="3"/>
  <c r="AC104" i="3"/>
  <c r="AC108" i="3" s="1"/>
  <c r="AC177" i="3"/>
  <c r="Z104" i="3"/>
  <c r="Z108" i="3" s="1"/>
  <c r="Z127" i="3" s="1"/>
  <c r="Z177" i="3"/>
  <c r="AL15" i="3"/>
  <c r="AL17" i="3" s="1"/>
  <c r="AK17" i="3"/>
  <c r="AK18" i="3" s="1"/>
  <c r="AH189" i="3"/>
  <c r="AH179" i="3"/>
  <c r="AH180" i="3"/>
  <c r="AH174" i="3"/>
  <c r="AQ118" i="3"/>
  <c r="AP162" i="3"/>
  <c r="AQ162" i="3" s="1"/>
  <c r="AF85" i="3"/>
  <c r="AF31" i="3"/>
  <c r="AG31" i="3" s="1"/>
  <c r="AF32" i="3"/>
  <c r="AG32" i="3" s="1"/>
  <c r="AF140" i="3"/>
  <c r="AF157" i="3" s="1"/>
  <c r="AF27" i="3"/>
  <c r="AF33" i="3" s="1"/>
  <c r="AO54" i="3"/>
  <c r="AO58" i="3"/>
  <c r="AO14" i="3" s="1"/>
  <c r="AN12" i="3"/>
  <c r="AL13" i="3"/>
  <c r="AL190" i="3"/>
  <c r="AP156" i="3"/>
  <c r="AQ156" i="3" s="1"/>
  <c r="AO164" i="3"/>
  <c r="AP161" i="3"/>
  <c r="AP164" i="3" s="1"/>
  <c r="AH106" i="3"/>
  <c r="AG106" i="3"/>
  <c r="AJ24" i="3"/>
  <c r="AJ87" i="3" s="1"/>
  <c r="AJ25" i="3"/>
  <c r="AE175" i="3"/>
  <c r="AE176" i="3" s="1"/>
  <c r="AD100" i="3"/>
  <c r="AO11" i="3"/>
  <c r="AO45" i="3"/>
  <c r="AK20" i="3" l="1"/>
  <c r="AK74" i="3"/>
  <c r="AK23" i="3"/>
  <c r="AG27" i="3"/>
  <c r="AG33" i="3" s="1"/>
  <c r="AG140" i="3"/>
  <c r="AG157" i="3" s="1"/>
  <c r="AM17" i="3"/>
  <c r="AO16" i="3"/>
  <c r="AO17" i="3" s="1"/>
  <c r="AO15" i="3"/>
  <c r="AO92" i="3"/>
  <c r="AO19" i="3" s="1"/>
  <c r="AO89" i="3" s="1"/>
  <c r="AO22" i="3"/>
  <c r="AO86" i="3" s="1"/>
  <c r="AO13" i="3"/>
  <c r="AF175" i="3"/>
  <c r="AE100" i="3"/>
  <c r="AI145" i="3"/>
  <c r="AO60" i="3"/>
  <c r="AO56" i="3"/>
  <c r="AJ28" i="3"/>
  <c r="AJ34" i="3" s="1"/>
  <c r="AM89" i="3"/>
  <c r="AM86" i="3"/>
  <c r="AC127" i="3"/>
  <c r="AN13" i="3"/>
  <c r="AO12" i="3"/>
  <c r="AM119" i="3"/>
  <c r="AM152" i="3"/>
  <c r="AJ85" i="3"/>
  <c r="AJ31" i="3"/>
  <c r="AJ27" i="3"/>
  <c r="AJ33" i="3" s="1"/>
  <c r="AJ32" i="3"/>
  <c r="AJ140" i="3"/>
  <c r="AL73" i="3"/>
  <c r="AL18" i="3"/>
  <c r="AB177" i="3"/>
  <c r="AB104" i="3"/>
  <c r="AB108" i="3" s="1"/>
  <c r="AB127" i="3" s="1"/>
  <c r="AI85" i="3"/>
  <c r="AI31" i="3"/>
  <c r="AI32" i="3"/>
  <c r="AI140" i="3"/>
  <c r="AI27" i="3"/>
  <c r="AI33" i="3" s="1"/>
  <c r="AM73" i="3"/>
  <c r="AM18" i="3"/>
  <c r="AN112" i="3"/>
  <c r="AN115" i="3" s="1"/>
  <c r="AK119" i="3"/>
  <c r="AK152" i="3"/>
  <c r="AL152" i="3" s="1"/>
  <c r="AP56" i="3"/>
  <c r="AP60" i="3" s="1"/>
  <c r="AP49" i="3"/>
  <c r="AP45" i="3"/>
  <c r="AP11" i="3"/>
  <c r="AD104" i="3"/>
  <c r="AD108" i="3" s="1"/>
  <c r="AD177" i="3"/>
  <c r="AE123" i="3"/>
  <c r="AD125" i="3"/>
  <c r="AD126" i="3" s="1"/>
  <c r="AD127" i="3" s="1"/>
  <c r="AO49" i="3"/>
  <c r="AF90" i="3"/>
  <c r="AG90" i="3" s="1"/>
  <c r="AG85" i="3"/>
  <c r="AQ161" i="3"/>
  <c r="AF179" i="3"/>
  <c r="AF189" i="3"/>
  <c r="AF180" i="3"/>
  <c r="AF174" i="3"/>
  <c r="AI87" i="3"/>
  <c r="AP67" i="3"/>
  <c r="AP71" i="3" s="1"/>
  <c r="AP14" i="3"/>
  <c r="AQ164" i="3" l="1"/>
  <c r="AL74" i="3"/>
  <c r="AL23" i="3"/>
  <c r="AL20" i="3"/>
  <c r="AO73" i="3"/>
  <c r="AO18" i="3"/>
  <c r="AK24" i="3"/>
  <c r="AK25" i="3"/>
  <c r="AN119" i="3"/>
  <c r="AN152" i="3"/>
  <c r="AE177" i="3"/>
  <c r="AE104" i="3"/>
  <c r="AE108" i="3" s="1"/>
  <c r="AQ14" i="3"/>
  <c r="AP92" i="3"/>
  <c r="AP19" i="3" s="1"/>
  <c r="AP22" i="3"/>
  <c r="AP16" i="3"/>
  <c r="AQ16" i="3" s="1"/>
  <c r="AP15" i="3"/>
  <c r="AQ15" i="3" s="1"/>
  <c r="AQ11" i="3"/>
  <c r="AI157" i="3"/>
  <c r="AN73" i="3"/>
  <c r="AN18" i="3"/>
  <c r="AF176" i="3"/>
  <c r="AF100" i="3" s="1"/>
  <c r="AK28" i="3"/>
  <c r="AK34" i="3" s="1"/>
  <c r="AK75" i="3"/>
  <c r="AI88" i="3"/>
  <c r="AF123" i="3"/>
  <c r="AE125" i="3"/>
  <c r="AE126" i="3" s="1"/>
  <c r="AE127" i="3" s="1"/>
  <c r="AP12" i="3"/>
  <c r="AQ12" i="3" s="1"/>
  <c r="AM20" i="3"/>
  <c r="AM74" i="3"/>
  <c r="AM23" i="3"/>
  <c r="AI106" i="3"/>
  <c r="AO112" i="3"/>
  <c r="AO115" i="3" s="1"/>
  <c r="AG180" i="3"/>
  <c r="AG182" i="3" s="1"/>
  <c r="C229" i="3"/>
  <c r="AG179" i="3"/>
  <c r="AG174" i="3"/>
  <c r="AG176" i="3" s="1"/>
  <c r="AJ145" i="3" l="1"/>
  <c r="AO20" i="3"/>
  <c r="AO74" i="3"/>
  <c r="AO23" i="3"/>
  <c r="AG123" i="3"/>
  <c r="AF125" i="3"/>
  <c r="AF126" i="3" s="1"/>
  <c r="AN74" i="3"/>
  <c r="AN23" i="3"/>
  <c r="AN20" i="3"/>
  <c r="AI179" i="3"/>
  <c r="AI180" i="3"/>
  <c r="AI189" i="3"/>
  <c r="AI174" i="3"/>
  <c r="AP13" i="3"/>
  <c r="AP17" i="3"/>
  <c r="AM75" i="3"/>
  <c r="AQ13" i="3"/>
  <c r="AQ17" i="3"/>
  <c r="AI90" i="3"/>
  <c r="AK140" i="3"/>
  <c r="AK85" i="3"/>
  <c r="AK31" i="3"/>
  <c r="AL31" i="3" s="1"/>
  <c r="AK27" i="3"/>
  <c r="AK33" i="3" s="1"/>
  <c r="AK32" i="3"/>
  <c r="AL32" i="3" s="1"/>
  <c r="AL75" i="3"/>
  <c r="AL28" i="3"/>
  <c r="AL34" i="3" s="1"/>
  <c r="AQ190" i="3"/>
  <c r="AM24" i="3"/>
  <c r="AM25" i="3" s="1"/>
  <c r="AF177" i="3"/>
  <c r="AF104" i="3"/>
  <c r="AF108" i="3" s="1"/>
  <c r="AG100" i="3"/>
  <c r="AP89" i="3"/>
  <c r="AQ89" i="3" s="1"/>
  <c r="AQ19" i="3"/>
  <c r="AH175" i="3"/>
  <c r="AH176" i="3" s="1"/>
  <c r="AL175" i="3"/>
  <c r="AO119" i="3"/>
  <c r="AO152" i="3"/>
  <c r="AP112" i="3"/>
  <c r="AP86" i="3"/>
  <c r="AQ86" i="3" s="1"/>
  <c r="AQ22" i="3"/>
  <c r="AK87" i="3"/>
  <c r="AL87" i="3" s="1"/>
  <c r="AL24" i="3"/>
  <c r="AL25" i="3"/>
  <c r="AM85" i="3" l="1"/>
  <c r="AM140" i="3"/>
  <c r="AM27" i="3"/>
  <c r="AM33" i="3" s="1"/>
  <c r="AM31" i="3"/>
  <c r="AM32" i="3"/>
  <c r="AN28" i="3"/>
  <c r="AN34" i="3" s="1"/>
  <c r="AN75" i="3"/>
  <c r="AG125" i="3"/>
  <c r="AG126" i="3" s="1"/>
  <c r="AH123" i="3"/>
  <c r="AO75" i="3"/>
  <c r="AL85" i="3"/>
  <c r="AQ73" i="3"/>
  <c r="AQ18" i="3"/>
  <c r="AN25" i="3"/>
  <c r="AN24" i="3"/>
  <c r="AN87" i="3" s="1"/>
  <c r="AM87" i="3"/>
  <c r="AM28" i="3"/>
  <c r="AM34" i="3" s="1"/>
  <c r="AO24" i="3"/>
  <c r="AO87" i="3" s="1"/>
  <c r="AJ88" i="3"/>
  <c r="AJ157" i="3"/>
  <c r="AL140" i="3"/>
  <c r="AL27" i="3"/>
  <c r="AL33" i="3" s="1"/>
  <c r="AG177" i="3"/>
  <c r="AG104" i="3"/>
  <c r="AG108" i="3" s="1"/>
  <c r="AQ112" i="3"/>
  <c r="AQ115" i="3" s="1"/>
  <c r="AQ119" i="3" s="1"/>
  <c r="AP115" i="3"/>
  <c r="AI175" i="3"/>
  <c r="AI176" i="3" s="1"/>
  <c r="AH100" i="3"/>
  <c r="AP73" i="3"/>
  <c r="AP18" i="3"/>
  <c r="AF127" i="3"/>
  <c r="AJ106" i="3"/>
  <c r="AN27" i="3" l="1"/>
  <c r="AN33" i="3" s="1"/>
  <c r="AN140" i="3"/>
  <c r="AN85" i="3"/>
  <c r="AN32" i="3"/>
  <c r="AN31" i="3"/>
  <c r="AG127" i="3"/>
  <c r="AP20" i="3"/>
  <c r="AP23" i="3"/>
  <c r="AP74" i="3"/>
  <c r="AI100" i="3"/>
  <c r="AJ175" i="3"/>
  <c r="AJ189" i="3"/>
  <c r="AJ180" i="3"/>
  <c r="AJ179" i="3"/>
  <c r="AJ174" i="3"/>
  <c r="AO25" i="3"/>
  <c r="AQ74" i="3"/>
  <c r="AQ20" i="3"/>
  <c r="AQ23" i="3"/>
  <c r="AO28" i="3"/>
  <c r="AO34" i="3" s="1"/>
  <c r="AP119" i="3"/>
  <c r="AP152" i="3"/>
  <c r="AQ152" i="3" s="1"/>
  <c r="AH177" i="3"/>
  <c r="AH104" i="3"/>
  <c r="AH108" i="3" s="1"/>
  <c r="AK145" i="3"/>
  <c r="AJ90" i="3"/>
  <c r="AI123" i="3"/>
  <c r="AH125" i="3"/>
  <c r="AH126" i="3" s="1"/>
  <c r="AH127" i="3" s="1"/>
  <c r="AQ75" i="3" l="1"/>
  <c r="AJ176" i="3"/>
  <c r="AP75" i="3"/>
  <c r="AI177" i="3"/>
  <c r="AI104" i="3"/>
  <c r="AI108" i="3" s="1"/>
  <c r="AK88" i="3"/>
  <c r="AK157" i="3"/>
  <c r="AL145" i="3"/>
  <c r="AL157" i="3" s="1"/>
  <c r="AI125" i="3"/>
  <c r="AI126" i="3" s="1"/>
  <c r="AI127" i="3" s="1"/>
  <c r="AJ123" i="3"/>
  <c r="AK106" i="3"/>
  <c r="AO140" i="3"/>
  <c r="AO27" i="3"/>
  <c r="AO33" i="3" s="1"/>
  <c r="AO85" i="3"/>
  <c r="AO31" i="3"/>
  <c r="AO32" i="3"/>
  <c r="AP24" i="3"/>
  <c r="AL180" i="3" l="1"/>
  <c r="AL182" i="3" s="1"/>
  <c r="AL179" i="3"/>
  <c r="AL174" i="3"/>
  <c r="AL176" i="3" s="1"/>
  <c r="AK175" i="3"/>
  <c r="AJ100" i="3"/>
  <c r="AP87" i="3"/>
  <c r="AQ87" i="3" s="1"/>
  <c r="AQ24" i="3"/>
  <c r="AL106" i="3"/>
  <c r="AM145" i="3"/>
  <c r="AM106" i="3" s="1"/>
  <c r="AP28" i="3"/>
  <c r="AP34" i="3" s="1"/>
  <c r="AP25" i="3"/>
  <c r="AK179" i="3"/>
  <c r="AK180" i="3"/>
  <c r="AK189" i="3"/>
  <c r="AK174" i="3"/>
  <c r="AK123" i="3"/>
  <c r="AJ125" i="3"/>
  <c r="AJ126" i="3" s="1"/>
  <c r="AK90" i="3"/>
  <c r="AL90" i="3" s="1"/>
  <c r="AL88" i="3"/>
  <c r="AN145" i="3" l="1"/>
  <c r="AK176" i="3"/>
  <c r="AK100" i="3" s="1"/>
  <c r="AJ127" i="3"/>
  <c r="AP85" i="3"/>
  <c r="AP140" i="3"/>
  <c r="AP27" i="3"/>
  <c r="AP33" i="3" s="1"/>
  <c r="AP31" i="3"/>
  <c r="AQ31" i="3" s="1"/>
  <c r="AP32" i="3"/>
  <c r="AQ32" i="3" s="1"/>
  <c r="AM175" i="3"/>
  <c r="AQ175" i="3"/>
  <c r="AL123" i="3"/>
  <c r="AK125" i="3"/>
  <c r="AK126" i="3" s="1"/>
  <c r="AQ25" i="3"/>
  <c r="AQ28" i="3"/>
  <c r="AQ34" i="3" s="1"/>
  <c r="AM88" i="3"/>
  <c r="AM157" i="3"/>
  <c r="AJ104" i="3"/>
  <c r="AJ108" i="3" s="1"/>
  <c r="AJ177" i="3"/>
  <c r="AL100" i="3" l="1"/>
  <c r="AK177" i="3"/>
  <c r="AK104" i="3"/>
  <c r="AK108" i="3" s="1"/>
  <c r="AM179" i="3"/>
  <c r="AM189" i="3"/>
  <c r="AM180" i="3"/>
  <c r="AM174" i="3"/>
  <c r="AM176" i="3" s="1"/>
  <c r="AN88" i="3"/>
  <c r="AN90" i="3" s="1"/>
  <c r="AN157" i="3"/>
  <c r="AM90" i="3"/>
  <c r="AM123" i="3"/>
  <c r="AL125" i="3"/>
  <c r="AL126" i="3" s="1"/>
  <c r="AQ27" i="3"/>
  <c r="AQ33" i="3" s="1"/>
  <c r="AQ140" i="3"/>
  <c r="AK127" i="3"/>
  <c r="AQ85" i="3"/>
  <c r="AN106" i="3"/>
  <c r="AN175" i="3" l="1"/>
  <c r="AM100" i="3"/>
  <c r="AO145" i="3"/>
  <c r="AO106" i="3"/>
  <c r="AN189" i="3"/>
  <c r="AN179" i="3"/>
  <c r="AN180" i="3"/>
  <c r="AN174" i="3"/>
  <c r="AL177" i="3"/>
  <c r="AL104" i="3"/>
  <c r="AL108" i="3" s="1"/>
  <c r="AL127" i="3" s="1"/>
  <c r="AN123" i="3"/>
  <c r="AM125" i="3"/>
  <c r="AM126" i="3" s="1"/>
  <c r="AO88" i="3" l="1"/>
  <c r="AO157" i="3"/>
  <c r="AM177" i="3"/>
  <c r="AM104" i="3"/>
  <c r="AM108" i="3" s="1"/>
  <c r="AO123" i="3"/>
  <c r="AN125" i="3"/>
  <c r="AN126" i="3" s="1"/>
  <c r="AP145" i="3"/>
  <c r="AQ145" i="3" s="1"/>
  <c r="AQ157" i="3" s="1"/>
  <c r="AM127" i="3"/>
  <c r="AN176" i="3"/>
  <c r="AQ179" i="3" l="1"/>
  <c r="AQ180" i="3"/>
  <c r="AQ182" i="3" s="1"/>
  <c r="C230" i="3" s="1"/>
  <c r="C232" i="3" s="1"/>
  <c r="C6" i="3" s="1"/>
  <c r="C7" i="3" s="1"/>
  <c r="AQ174" i="3"/>
  <c r="AQ176" i="3" s="1"/>
  <c r="AO175" i="3"/>
  <c r="AO176" i="3" s="1"/>
  <c r="AN100" i="3"/>
  <c r="AP123" i="3"/>
  <c r="AO125" i="3"/>
  <c r="AO126" i="3" s="1"/>
  <c r="AP88" i="3"/>
  <c r="AP90" i="3" s="1"/>
  <c r="AP157" i="3"/>
  <c r="AO189" i="3"/>
  <c r="AO180" i="3"/>
  <c r="AO179" i="3"/>
  <c r="AO174" i="3"/>
  <c r="AP106" i="3"/>
  <c r="AQ106" i="3" s="1"/>
  <c r="AO90" i="3"/>
  <c r="AQ90" i="3" s="1"/>
  <c r="AQ88" i="3"/>
  <c r="AO100" i="3" l="1"/>
  <c r="AP175" i="3"/>
  <c r="AP176" i="3" s="1"/>
  <c r="AP100" i="3" s="1"/>
  <c r="AQ123" i="3"/>
  <c r="AQ125" i="3" s="1"/>
  <c r="AQ126" i="3" s="1"/>
  <c r="AP125" i="3"/>
  <c r="AP126" i="3" s="1"/>
  <c r="AP189" i="3"/>
  <c r="AP180" i="3"/>
  <c r="AP179" i="3"/>
  <c r="AP174" i="3"/>
  <c r="AN104" i="3"/>
  <c r="AN108" i="3" s="1"/>
  <c r="AN127" i="3" s="1"/>
  <c r="AN177" i="3"/>
  <c r="AP104" i="3" l="1"/>
  <c r="AP108" i="3" s="1"/>
  <c r="AP127" i="3" s="1"/>
  <c r="AP177" i="3"/>
  <c r="AQ100" i="3"/>
  <c r="AO104" i="3"/>
  <c r="AO108" i="3" s="1"/>
  <c r="AO127" i="3" s="1"/>
  <c r="AO177" i="3"/>
  <c r="AQ177" i="3" l="1"/>
  <c r="AQ104" i="3"/>
  <c r="AQ108" i="3" s="1"/>
  <c r="AQ127" i="3" s="1"/>
</calcChain>
</file>

<file path=xl/comments1.xml><?xml version="1.0" encoding="utf-8"?>
<comments xmlns="http://schemas.openxmlformats.org/spreadsheetml/2006/main">
  <authors>
    <author>Owner</author>
    <author>Admin</author>
    <author>GE User</author>
  </authors>
  <commentList>
    <comment ref="J11" authorId="0" shapeId="0">
      <text>
        <r>
          <rPr>
            <sz val="9"/>
            <color indexed="81"/>
            <rFont val="Tahoma"/>
            <family val="2"/>
          </rPr>
          <t xml:space="preserve">Management guided  Streaming Revenue to $1,474M (which excludes DVD revenue) on 4/15/2015
</t>
        </r>
      </text>
    </comment>
    <comment ref="K11" authorId="0" shapeId="0">
      <text>
        <r>
          <rPr>
            <sz val="9"/>
            <color indexed="81"/>
            <rFont val="Tahoma"/>
            <family val="2"/>
          </rPr>
          <t>Management guided  Streaming Revenue to $1,593M (which excludes DVD revenue) on 7/15/2015</t>
        </r>
        <r>
          <rPr>
            <b/>
            <sz val="9"/>
            <color indexed="81"/>
            <rFont val="Tahoma"/>
            <family val="2"/>
          </rPr>
          <t xml:space="preserve">
</t>
        </r>
        <r>
          <rPr>
            <sz val="9"/>
            <color indexed="81"/>
            <rFont val="Tahoma"/>
            <family val="2"/>
          </rPr>
          <t xml:space="preserve">
</t>
        </r>
      </text>
    </comment>
    <comment ref="L11" authorId="0" shapeId="0">
      <text>
        <r>
          <rPr>
            <sz val="9"/>
            <color indexed="81"/>
            <rFont val="Tahoma"/>
            <family val="2"/>
          </rPr>
          <t>Management guided  Streaming Revenue to $1,667M (which excludes DVD revenue) on October 14, 2015.</t>
        </r>
      </text>
    </comment>
    <comment ref="N11" authorId="1" shapeId="0">
      <text>
        <r>
          <rPr>
            <sz val="9"/>
            <color indexed="81"/>
            <rFont val="Tahoma"/>
            <family val="2"/>
          </rPr>
          <t>Management guided  Streaming Revenue to $1,813M (which excludes DVD revenue) on 1/16/2016.</t>
        </r>
      </text>
    </comment>
    <comment ref="Q11" authorId="1" shapeId="0">
      <text>
        <r>
          <rPr>
            <sz val="9"/>
            <color indexed="81"/>
            <rFont val="Tahoma"/>
            <family val="2"/>
          </rPr>
          <t>Management guided  Streaming Revenue to $2.344B (which excludes DVD revenue) on 10/17/2016.</t>
        </r>
      </text>
    </comment>
    <comment ref="J18" authorId="0" shapeId="0">
      <text>
        <r>
          <rPr>
            <sz val="9"/>
            <color indexed="81"/>
            <rFont val="Tahoma"/>
            <family val="2"/>
          </rPr>
          <t xml:space="preserve">Management guided  Operating Income to $59M on 4/15/2015. 
</t>
        </r>
      </text>
    </comment>
    <comment ref="L18" authorId="0" shapeId="0">
      <text>
        <r>
          <rPr>
            <sz val="9"/>
            <color indexed="81"/>
            <rFont val="Tahoma"/>
            <family val="2"/>
          </rPr>
          <t xml:space="preserve">Management guided  Operating Income to $49M on October 14, 2015. </t>
        </r>
      </text>
    </comment>
    <comment ref="N18" authorId="1" shapeId="0">
      <text>
        <r>
          <rPr>
            <sz val="9"/>
            <color indexed="81"/>
            <rFont val="Tahoma"/>
            <family val="2"/>
          </rPr>
          <t xml:space="preserve">Management guided  Operating Income to $50M on 3/1/2016. </t>
        </r>
      </text>
    </comment>
    <comment ref="O18" authorId="1" shapeId="0">
      <text>
        <r>
          <rPr>
            <sz val="9"/>
            <color indexed="81"/>
            <rFont val="Tahoma"/>
            <family val="2"/>
          </rPr>
          <t xml:space="preserve">Management guided  Operating Income to $47M on 4/18/2016. </t>
        </r>
      </text>
    </comment>
    <comment ref="Q18" authorId="1" shapeId="0">
      <text>
        <r>
          <rPr>
            <sz val="9"/>
            <color indexed="81"/>
            <rFont val="Tahoma"/>
            <family val="2"/>
          </rPr>
          <t xml:space="preserve">Management guided  Operating Income to $125M on 10/17/2016. </t>
        </r>
      </text>
    </comment>
    <comment ref="N25" authorId="1" shapeId="0">
      <text>
        <r>
          <rPr>
            <sz val="9"/>
            <color indexed="81"/>
            <rFont val="Tahoma"/>
            <family val="2"/>
          </rPr>
          <t>Management guided net income to $11M on 3/1/2016.</t>
        </r>
      </text>
    </comment>
    <comment ref="O25" authorId="1" shapeId="0">
      <text>
        <r>
          <rPr>
            <sz val="9"/>
            <color indexed="81"/>
            <rFont val="Tahoma"/>
            <family val="2"/>
          </rPr>
          <t>Management guided net income to $9M on 4/18/2016.</t>
        </r>
      </text>
    </comment>
    <comment ref="Q25" authorId="1" shapeId="0">
      <text>
        <r>
          <rPr>
            <sz val="9"/>
            <color indexed="81"/>
            <rFont val="Tahoma"/>
            <family val="2"/>
          </rPr>
          <t>Management guided net income to $56M on 10/17/2016.</t>
        </r>
      </text>
    </comment>
    <comment ref="J27" authorId="0" shapeId="0">
      <text>
        <r>
          <rPr>
            <sz val="9"/>
            <color indexed="81"/>
            <rFont val="Tahoma"/>
            <family val="2"/>
          </rPr>
          <t>Management guided  Net Income to $16M on 4/15/2015.</t>
        </r>
        <r>
          <rPr>
            <b/>
            <sz val="9"/>
            <color indexed="81"/>
            <rFont val="Tahoma"/>
            <family val="2"/>
          </rPr>
          <t xml:space="preserve"> </t>
        </r>
      </text>
    </comment>
    <comment ref="L27" authorId="0" shapeId="0">
      <text>
        <r>
          <rPr>
            <sz val="9"/>
            <color indexed="81"/>
            <rFont val="Tahoma"/>
            <family val="2"/>
          </rPr>
          <t>Management guided  Net Income to $10M on October 14, 2015.</t>
        </r>
      </text>
    </comment>
    <comment ref="J32" authorId="0" shapeId="0">
      <text>
        <r>
          <rPr>
            <sz val="9"/>
            <color indexed="81"/>
            <rFont val="Tahoma"/>
            <family val="2"/>
          </rPr>
          <t>Management guided  EPS to $0.26 on 4/15/2015.</t>
        </r>
        <r>
          <rPr>
            <b/>
            <sz val="9"/>
            <color indexed="81"/>
            <rFont val="Tahoma"/>
            <family val="2"/>
          </rPr>
          <t xml:space="preserve"> </t>
        </r>
      </text>
    </comment>
    <comment ref="N32" authorId="1" shapeId="0">
      <text>
        <r>
          <rPr>
            <sz val="9"/>
            <color indexed="81"/>
            <rFont val="Tahoma"/>
            <family val="2"/>
          </rPr>
          <t>Management guided EPS to $0.03 on 3/1/2016.</t>
        </r>
      </text>
    </comment>
    <comment ref="O32" authorId="1" shapeId="0">
      <text>
        <r>
          <rPr>
            <sz val="9"/>
            <color indexed="81"/>
            <rFont val="Tahoma"/>
            <family val="2"/>
          </rPr>
          <t>Management guided EPS to $0.02 on 4/18/2016.</t>
        </r>
      </text>
    </comment>
    <comment ref="Q32" authorId="1" shapeId="0">
      <text>
        <r>
          <rPr>
            <sz val="9"/>
            <color indexed="81"/>
            <rFont val="Tahoma"/>
            <family val="2"/>
          </rPr>
          <t>Management guided EPS to $0.13 on 10/17/2016.</t>
        </r>
      </text>
    </comment>
    <comment ref="N40" authorId="1" shapeId="0">
      <text>
        <r>
          <rPr>
            <sz val="9"/>
            <color indexed="81"/>
            <rFont val="Tahoma"/>
            <family val="2"/>
          </rPr>
          <t>Management guided U.S. paid members to 45.4M on 1/16/2016.</t>
        </r>
      </text>
    </comment>
    <comment ref="O40" authorId="1" shapeId="0">
      <text>
        <r>
          <rPr>
            <sz val="9"/>
            <color indexed="81"/>
            <rFont val="Tahoma"/>
            <family val="2"/>
          </rPr>
          <t>Management guided U.S. paid members to 46.41M on 4/18/2016.</t>
        </r>
      </text>
    </comment>
    <comment ref="Q40" authorId="1" shapeId="0">
      <text>
        <r>
          <rPr>
            <sz val="9"/>
            <color indexed="81"/>
            <rFont val="Tahoma"/>
            <family val="2"/>
          </rPr>
          <t>Management guided U.S. paid members to 47.63M on 10/17/2016.</t>
        </r>
      </text>
    </comment>
    <comment ref="N43" authorId="1" shapeId="0">
      <text>
        <r>
          <rPr>
            <sz val="9"/>
            <color indexed="81"/>
            <rFont val="Tahoma"/>
            <family val="2"/>
          </rPr>
          <t>Management guided U.S. streaming revenue to $1.16M on 1/16/2016.</t>
        </r>
      </text>
    </comment>
    <comment ref="O43" authorId="1" shapeId="0">
      <text>
        <r>
          <rPr>
            <sz val="9"/>
            <color indexed="81"/>
            <rFont val="Tahoma"/>
            <family val="2"/>
          </rPr>
          <t>Management guided U.S. streaming revenue to $1.210M on 4/18/2016.</t>
        </r>
      </text>
    </comment>
    <comment ref="Q43" authorId="1" shapeId="0">
      <text>
        <r>
          <rPr>
            <sz val="9"/>
            <color indexed="81"/>
            <rFont val="Tahoma"/>
            <family val="2"/>
          </rPr>
          <t>Management guided U.S. streaming revenue to $1.397B on 10/17/2016.</t>
        </r>
      </text>
    </comment>
    <comment ref="N49" authorId="1" shapeId="0">
      <text>
        <r>
          <rPr>
            <sz val="9"/>
            <color indexed="81"/>
            <rFont val="Tahoma"/>
            <family val="2"/>
          </rPr>
          <t>Management guided Domestic streaming contribution margin to 35.9% on 1/16/2016.</t>
        </r>
      </text>
    </comment>
    <comment ref="O49" authorId="1" shapeId="0">
      <text>
        <r>
          <rPr>
            <sz val="9"/>
            <color indexed="81"/>
            <rFont val="Tahoma"/>
            <family val="2"/>
          </rPr>
          <t>Management guided Domestic streaming contribution margin to 33.3% on 4/18/2016.</t>
        </r>
      </text>
    </comment>
    <comment ref="Q49" authorId="1" shapeId="0">
      <text>
        <r>
          <rPr>
            <sz val="9"/>
            <color indexed="81"/>
            <rFont val="Tahoma"/>
            <family val="2"/>
          </rPr>
          <t>Management guided Domestic streaming contribution margin to 36.9% on 10/17/2016.</t>
        </r>
      </text>
    </comment>
    <comment ref="N51" authorId="1" shapeId="0">
      <text>
        <r>
          <rPr>
            <sz val="9"/>
            <color indexed="81"/>
            <rFont val="Tahoma"/>
            <family val="2"/>
          </rPr>
          <t>Management guided International paid members to 31.79M on 1/16/2016.</t>
        </r>
      </text>
    </comment>
    <comment ref="O51" authorId="1" shapeId="0">
      <text>
        <r>
          <rPr>
            <sz val="9"/>
            <color indexed="81"/>
            <rFont val="Tahoma"/>
            <family val="2"/>
          </rPr>
          <t>Management guided International paid members to 34.29M on 4/28/2016.</t>
        </r>
      </text>
    </comment>
    <comment ref="Q51" authorId="1" shapeId="0">
      <text>
        <r>
          <rPr>
            <sz val="9"/>
            <color indexed="81"/>
            <rFont val="Tahoma"/>
            <family val="2"/>
          </rPr>
          <t>Management guided International paid members to 40.15M on 10/17/2016.</t>
        </r>
      </text>
    </comment>
    <comment ref="N54" authorId="1" shapeId="0">
      <text>
        <r>
          <rPr>
            <sz val="9"/>
            <color indexed="81"/>
            <rFont val="Tahoma"/>
            <family val="2"/>
          </rPr>
          <t>Management guided International streaming revenue to $653M on 1/16/2016.</t>
        </r>
      </text>
    </comment>
    <comment ref="O54" authorId="1" shapeId="0">
      <text>
        <r>
          <rPr>
            <sz val="9"/>
            <color indexed="81"/>
            <rFont val="Tahoma"/>
            <family val="2"/>
          </rPr>
          <t>Management guided International streaming revenue to $754M on 4/18/2016.</t>
        </r>
      </text>
    </comment>
    <comment ref="Q54" authorId="1" shapeId="0">
      <text>
        <r>
          <rPr>
            <sz val="9"/>
            <color indexed="81"/>
            <rFont val="Tahoma"/>
            <family val="2"/>
          </rPr>
          <t>Management guided International streaming revenue to $947M on 10/17/2016.</t>
        </r>
      </text>
    </comment>
    <comment ref="N60" authorId="1" shapeId="0">
      <text>
        <r>
          <rPr>
            <sz val="9"/>
            <color indexed="81"/>
            <rFont val="Tahoma"/>
            <family val="2"/>
          </rPr>
          <t>Management guided International streaming contribution margin to -17.5% on 1/16/2016.</t>
        </r>
      </text>
    </comment>
    <comment ref="O60" authorId="1" shapeId="0">
      <text>
        <r>
          <rPr>
            <sz val="9"/>
            <color indexed="81"/>
            <rFont val="Tahoma"/>
            <family val="2"/>
          </rPr>
          <t>Management guided International streaming contribution margin to -10.6% on 4/18/2016.</t>
        </r>
      </text>
    </comment>
    <comment ref="Q60" authorId="1" shapeId="0">
      <text>
        <r>
          <rPr>
            <sz val="9"/>
            <color indexed="81"/>
            <rFont val="Tahoma"/>
            <family val="2"/>
          </rPr>
          <t>Management guided International streaming contribution margin to -7.9% on 10/17/2016.</t>
        </r>
      </text>
    </comment>
    <comment ref="Q74" authorId="1" shapeId="0">
      <text>
        <r>
          <rPr>
            <sz val="9"/>
            <color indexed="81"/>
            <rFont val="Tahoma"/>
            <family val="2"/>
          </rPr>
          <t>Management guided operating margin to 5.1% on 10/17/2016.</t>
        </r>
      </text>
    </comment>
    <comment ref="B180" authorId="2" shapeId="0">
      <text>
        <r>
          <rPr>
            <sz val="9"/>
            <color indexed="81"/>
            <rFont val="Tahoma"/>
            <family val="2"/>
          </rPr>
          <t xml:space="preserve">*FCFF calculated as Cash Flow from Operations (CFO) + After tax interest expense - CapEx.
</t>
        </r>
      </text>
    </comment>
    <comment ref="C229" authorId="2" shapeId="0">
      <text>
        <r>
          <rPr>
            <b/>
            <sz val="9"/>
            <color indexed="81"/>
            <rFont val="Tahoma"/>
            <family val="2"/>
          </rPr>
          <t>Equation:</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t>
        </r>
        <r>
          <rPr>
            <b/>
            <sz val="9"/>
            <color indexed="81"/>
            <rFont val="Tahoma"/>
            <family val="2"/>
          </rPr>
          <t xml:space="preserve"> </t>
        </r>
      </text>
    </comment>
  </commentList>
</comments>
</file>

<file path=xl/sharedStrings.xml><?xml version="1.0" encoding="utf-8"?>
<sst xmlns="http://schemas.openxmlformats.org/spreadsheetml/2006/main" count="696" uniqueCount="270">
  <si>
    <t>Effective tax rate</t>
  </si>
  <si>
    <t>(Dollars in millions, except per share data)</t>
  </si>
  <si>
    <t>Total Current Assets</t>
  </si>
  <si>
    <t xml:space="preserve">Property, plant and equipment, net </t>
  </si>
  <si>
    <t>Total Assets</t>
  </si>
  <si>
    <t>Assets</t>
  </si>
  <si>
    <t>Liabilities</t>
  </si>
  <si>
    <t>Total Current liabilities</t>
  </si>
  <si>
    <t>Total liabilities</t>
  </si>
  <si>
    <t>Equity</t>
  </si>
  <si>
    <t>Total liabilities and equity</t>
  </si>
  <si>
    <t>Cash flows from operating activities</t>
  </si>
  <si>
    <t>Net income (loss)</t>
  </si>
  <si>
    <t>Cash flows from investing activities</t>
  </si>
  <si>
    <t>Cash flows from financing activities</t>
  </si>
  <si>
    <t>Net increase (decrease) in cash and equivalents</t>
  </si>
  <si>
    <t>Cash and equivalents at beginning of period</t>
  </si>
  <si>
    <t>Cash and equivalents at end of period</t>
  </si>
  <si>
    <t>Change in operating assets and liabilities</t>
  </si>
  <si>
    <t>Multiple Valuation</t>
  </si>
  <si>
    <t>Ratios</t>
  </si>
  <si>
    <t>Balance Sheet Ratios &amp; Assumptions</t>
  </si>
  <si>
    <t>Number of days of payables</t>
  </si>
  <si>
    <t>Payables turnover*</t>
  </si>
  <si>
    <t>Cash Flow Ratios &amp; Assumptions</t>
  </si>
  <si>
    <t xml:space="preserve"> </t>
  </si>
  <si>
    <t>Depreciation to PPE</t>
  </si>
  <si>
    <t xml:space="preserve">Net cash per share </t>
  </si>
  <si>
    <t>Capex growth</t>
  </si>
  <si>
    <t>Discounted FCFF</t>
  </si>
  <si>
    <t>Discounted Cash Flow Valuation</t>
  </si>
  <si>
    <t>Current share price</t>
  </si>
  <si>
    <t>Shares outstanding</t>
  </si>
  <si>
    <t>Market Capitalization ($M)</t>
  </si>
  <si>
    <t>Equity market risk premium</t>
  </si>
  <si>
    <t>Required return on equity (CAPM)</t>
  </si>
  <si>
    <t>Equity to total capital</t>
  </si>
  <si>
    <t>Average cost of debt</t>
  </si>
  <si>
    <t xml:space="preserve">After tax cost of debt </t>
  </si>
  <si>
    <t>WACC Inputs</t>
  </si>
  <si>
    <t>Net Cash from Operations growth rate</t>
  </si>
  <si>
    <t>Sept-14</t>
  </si>
  <si>
    <t>June-14</t>
  </si>
  <si>
    <t>Mar-14</t>
  </si>
  <si>
    <t>Dec-14</t>
  </si>
  <si>
    <t>Mar-15</t>
  </si>
  <si>
    <t>June-15</t>
  </si>
  <si>
    <t>Sept-15</t>
  </si>
  <si>
    <t>Dec-16</t>
  </si>
  <si>
    <t>Dec-15</t>
  </si>
  <si>
    <t>Mar-16</t>
  </si>
  <si>
    <t>June-16</t>
  </si>
  <si>
    <t>Sept-16</t>
  </si>
  <si>
    <t>Mar-17</t>
  </si>
  <si>
    <t>June-17</t>
  </si>
  <si>
    <t>Sept-17</t>
  </si>
  <si>
    <t>Dec-17</t>
  </si>
  <si>
    <t>Mar-18</t>
  </si>
  <si>
    <t>June-18</t>
  </si>
  <si>
    <t>Sept-18</t>
  </si>
  <si>
    <t>Dec-18</t>
  </si>
  <si>
    <t>Mar-19</t>
  </si>
  <si>
    <t>June-19</t>
  </si>
  <si>
    <t>Sept-19</t>
  </si>
  <si>
    <t>Cash and equivalents</t>
  </si>
  <si>
    <t>Accounts payable</t>
  </si>
  <si>
    <t>Other non-current liabilities</t>
  </si>
  <si>
    <t>Total shareholders' equity</t>
  </si>
  <si>
    <t xml:space="preserve">Segment Data &amp; Income Statement Ratios </t>
  </si>
  <si>
    <t>Beta (relative to the S&amp;P500)</t>
  </si>
  <si>
    <t>Risk Free (3mo ave 10yr US-T)</t>
  </si>
  <si>
    <t>Weighted Average Cost of Capital</t>
  </si>
  <si>
    <t>Revenue growth (in perpetuity)</t>
  </si>
  <si>
    <t>NPV of stage-one cash flows</t>
  </si>
  <si>
    <t>Constant CFO growth rate</t>
  </si>
  <si>
    <t>Capex to sales</t>
  </si>
  <si>
    <t>DCF Valuation</t>
  </si>
  <si>
    <t>PV of terminal value</t>
  </si>
  <si>
    <t>Dec-19</t>
  </si>
  <si>
    <t>1Q14</t>
  </si>
  <si>
    <t>2Q14</t>
  </si>
  <si>
    <t>3Q14</t>
  </si>
  <si>
    <t>4Q14</t>
  </si>
  <si>
    <t>1Q15</t>
  </si>
  <si>
    <t>Total Operating Expenses</t>
  </si>
  <si>
    <t>Diluted EPS (GAAP)</t>
  </si>
  <si>
    <t>Net income (GAAP)</t>
  </si>
  <si>
    <t>Common stock and additional paid-in capital</t>
  </si>
  <si>
    <t>Purchase of PPE</t>
  </si>
  <si>
    <t>Effect of exchange rate changes</t>
  </si>
  <si>
    <t>4Q16E</t>
  </si>
  <si>
    <t>2016E</t>
  </si>
  <si>
    <t>1Q17E</t>
  </si>
  <si>
    <t>2Q17E</t>
  </si>
  <si>
    <t>3Q17E</t>
  </si>
  <si>
    <t>4Q17E</t>
  </si>
  <si>
    <t>2017E</t>
  </si>
  <si>
    <t>1Q18E</t>
  </si>
  <si>
    <t>2Q18E</t>
  </si>
  <si>
    <t>3Q18E</t>
  </si>
  <si>
    <t>4Q18E</t>
  </si>
  <si>
    <t>2018E</t>
  </si>
  <si>
    <t>1Q19E</t>
  </si>
  <si>
    <t>2Q19E</t>
  </si>
  <si>
    <t>3Q19E</t>
  </si>
  <si>
    <t>4Q19E</t>
  </si>
  <si>
    <t>BALANCE SHEET</t>
  </si>
  <si>
    <t>CASH FLOW STATEMENT</t>
  </si>
  <si>
    <t>Other income/(expense)</t>
  </si>
  <si>
    <t>Other income/(expense) to revenue</t>
  </si>
  <si>
    <t>Income statement ratios</t>
  </si>
  <si>
    <t>Effective income tax rate</t>
  </si>
  <si>
    <t>( in millions, except as noted)</t>
  </si>
  <si>
    <t>Long-term debt</t>
  </si>
  <si>
    <t>(Purchase)/maturities of marketable securities and other</t>
  </si>
  <si>
    <t>*Assumes 90 days in each quarter (Non-GAAP)</t>
  </si>
  <si>
    <t>LT Ave CapEx (% of sales)</t>
  </si>
  <si>
    <t>Netflix Income Statement</t>
  </si>
  <si>
    <t>Netflix Balance Sheet</t>
  </si>
  <si>
    <t>Netflix Cash Flow Statement</t>
  </si>
  <si>
    <t>Revenues</t>
  </si>
  <si>
    <t>Cost of revenues</t>
  </si>
  <si>
    <t>Gross profit margin</t>
  </si>
  <si>
    <t>Marketing</t>
  </si>
  <si>
    <t>Technology and development</t>
  </si>
  <si>
    <t>General and administrative</t>
  </si>
  <si>
    <t>Interest (expense)</t>
  </si>
  <si>
    <t xml:space="preserve">Income before income taxes </t>
  </si>
  <si>
    <t>Provisions/(benefit) for income tax</t>
  </si>
  <si>
    <t xml:space="preserve">Basic shares outstanding </t>
  </si>
  <si>
    <t xml:space="preserve">Diluted shares outstanding </t>
  </si>
  <si>
    <t>Basic EPS (GAAP)</t>
  </si>
  <si>
    <t>Domestic Streaming Details</t>
  </si>
  <si>
    <t>Average paid members per period</t>
  </si>
  <si>
    <t>Paid member growth (QoQ)</t>
  </si>
  <si>
    <t>Domestic streaming revenue per average paid member</t>
  </si>
  <si>
    <t>Contribution profit margin (%)</t>
  </si>
  <si>
    <t>Domestic streaming revenue ($M)</t>
  </si>
  <si>
    <t>Marketing cost of domestic revenue ($M)</t>
  </si>
  <si>
    <t>Marketing per average paid member ($M)</t>
  </si>
  <si>
    <t>International Streaming Details</t>
  </si>
  <si>
    <t>International streaming revenue ($M)</t>
  </si>
  <si>
    <t>International streaming revenue per average paid member</t>
  </si>
  <si>
    <t>International Streaming gross margin (%)</t>
  </si>
  <si>
    <t>Marketing cost of International revenue ($M)</t>
  </si>
  <si>
    <t>Domestic DVD Details</t>
  </si>
  <si>
    <t>Total paid Domestic members at end of period</t>
  </si>
  <si>
    <t>Total paid International members at end of period</t>
  </si>
  <si>
    <t>Total paid DVD members at end of period</t>
  </si>
  <si>
    <t>DVD revenue ($M)</t>
  </si>
  <si>
    <t>DVD revenue per average paid member</t>
  </si>
  <si>
    <t xml:space="preserve">Cost of DVD revenue </t>
  </si>
  <si>
    <t xml:space="preserve">Cost of International revenue </t>
  </si>
  <si>
    <t>DVD gross margin (%)</t>
  </si>
  <si>
    <t>Marketing cost of DVD revenue ($M)</t>
  </si>
  <si>
    <t>Total gross margin percentage</t>
  </si>
  <si>
    <t>Technology and development expense to revenue</t>
  </si>
  <si>
    <t>General and administrative expense to revenue</t>
  </si>
  <si>
    <t>Interest expense to average debt</t>
  </si>
  <si>
    <t>Short-term investments</t>
  </si>
  <si>
    <t>Other current assets</t>
  </si>
  <si>
    <t>Current content library, net</t>
  </si>
  <si>
    <t>Non-current content library, net</t>
  </si>
  <si>
    <t>Other non-current assets</t>
  </si>
  <si>
    <t>Current content liabilities</t>
  </si>
  <si>
    <t>Accrued expenses</t>
  </si>
  <si>
    <t>Deferred revenue</t>
  </si>
  <si>
    <t>Non-current content liabilities</t>
  </si>
  <si>
    <t xml:space="preserve">Retained earnings/(deficit) </t>
  </si>
  <si>
    <t>Accumulated other comprehensive income/(loss)</t>
  </si>
  <si>
    <t>Depreciation of PPE and intangibles</t>
  </si>
  <si>
    <t>Additions to streaming content library</t>
  </si>
  <si>
    <t>Change in streaming content liability</t>
  </si>
  <si>
    <t>Stock-based compensation expense</t>
  </si>
  <si>
    <t>Excess tax benefit from stock-based compensation</t>
  </si>
  <si>
    <t>Amortization of streaming content liability</t>
  </si>
  <si>
    <t>Amortization of DVD content library</t>
  </si>
  <si>
    <t>Excess tax benefits from stock-based compensation</t>
  </si>
  <si>
    <t>Other non-cash items</t>
  </si>
  <si>
    <t>Deferred taxes</t>
  </si>
  <si>
    <t>Other non-current assets and liabilities</t>
  </si>
  <si>
    <t>Net cash provided/(used) from operating activities</t>
  </si>
  <si>
    <t>Net cash provided/(used) for financing</t>
  </si>
  <si>
    <t>Net cash provided/(used) for investing</t>
  </si>
  <si>
    <t>Acquisition of DVD content library</t>
  </si>
  <si>
    <t>Proceeds from issuance of common stock</t>
  </si>
  <si>
    <t>Proceeds from issuance of debt</t>
  </si>
  <si>
    <t>Issuance costs</t>
  </si>
  <si>
    <t>Principal payments of lease financing obligations</t>
  </si>
  <si>
    <t>Non-GAAP Adjustments to free cash from operations</t>
  </si>
  <si>
    <t>Free cash flow from operations (Non-GAAP)</t>
  </si>
  <si>
    <t>Other current assets/liabilities</t>
  </si>
  <si>
    <t>Other assets/liabilities</t>
  </si>
  <si>
    <t>2014</t>
  </si>
  <si>
    <t>Free Cash Flow to Firm (FCFF)*</t>
  </si>
  <si>
    <t xml:space="preserve">Cost of domestic revenue </t>
  </si>
  <si>
    <t>Domestic Streaming gross margin (%)</t>
  </si>
  <si>
    <t>DCF Period (approximate number of years)</t>
  </si>
  <si>
    <t>2019E</t>
  </si>
  <si>
    <t>Operating Income (GAAP)</t>
  </si>
  <si>
    <t>Operating Income (Non-GAAP)</t>
  </si>
  <si>
    <t>Total operating margin percentage (Non-GAAP)</t>
  </si>
  <si>
    <t>Stock based comp to revenue</t>
  </si>
  <si>
    <t>2Q15</t>
  </si>
  <si>
    <t>3Q15</t>
  </si>
  <si>
    <t>(b) We use the Constant Sharpe approach to estimate the Equity Risk Premium. The S&amp;P500 Constant Sharpe is calculated by taking the excess return on the index over the risk-free rate, divided by the standard deviation of returns. We then multiply the constant Sharpe by the last three month average implied volatility.</t>
  </si>
  <si>
    <t>P/E used for valuation</t>
  </si>
  <si>
    <t>Constant market Sharpe ratio(b)</t>
  </si>
  <si>
    <t>S&amp;P500 implied volatility(c)</t>
  </si>
  <si>
    <r>
      <t>Constant Growth Stage Assumptions</t>
    </r>
    <r>
      <rPr>
        <sz val="11"/>
        <color theme="1"/>
        <rFont val="Calibri"/>
        <family val="2"/>
        <scheme val="minor"/>
      </rPr>
      <t>(d,e)</t>
    </r>
  </si>
  <si>
    <t>(c) The VIX is quoted in percentage points and measures the implied annualized volatility for the S&amp;P500. The VIX is a forward looking measure of implied volatility, however, single day volatility would have too much of an impact on the overall discount rate, which is why we choose to use the three month average.</t>
  </si>
  <si>
    <t>(d) Assumes constant networking capital in the constant growth stage.
(e) Assumes debt balance and interest expense remains constant in the constant growth stage, and that book value of debt approximates fair value.</t>
  </si>
  <si>
    <t>Implied P/E 12-month target value</t>
  </si>
  <si>
    <t>Implied DCF 12-month target value</t>
  </si>
  <si>
    <t>Implied average target value</t>
  </si>
  <si>
    <t xml:space="preserve">Plus net cash/(debt) per share </t>
  </si>
  <si>
    <t>Non-GAAP Adjustments</t>
  </si>
  <si>
    <t>Non-GAAP Adjusted EBITDA</t>
  </si>
  <si>
    <t>GAAP Net Income</t>
  </si>
  <si>
    <t>Interest and other (income) expense</t>
  </si>
  <si>
    <t>Provision (benefit) for income taxes</t>
  </si>
  <si>
    <t>Depreciation and Amortization</t>
  </si>
  <si>
    <t>Implied Price to NTM EBITDA</t>
  </si>
  <si>
    <t>4Q15</t>
  </si>
  <si>
    <t>2015</t>
  </si>
  <si>
    <t>2017 P/E ratio, 3-month ave (a)</t>
  </si>
  <si>
    <t xml:space="preserve">2017 P/E  ratio, 3-month high </t>
  </si>
  <si>
    <t>2017 P/E  ratio, 3-month low</t>
  </si>
  <si>
    <t xml:space="preserve">(a) Multiples are calculated excluding the value of net cash and are based on the 3-month average daily share price compared to the consensus EPS estimates for the 2017.
</t>
  </si>
  <si>
    <t>Mar-20</t>
  </si>
  <si>
    <t>June-20</t>
  </si>
  <si>
    <t>Sept-20</t>
  </si>
  <si>
    <t>Dec-20</t>
  </si>
  <si>
    <t>1Q20E</t>
  </si>
  <si>
    <t>2Q20E</t>
  </si>
  <si>
    <t>3Q20E</t>
  </si>
  <si>
    <t>4Q20E</t>
  </si>
  <si>
    <t>2020E</t>
  </si>
  <si>
    <t>By obtaining this model you are deemed to have read and agreed to our Terms of Use. Visit our website for details: https://www.gutenbergresearch.com/terms-of-use.html</t>
  </si>
  <si>
    <t>GR</t>
  </si>
  <si>
    <t>Net income (Non-GAAP, including adj for stock-based comp)</t>
  </si>
  <si>
    <t>Diluted EPS (Non-GAAP, including stock-based comp)</t>
  </si>
  <si>
    <t>Stock based comp expense</t>
  </si>
  <si>
    <t>Release of tax accrual</t>
  </si>
  <si>
    <t>Release of tax accural adjustment (Non-GAAP)</t>
  </si>
  <si>
    <r>
      <t xml:space="preserve">(f) </t>
    </r>
    <r>
      <rPr>
        <b/>
        <sz val="11"/>
        <color theme="1"/>
        <rFont val="Calibri"/>
        <family val="2"/>
        <scheme val="minor"/>
      </rPr>
      <t>NON-GAAP Adjustment explanation</t>
    </r>
    <r>
      <rPr>
        <sz val="11"/>
        <color theme="1"/>
        <rFont val="Calibri"/>
        <family val="2"/>
        <scheme val="minor"/>
      </rPr>
      <t>: Typically Netflix reports non-GAAP EBITDA, but does not report non-GAAP Net Income and EPS, except to show a constant currency view. The company has reported non-GAAP Net Income and EPS the past few quarters to reflect the tax accrual release adjustment, but management did not adjust Net Income for stock based comp in their non-GAAP calculation despite the fact that they did adjust their non-GAAP EBITDA calculations for stock based comp. For transparency in the calculation, and for comparability to other tech companies, we have shown the non-GAAP EBITDA, Net Income, and EPS calculation consistent with management's calculation, and left a stock based-comp adjustment row in the operating income section for a more traditional view of non-GAAP Operating Margin, Net Income, and EPS.</t>
    </r>
  </si>
  <si>
    <t>Stock Based Comp (Non-GAAP Adj, see comment f in row 200)</t>
  </si>
  <si>
    <t>Net income (Non-GAAP as reported, tax accrual adjustment only)</t>
  </si>
  <si>
    <t>Diluted EPS (Non-GAAP, as reported, tax accrual adjustment only)</t>
  </si>
  <si>
    <t>Change in basic shares  (excluding repurchases)</t>
  </si>
  <si>
    <t>Change in diluted shares  (excluding repurchases)</t>
  </si>
  <si>
    <t>Share count analysis</t>
  </si>
  <si>
    <t>1Q16</t>
  </si>
  <si>
    <t>2Q16</t>
  </si>
  <si>
    <t>3Q16</t>
  </si>
  <si>
    <t>Purple cells = Company guidance (updated 10/17/2016)</t>
  </si>
  <si>
    <t>Total operating margin percentage (GAAP)</t>
  </si>
  <si>
    <r>
      <t xml:space="preserve">NOTE: </t>
    </r>
    <r>
      <rPr>
        <sz val="11"/>
        <color theme="1"/>
        <rFont val="Calibri"/>
        <family val="2"/>
        <scheme val="minor"/>
      </rPr>
      <t xml:space="preserve">There are many different multiples which could be applied to various earnings metrics, each of which result in different valuations. This calculation is for demonstration only. Please refer to our disclosures for important details.  Our DCF and Multiple valuation metrics are kept constant at certain points during each quarter to isolate the impact from changes in earnings estimates.   </t>
    </r>
    <r>
      <rPr>
        <b/>
        <sz val="11"/>
        <color theme="3"/>
        <rFont val="Calibri"/>
        <family val="2"/>
        <scheme val="minor"/>
      </rPr>
      <t>The multiple  in this section was last updated on 11/12/2016.</t>
    </r>
    <r>
      <rPr>
        <b/>
        <sz val="11"/>
        <color theme="1"/>
        <rFont val="Calibri"/>
        <family val="2"/>
        <scheme val="minor"/>
      </rPr>
      <t xml:space="preserve"> </t>
    </r>
  </si>
  <si>
    <t>Mar-21</t>
  </si>
  <si>
    <t>June-21</t>
  </si>
  <si>
    <t>Sept-21</t>
  </si>
  <si>
    <t>Dec-21</t>
  </si>
  <si>
    <t>1Q21E</t>
  </si>
  <si>
    <t>2Q21E</t>
  </si>
  <si>
    <t>3Q21E</t>
  </si>
  <si>
    <t>4Q21E</t>
  </si>
  <si>
    <t>2021E</t>
  </si>
  <si>
    <t>Non-GAAP Adjusted EBITDA Reconciliation</t>
  </si>
  <si>
    <r>
      <t xml:space="preserve">NOTE: </t>
    </r>
    <r>
      <rPr>
        <sz val="11"/>
        <color theme="1"/>
        <rFont val="Calibri"/>
        <family val="2"/>
        <scheme val="minor"/>
      </rPr>
      <t xml:space="preserve">There are many different methods to calculate a DCF-based valuation, each of which result in different final valuation estimates. This calculation is for demonstration only. Different inputs and assumptions can result in significantly different valuation estimates. Refer to the Disclosure tab for important information regarding this demonstration.  Our DCF and Multiple valuation metrics are kept constant at certain points during each quarter to isolate the impact from changes in earnings estimates.  </t>
    </r>
    <r>
      <rPr>
        <b/>
        <sz val="11"/>
        <color theme="3"/>
        <rFont val="Calibri"/>
        <family val="2"/>
        <scheme val="minor"/>
      </rPr>
      <t xml:space="preserve">The  Beta, Volatility, and Risk-Free rate used in this DCF section was last updated on 1/2/2017. </t>
    </r>
  </si>
  <si>
    <t>Blue cells = Contributor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</si>
</sst>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x"/>
    <numFmt numFmtId="168" formatCode="_(* #,##0.000_);_(* \(#,##0.000\);_(* &quot;-&quot;??_);_(@_)"/>
    <numFmt numFmtId="169" formatCode="0\x"/>
    <numFmt numFmtId="170" formatCode="0.0_)\%;\(0.0\)\%;0.0_)\%;@_)_%"/>
    <numFmt numFmtId="171" formatCode="#,##0.0_)_%;\(#,##0.0\)_%;0.0_)_%;@_)_%"/>
    <numFmt numFmtId="172" formatCode="#,##0.0_);\(#,##0.0\);#,##0.0_);@_)"/>
    <numFmt numFmtId="173" formatCode="&quot;$&quot;_(#,##0.00_);&quot;$&quot;\(#,##0.00\);&quot;$&quot;_(0.00_);@_)"/>
    <numFmt numFmtId="174" formatCode="#,##0.00_);\(#,##0.00\);0.00_);@_)"/>
    <numFmt numFmtId="175" formatCode="\€_(#,##0.00_);\€\(#,##0.00\);\€_(0.00_);@_)"/>
    <numFmt numFmtId="176" formatCode="#,##0_)\x;\(#,##0\)\x;0_)\x;@_)_x"/>
    <numFmt numFmtId="177" formatCode="#,##0_)_x;\(#,##0\)_x;0_)_x;@_)_x"/>
    <numFmt numFmtId="178" formatCode="* #,##0.00_);\(#,##0.00\)"/>
    <numFmt numFmtId="179" formatCode="&quot;$&quot;#,##0;\-&quot;$&quot;#,##0"/>
    <numFmt numFmtId="180" formatCode="#,##0;\-#,##0;&quot;-&quot;"/>
    <numFmt numFmtId="181" formatCode="0.000000"/>
    <numFmt numFmtId="182" formatCode="_(* #,##0,,_);_(* \(#,##0,,\);_(* &quot;-&quot;_)"/>
    <numFmt numFmtId="183" formatCode="_(* #,##0_);[Red]_(* \(#,##0\);_(* &quot;&quot;&quot;&quot;&quot;&quot;&quot;&quot;\ \-\ &quot;&quot;&quot;&quot;&quot;&quot;&quot;&quot;_);_(@_)"/>
    <numFmt numFmtId="184" formatCode="&quot;£&quot;#,##0;[Red]\-&quot;£&quot;#,##0"/>
    <numFmt numFmtId="185" formatCode="_(* #,##0,_);[Red]_(* \(#,##0,\);_(* &quot;&quot;&quot;&quot;&quot;&quot;&quot;&quot;\ \-\ &quot;&quot;&quot;&quot;&quot;&quot;&quot;&quot;_);_(@_)"/>
    <numFmt numFmtId="186" formatCode="0.00_);[Red]\(0.00\)"/>
    <numFmt numFmtId="187" formatCode="0%;\(0%\);;"/>
    <numFmt numFmtId="188" formatCode="&quot;£&quot;#,##0.00;[Red]\-&quot;£&quot;#,##0.00"/>
    <numFmt numFmtId="189" formatCode="_(* #,##0.000_);_(* \(#,##0.000\);_(* &quot;-&quot;_);_(@_)"/>
    <numFmt numFmtId="190" formatCode="0%;\(0%\);&quot;-&quot;"/>
    <numFmt numFmtId="191" formatCode="_-&quot;£&quot;* #,##0_-;\-&quot;£&quot;* #,##0_-;_-&quot;£&quot;* &quot;-&quot;_-;_-@_-"/>
    <numFmt numFmtId="192" formatCode="_(&quot;$&quot;* #,##0,_);_(&quot;$&quot;* \(#,##0,\);_(&quot;$&quot;* &quot;-&quot;_);_(@_)"/>
    <numFmt numFmtId="193" formatCode="#,##0\ ;\(#,##0.0\)"/>
    <numFmt numFmtId="194" formatCode="0.0"/>
    <numFmt numFmtId="195" formatCode="#,##0.00;\-#,##0.00;&quot;-&quot;"/>
    <numFmt numFmtId="196" formatCode="_._.* \(#,##0\)_%;_._.* #,##0_)_%;_._.* 0_)_%;_._.@_)_%"/>
    <numFmt numFmtId="197" formatCode="_._.&quot;$&quot;* \(#,##0\)_%;_._.&quot;$&quot;* #,##0_)_%;_._.&quot;$&quot;* 0_)_%;_._.@_)_%"/>
    <numFmt numFmtId="198" formatCode="&quot;$&quot;0.00_)"/>
    <numFmt numFmtId="199" formatCode="&quot;SFr.&quot;\ #,##0.00;&quot;SFr.&quot;\ \-#,##0.00"/>
    <numFmt numFmtId="200" formatCode="#,##0;\(#,##0\)"/>
    <numFmt numFmtId="201" formatCode="_([$€-2]* #,##0.00_);_([$€-2]* \(#,##0.00\);_([$€-2]* &quot;-&quot;??_)"/>
    <numFmt numFmtId="202" formatCode="_-* #,##0\ _D_M_-;\-* #,##0\ _D_M_-;_-* &quot;-&quot;\ _D_M_-;_-@_-"/>
    <numFmt numFmtId="203" formatCode="_-* #,##0.00\ _D_M_-;\-* #,##0.00\ _D_M_-;_-* &quot;-&quot;??\ _D_M_-;_-@_-"/>
    <numFmt numFmtId="204" formatCode="_-* #,##0\ &quot;DM&quot;_-;\-* #,##0\ &quot;DM&quot;_-;_-* &quot;-&quot;\ &quot;DM&quot;_-;_-@_-"/>
    <numFmt numFmtId="205" formatCode="_-* #,##0.00\ &quot;DM&quot;_-;\-* #,##0.00\ &quot;DM&quot;_-;_-* &quot;-&quot;??\ &quot;DM&quot;_-;_-@_-"/>
    <numFmt numFmtId="206" formatCode="#,##0.0_);\(#,##0.0\)"/>
    <numFmt numFmtId="207" formatCode="#,##0.0\ ;\(#,##0.0\)"/>
    <numFmt numFmtId="208" formatCode="0%;\(0%\)"/>
    <numFmt numFmtId="209" formatCode="&quot;SFr.&quot;#,##0;[Red]&quot;SFr.&quot;\-#,##0"/>
    <numFmt numFmtId="210" formatCode="#,##0.0000000000;\-#,##0.0000000000"/>
    <numFmt numFmtId="211" formatCode="#,##0.0;\-#,##0.0"/>
    <numFmt numFmtId="212" formatCode="#,##0.000;\-#,##0.000"/>
    <numFmt numFmtId="213" formatCode="#,##0.0000;\-#,##0.0000"/>
    <numFmt numFmtId="214" formatCode="#,##0.00000;\-#,##0.00000"/>
    <numFmt numFmtId="215" formatCode="#,##0.000000;\-#,##0.000000"/>
    <numFmt numFmtId="216" formatCode="#,##0.0000000;\-#,##0.0000000"/>
    <numFmt numFmtId="217" formatCode="#,##0.00000000;\-#,##0.00000000"/>
    <numFmt numFmtId="218" formatCode="#,##0.000000000;\-#,##0.000000000"/>
    <numFmt numFmtId="219" formatCode="#,##0___);\(#,##0.00\)"/>
    <numFmt numFmtId="220" formatCode="#,##0&quot;%&quot;"/>
    <numFmt numFmtId="221" formatCode="#,##0_);[Red]\(#,##0\);&quot;-&quot;"/>
    <numFmt numFmtId="222" formatCode="_-&quot;£&quot;* #,##0.00_-;\-&quot;£&quot;* #,##0.00_-;_-&quot;£&quot;* &quot;-&quot;??_-;_-@_-"/>
    <numFmt numFmtId="223" formatCode="*-"/>
    <numFmt numFmtId="224" formatCode="#,##0;[Red]\(#,##0\)"/>
    <numFmt numFmtId="225" formatCode="_-&quot;$&quot;* #,##0_-;\-&quot;$&quot;* #,##0_-;_-&quot;$&quot;* &quot;-&quot;_-;_-@_-"/>
    <numFmt numFmtId="226" formatCode="_-&quot;$&quot;* #,##0.00_-;\-&quot;$&quot;* #,##0.00_-;_-&quot;$&quot;* &quot;-&quot;??_-;_-@_-"/>
  </numFmts>
  <fonts count="70"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sz val="11"/>
      <color theme="3"/>
      <name val="Calibri"/>
      <family val="2"/>
      <scheme val="minor"/>
    </font>
    <font>
      <u/>
      <sz val="11"/>
      <color theme="1"/>
      <name val="Calibri"/>
      <family val="2"/>
      <scheme val="minor"/>
    </font>
    <font>
      <sz val="11"/>
      <color theme="0"/>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59999389629810485"/>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29">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5" fillId="0" borderId="0"/>
    <xf numFmtId="43" fontId="15"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 fillId="7" borderId="0" applyNumberFormat="0" applyFont="0" applyAlignment="0" applyProtection="0"/>
    <xf numFmtId="176" fontId="9" fillId="0" borderId="0" applyFont="0" applyFill="0" applyBorder="0" applyAlignment="0" applyProtection="0"/>
    <xf numFmtId="177" fontId="9" fillId="0" borderId="0" applyFont="0" applyFill="0" applyBorder="0" applyProtection="0">
      <alignment horizontal="right"/>
    </xf>
    <xf numFmtId="0" fontId="24" fillId="0" borderId="0" applyNumberFormat="0" applyFill="0" applyBorder="0" applyProtection="0">
      <alignment vertical="top"/>
    </xf>
    <xf numFmtId="0" fontId="24" fillId="0" borderId="0" applyNumberFormat="0" applyFill="0" applyBorder="0" applyProtection="0">
      <alignment vertical="top"/>
    </xf>
    <xf numFmtId="0" fontId="24" fillId="0" borderId="0" applyNumberFormat="0" applyFill="0" applyBorder="0" applyProtection="0">
      <alignment vertical="top"/>
    </xf>
    <xf numFmtId="0" fontId="24" fillId="0" borderId="0" applyNumberFormat="0" applyFill="0" applyBorder="0" applyProtection="0">
      <alignment vertical="top"/>
    </xf>
    <xf numFmtId="0" fontId="24" fillId="0" borderId="0" applyNumberFormat="0" applyFill="0" applyBorder="0" applyProtection="0">
      <alignment vertical="top"/>
    </xf>
    <xf numFmtId="0" fontId="25" fillId="0" borderId="17" applyNumberFormat="0" applyFill="0" applyAlignment="0" applyProtection="0"/>
    <xf numFmtId="0" fontId="26" fillId="0" borderId="18" applyNumberFormat="0" applyFill="0" applyProtection="0">
      <alignment horizontal="center"/>
    </xf>
    <xf numFmtId="0" fontId="26" fillId="0" borderId="0" applyNumberFormat="0" applyFill="0" applyBorder="0" applyProtection="0">
      <alignment horizontal="left"/>
    </xf>
    <xf numFmtId="0" fontId="27" fillId="0" borderId="0" applyNumberFormat="0" applyFill="0" applyBorder="0" applyProtection="0">
      <alignment horizontal="centerContinuous"/>
    </xf>
    <xf numFmtId="0" fontId="28" fillId="0" borderId="0" applyNumberFormat="0" applyFill="0" applyBorder="0" applyAlignment="0" applyProtection="0"/>
    <xf numFmtId="0" fontId="29" fillId="0" borderId="0"/>
    <xf numFmtId="178" fontId="30" fillId="0" borderId="0">
      <alignment horizontal="center"/>
    </xf>
    <xf numFmtId="37" fontId="31" fillId="0" borderId="0"/>
    <xf numFmtId="37" fontId="32" fillId="0" borderId="0"/>
    <xf numFmtId="179" fontId="33" fillId="0" borderId="2"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33" fillId="0" borderId="2"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33" fillId="0" borderId="2"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1" fillId="0" borderId="0" applyAlignment="0" applyProtection="0"/>
    <xf numFmtId="179" fontId="33" fillId="0" borderId="2" applyAlignment="0" applyProtection="0"/>
    <xf numFmtId="179" fontId="1" fillId="0" borderId="0" applyAlignment="0" applyProtection="0"/>
    <xf numFmtId="179" fontId="1" fillId="0" borderId="0" applyAlignment="0" applyProtection="0"/>
    <xf numFmtId="179" fontId="1" fillId="0" borderId="0" applyAlignment="0" applyProtection="0"/>
    <xf numFmtId="179" fontId="33" fillId="0" borderId="2" applyAlignment="0" applyProtection="0"/>
    <xf numFmtId="179" fontId="33" fillId="0" borderId="2" applyAlignment="0" applyProtection="0"/>
    <xf numFmtId="179" fontId="33" fillId="0" borderId="2" applyAlignment="0" applyProtection="0"/>
    <xf numFmtId="179" fontId="33" fillId="0" borderId="2" applyAlignment="0" applyProtection="0"/>
    <xf numFmtId="179" fontId="1" fillId="0" borderId="0" applyAlignment="0" applyProtection="0"/>
    <xf numFmtId="180" fontId="34" fillId="0" borderId="0" applyFill="0" applyBorder="0" applyAlignment="0"/>
    <xf numFmtId="181" fontId="9" fillId="0" borderId="0" applyFill="0" applyBorder="0" applyAlignment="0"/>
    <xf numFmtId="182" fontId="9" fillId="0" borderId="0" applyFill="0" applyBorder="0" applyAlignment="0"/>
    <xf numFmtId="164" fontId="9" fillId="0" borderId="0" applyFill="0" applyBorder="0" applyAlignment="0"/>
    <xf numFmtId="183" fontId="9" fillId="0" borderId="0" applyFill="0" applyBorder="0" applyAlignment="0"/>
    <xf numFmtId="184" fontId="9" fillId="0" borderId="0" applyFill="0" applyBorder="0" applyAlignment="0"/>
    <xf numFmtId="185" fontId="9" fillId="0" borderId="0" applyFill="0" applyBorder="0" applyAlignment="0"/>
    <xf numFmtId="186" fontId="9" fillId="0" borderId="0" applyFill="0" applyBorder="0" applyAlignment="0"/>
    <xf numFmtId="187" fontId="9" fillId="0" borderId="0" applyFill="0" applyBorder="0" applyAlignment="0"/>
    <xf numFmtId="188" fontId="9" fillId="0" borderId="0" applyFill="0" applyBorder="0" applyAlignment="0"/>
    <xf numFmtId="180" fontId="34" fillId="0" borderId="0" applyFill="0" applyBorder="0" applyAlignment="0"/>
    <xf numFmtId="189" fontId="9" fillId="0" borderId="0" applyFill="0" applyBorder="0" applyAlignment="0"/>
    <xf numFmtId="190" fontId="9" fillId="0" borderId="0" applyFill="0" applyBorder="0" applyAlignment="0"/>
    <xf numFmtId="191" fontId="9" fillId="0" borderId="0" applyFill="0" applyBorder="0" applyAlignment="0"/>
    <xf numFmtId="182" fontId="9" fillId="0" borderId="0" applyFill="0" applyBorder="0" applyAlignment="0"/>
    <xf numFmtId="164" fontId="9" fillId="0" borderId="0" applyFill="0" applyBorder="0" applyAlignment="0"/>
    <xf numFmtId="0" fontId="35" fillId="0" borderId="0" applyFill="0" applyBorder="0" applyProtection="0">
      <alignment horizontal="center"/>
      <protection locked="0"/>
    </xf>
    <xf numFmtId="0" fontId="36"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3" fontId="36" fillId="0" borderId="7"/>
    <xf numFmtId="194" fontId="1" fillId="0" borderId="0"/>
    <xf numFmtId="0" fontId="29" fillId="0" borderId="7"/>
    <xf numFmtId="194" fontId="1" fillId="0" borderId="0"/>
    <xf numFmtId="180" fontId="9" fillId="0" borderId="0" applyFont="0" applyFill="0" applyBorder="0" applyAlignment="0" applyProtection="0"/>
    <xf numFmtId="189" fontId="9" fillId="0" borderId="0" applyFont="0" applyFill="0" applyBorder="0" applyAlignment="0" applyProtection="0"/>
    <xf numFmtId="43" fontId="9" fillId="0" borderId="0" applyFont="0" applyFill="0" applyBorder="0" applyAlignment="0" applyProtection="0">
      <alignment wrapText="1"/>
    </xf>
    <xf numFmtId="43" fontId="1"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37" fillId="0" borderId="0" applyFont="0" applyFill="0" applyBorder="0" applyAlignment="0" applyProtection="0"/>
    <xf numFmtId="4" fontId="1" fillId="0" borderId="0" applyFont="0" applyFill="0" applyBorder="0" applyAlignment="0" applyProtection="0"/>
    <xf numFmtId="4" fontId="2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8" fillId="0" borderId="0" applyNumberFormat="0" applyFill="0" applyBorder="0" applyAlignment="0" applyProtection="0"/>
    <xf numFmtId="0" fontId="39" fillId="0" borderId="0" applyFill="0" applyBorder="0" applyAlignment="0" applyProtection="0">
      <protection locked="0"/>
    </xf>
    <xf numFmtId="195" fontId="9" fillId="0" borderId="0">
      <alignment horizontal="center"/>
    </xf>
    <xf numFmtId="196" fontId="40" fillId="0" borderId="0" applyFill="0" applyBorder="0" applyProtection="0"/>
    <xf numFmtId="197" fontId="41" fillId="0" borderId="0" applyFont="0" applyFill="0" applyBorder="0" applyAlignment="0" applyProtection="0"/>
    <xf numFmtId="198" fontId="42" fillId="0" borderId="19">
      <protection hidden="1"/>
    </xf>
    <xf numFmtId="182" fontId="9" fillId="0" borderId="0" applyFont="0" applyFill="0" applyBorder="0" applyAlignment="0" applyProtection="0"/>
    <xf numFmtId="164"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8" fillId="0" borderId="0" applyNumberFormat="0" applyFill="0" applyBorder="0" applyAlignment="0" applyProtection="0"/>
    <xf numFmtId="1" fontId="30" fillId="0" borderId="0"/>
    <xf numFmtId="14" fontId="43" fillId="0" borderId="0">
      <alignment horizontal="center"/>
    </xf>
    <xf numFmtId="14" fontId="34" fillId="0" borderId="0" applyFill="0" applyBorder="0" applyAlignment="0"/>
    <xf numFmtId="15" fontId="44" fillId="8" borderId="0" applyNumberFormat="0" applyFont="0" applyFill="0" applyBorder="0" applyAlignment="0">
      <alignment horizontal="center" wrapText="1"/>
    </xf>
    <xf numFmtId="0" fontId="34" fillId="0" borderId="16" applyNumberFormat="0" applyFill="0" applyBorder="0" applyAlignment="0" applyProtection="0"/>
    <xf numFmtId="199" fontId="36" fillId="0" borderId="0" applyFont="0" applyFill="0" applyBorder="0" applyAlignment="0" applyProtection="0"/>
    <xf numFmtId="200" fontId="41" fillId="0" borderId="0" applyFont="0" applyFill="0" applyBorder="0" applyAlignment="0" applyProtection="0"/>
    <xf numFmtId="180" fontId="45" fillId="0" borderId="0" applyFill="0" applyBorder="0" applyAlignment="0"/>
    <xf numFmtId="189" fontId="9" fillId="0" borderId="0" applyFill="0" applyBorder="0" applyAlignment="0"/>
    <xf numFmtId="182" fontId="9" fillId="0" borderId="0" applyFill="0" applyBorder="0" applyAlignment="0"/>
    <xf numFmtId="164" fontId="9" fillId="0" borderId="0" applyFill="0" applyBorder="0" applyAlignment="0"/>
    <xf numFmtId="180" fontId="45" fillId="0" borderId="0" applyFill="0" applyBorder="0" applyAlignment="0"/>
    <xf numFmtId="189" fontId="9" fillId="0" borderId="0" applyFill="0" applyBorder="0" applyAlignment="0"/>
    <xf numFmtId="190" fontId="9" fillId="0" borderId="0" applyFill="0" applyBorder="0" applyAlignment="0"/>
    <xf numFmtId="191" fontId="9" fillId="0" borderId="0" applyFill="0" applyBorder="0" applyAlignment="0"/>
    <xf numFmtId="182" fontId="9" fillId="0" borderId="0" applyFill="0" applyBorder="0" applyAlignment="0"/>
    <xf numFmtId="164" fontId="9" fillId="0" borderId="0" applyFill="0" applyBorder="0" applyAlignment="0"/>
    <xf numFmtId="198" fontId="42" fillId="0" borderId="19">
      <protection hidden="1"/>
    </xf>
    <xf numFmtId="201" fontId="9" fillId="0" borderId="0" applyFont="0" applyFill="0" applyBorder="0" applyAlignment="0" applyProtection="0"/>
    <xf numFmtId="38" fontId="46" fillId="8" borderId="0" applyNumberFormat="0" applyBorder="0" applyAlignment="0" applyProtection="0"/>
    <xf numFmtId="0" fontId="47" fillId="0" borderId="20" applyNumberFormat="0" applyAlignment="0" applyProtection="0">
      <alignment horizontal="left" vertical="center"/>
    </xf>
    <xf numFmtId="0" fontId="47"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7"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7"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7"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1" fillId="0" borderId="0">
      <alignment horizontal="left" vertical="center"/>
    </xf>
    <xf numFmtId="14" fontId="48" fillId="9" borderId="19">
      <alignment horizontal="center" vertical="center" wrapText="1"/>
    </xf>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5" fillId="0" borderId="0" applyFill="0" applyAlignment="0" applyProtection="0">
      <protection locked="0"/>
    </xf>
    <xf numFmtId="0" fontId="35" fillId="0" borderId="7" applyFill="0" applyAlignment="0" applyProtection="0">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0" fontId="46" fillId="10" borderId="16" applyNumberFormat="0" applyBorder="0" applyAlignment="0" applyProtection="0"/>
    <xf numFmtId="180" fontId="52" fillId="0" borderId="0" applyFill="0" applyBorder="0" applyAlignment="0"/>
    <xf numFmtId="189" fontId="9" fillId="0" borderId="0" applyFill="0" applyBorder="0" applyAlignment="0"/>
    <xf numFmtId="182" fontId="9" fillId="0" borderId="0" applyFill="0" applyBorder="0" applyAlignment="0"/>
    <xf numFmtId="164" fontId="9" fillId="0" borderId="0" applyFill="0" applyBorder="0" applyAlignment="0"/>
    <xf numFmtId="180" fontId="52" fillId="0" borderId="0" applyFill="0" applyBorder="0" applyAlignment="0"/>
    <xf numFmtId="189" fontId="9" fillId="0" borderId="0" applyFill="0" applyBorder="0" applyAlignment="0"/>
    <xf numFmtId="190" fontId="9" fillId="0" borderId="0" applyFill="0" applyBorder="0" applyAlignment="0"/>
    <xf numFmtId="191" fontId="9" fillId="0" borderId="0" applyFill="0" applyBorder="0" applyAlignment="0"/>
    <xf numFmtId="182" fontId="9" fillId="0" borderId="0" applyFill="0" applyBorder="0" applyAlignment="0"/>
    <xf numFmtId="164" fontId="9" fillId="0" borderId="0" applyFill="0" applyBorder="0" applyAlignment="0"/>
    <xf numFmtId="202" fontId="9" fillId="0" borderId="0" applyFont="0" applyFill="0" applyBorder="0" applyAlignment="0" applyProtection="0"/>
    <xf numFmtId="203" fontId="9" fillId="0" borderId="0" applyFont="0" applyFill="0" applyBorder="0" applyAlignment="0" applyProtection="0"/>
    <xf numFmtId="38" fontId="53" fillId="0" borderId="0" applyFont="0" applyFill="0" applyBorder="0" applyAlignment="0" applyProtection="0"/>
    <xf numFmtId="40" fontId="53" fillId="0" borderId="0" applyFont="0" applyFill="0" applyBorder="0" applyAlignment="0" applyProtection="0"/>
    <xf numFmtId="204" fontId="9" fillId="0" borderId="0" applyFont="0" applyFill="0" applyBorder="0" applyAlignment="0" applyProtection="0"/>
    <xf numFmtId="205" fontId="9" fillId="0" borderId="0" applyFont="0" applyFill="0" applyBorder="0" applyAlignment="0" applyProtection="0"/>
    <xf numFmtId="6" fontId="53" fillId="0" borderId="0" applyFont="0" applyFill="0" applyBorder="0" applyAlignment="0" applyProtection="0"/>
    <xf numFmtId="8" fontId="53" fillId="0" borderId="0" applyFont="0" applyFill="0" applyBorder="0" applyAlignment="0" applyProtection="0"/>
    <xf numFmtId="206" fontId="30" fillId="0" borderId="7"/>
    <xf numFmtId="37" fontId="54" fillId="0" borderId="0"/>
    <xf numFmtId="207" fontId="36" fillId="0" borderId="0"/>
    <xf numFmtId="207" fontId="1" fillId="0" borderId="0"/>
    <xf numFmtId="208" fontId="9" fillId="0" borderId="0"/>
    <xf numFmtId="209" fontId="9" fillId="0" borderId="0"/>
    <xf numFmtId="0" fontId="55" fillId="0" borderId="0"/>
    <xf numFmtId="0" fontId="55" fillId="0" borderId="0"/>
    <xf numFmtId="0" fontId="55" fillId="0" borderId="0"/>
    <xf numFmtId="0" fontId="55" fillId="0" borderId="0"/>
    <xf numFmtId="0" fontId="9" fillId="0" borderId="0"/>
    <xf numFmtId="0" fontId="9" fillId="0" borderId="0"/>
    <xf numFmtId="0" fontId="1" fillId="0" borderId="0"/>
    <xf numFmtId="0" fontId="9" fillId="0" borderId="0"/>
    <xf numFmtId="0" fontId="9" fillId="0" borderId="0">
      <alignment wrapText="1"/>
    </xf>
    <xf numFmtId="0" fontId="9" fillId="0" borderId="0"/>
    <xf numFmtId="0" fontId="56" fillId="0" borderId="0"/>
    <xf numFmtId="0" fontId="9" fillId="0" borderId="0"/>
    <xf numFmtId="0" fontId="9" fillId="0" borderId="0"/>
    <xf numFmtId="37" fontId="57" fillId="0" borderId="0"/>
    <xf numFmtId="0" fontId="1" fillId="0" borderId="0"/>
    <xf numFmtId="0" fontId="1" fillId="0" borderId="0"/>
    <xf numFmtId="0" fontId="9" fillId="0" borderId="0">
      <alignment wrapText="1"/>
    </xf>
    <xf numFmtId="0" fontId="9" fillId="0" borderId="0"/>
    <xf numFmtId="37" fontId="57" fillId="0" borderId="0"/>
    <xf numFmtId="0" fontId="9" fillId="0" borderId="0"/>
    <xf numFmtId="37" fontId="57" fillId="0" borderId="0"/>
    <xf numFmtId="0" fontId="1" fillId="0" borderId="0"/>
    <xf numFmtId="0" fontId="37" fillId="0" borderId="0"/>
    <xf numFmtId="37" fontId="1" fillId="0" borderId="0"/>
    <xf numFmtId="0" fontId="1" fillId="0" borderId="0"/>
    <xf numFmtId="37" fontId="1" fillId="0" borderId="0"/>
    <xf numFmtId="0" fontId="9" fillId="0" borderId="0">
      <alignment wrapText="1"/>
    </xf>
    <xf numFmtId="37" fontId="58" fillId="0" borderId="0"/>
    <xf numFmtId="0" fontId="9" fillId="0" borderId="0"/>
    <xf numFmtId="37" fontId="9" fillId="0" borderId="0"/>
    <xf numFmtId="37" fontId="9" fillId="0" borderId="0"/>
    <xf numFmtId="210" fontId="9" fillId="0" borderId="0"/>
    <xf numFmtId="211" fontId="9" fillId="0" borderId="0"/>
    <xf numFmtId="39" fontId="9" fillId="0" borderId="0"/>
    <xf numFmtId="39" fontId="9" fillId="0" borderId="0"/>
    <xf numFmtId="212" fontId="9" fillId="0" borderId="0"/>
    <xf numFmtId="213" fontId="9" fillId="0" borderId="0"/>
    <xf numFmtId="214" fontId="9" fillId="0" borderId="0"/>
    <xf numFmtId="215" fontId="9" fillId="0" borderId="0"/>
    <xf numFmtId="216" fontId="9" fillId="0" borderId="0"/>
    <xf numFmtId="217" fontId="9" fillId="0" borderId="0"/>
    <xf numFmtId="218" fontId="9" fillId="0" borderId="0"/>
    <xf numFmtId="219" fontId="53" fillId="0" borderId="0"/>
    <xf numFmtId="220" fontId="42" fillId="0" borderId="0">
      <protection hidden="1"/>
    </xf>
    <xf numFmtId="187" fontId="9" fillId="0" borderId="0" applyFont="0" applyFill="0" applyBorder="0" applyAlignment="0" applyProtection="0"/>
    <xf numFmtId="188" fontId="9" fillId="0" borderId="0" applyFont="0" applyFill="0" applyBorder="0" applyAlignment="0" applyProtection="0"/>
    <xf numFmtId="208" fontId="9" fillId="0" borderId="0" applyFont="0" applyFill="0" applyBorder="0" applyAlignment="0" applyProtection="0"/>
    <xf numFmtId="209" fontId="9" fillId="0" borderId="0" applyFont="0" applyFill="0" applyBorder="0" applyAlignment="0" applyProtection="0"/>
    <xf numFmtId="10" fontId="9" fillId="0" borderId="0" applyFont="0" applyFill="0" applyBorder="0" applyAlignment="0" applyProtection="0"/>
    <xf numFmtId="9" fontId="59" fillId="0" borderId="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3" fillId="0" borderId="21" applyNumberFormat="0" applyBorder="0"/>
    <xf numFmtId="206" fontId="30" fillId="0" borderId="0"/>
    <xf numFmtId="0" fontId="60" fillId="11" borderId="22" applyNumberFormat="0" applyFont="0" applyFill="0" applyAlignment="0">
      <alignment horizontal="center" vertical="center"/>
    </xf>
    <xf numFmtId="180" fontId="61" fillId="0" borderId="0" applyFill="0" applyBorder="0" applyAlignment="0"/>
    <xf numFmtId="189" fontId="9" fillId="0" borderId="0" applyFill="0" applyBorder="0" applyAlignment="0"/>
    <xf numFmtId="182" fontId="9" fillId="0" borderId="0" applyFill="0" applyBorder="0" applyAlignment="0"/>
    <xf numFmtId="164" fontId="9" fillId="0" borderId="0" applyFill="0" applyBorder="0" applyAlignment="0"/>
    <xf numFmtId="180" fontId="61" fillId="0" borderId="0" applyFill="0" applyBorder="0" applyAlignment="0"/>
    <xf numFmtId="189" fontId="9" fillId="0" borderId="0" applyFill="0" applyBorder="0" applyAlignment="0"/>
    <xf numFmtId="190" fontId="9" fillId="0" borderId="0" applyFill="0" applyBorder="0" applyAlignment="0"/>
    <xf numFmtId="191" fontId="9" fillId="0" borderId="0" applyFill="0" applyBorder="0" applyAlignment="0"/>
    <xf numFmtId="182" fontId="9" fillId="0" borderId="0" applyFill="0" applyBorder="0" applyAlignment="0"/>
    <xf numFmtId="164" fontId="9" fillId="0" borderId="0" applyFill="0" applyBorder="0" applyAlignment="0"/>
    <xf numFmtId="37" fontId="57" fillId="0" borderId="23"/>
    <xf numFmtId="0" fontId="62" fillId="0" borderId="0"/>
    <xf numFmtId="0" fontId="36" fillId="0" borderId="0"/>
    <xf numFmtId="0" fontId="53" fillId="0" borderId="0"/>
    <xf numFmtId="37" fontId="63" fillId="0" borderId="19">
      <alignment horizontal="right"/>
      <protection locked="0"/>
    </xf>
    <xf numFmtId="37" fontId="64" fillId="0" borderId="19">
      <alignment horizontal="right"/>
      <protection locked="0"/>
    </xf>
    <xf numFmtId="49" fontId="34" fillId="0" borderId="0" applyFill="0" applyBorder="0" applyAlignment="0"/>
    <xf numFmtId="221" fontId="9" fillId="0" borderId="0" applyFill="0" applyBorder="0" applyAlignment="0"/>
    <xf numFmtId="222" fontId="9" fillId="0" borderId="0" applyFill="0" applyBorder="0" applyAlignment="0"/>
    <xf numFmtId="223" fontId="9" fillId="0" borderId="0" applyFill="0" applyBorder="0" applyAlignment="0"/>
    <xf numFmtId="224" fontId="9" fillId="0" borderId="0" applyFill="0" applyBorder="0" applyAlignment="0"/>
    <xf numFmtId="49" fontId="9" fillId="0" borderId="0"/>
    <xf numFmtId="0" fontId="65" fillId="0" borderId="0" applyFill="0" applyBorder="0" applyProtection="0">
      <alignment horizontal="left" vertical="top"/>
    </xf>
    <xf numFmtId="40" fontId="6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7" fontId="57" fillId="0" borderId="7"/>
    <xf numFmtId="37" fontId="57" fillId="0" borderId="24"/>
    <xf numFmtId="225" fontId="9" fillId="0" borderId="0" applyFont="0" applyFill="0" applyBorder="0" applyAlignment="0" applyProtection="0"/>
    <xf numFmtId="226" fontId="9" fillId="0" borderId="0" applyFont="0" applyFill="0" applyBorder="0" applyAlignment="0" applyProtection="0"/>
    <xf numFmtId="0" fontId="9" fillId="0" borderId="0"/>
    <xf numFmtId="0" fontId="9" fillId="0" borderId="0"/>
  </cellStyleXfs>
  <cellXfs count="404">
    <xf numFmtId="0" fontId="0" fillId="0" borderId="0" xfId="0"/>
    <xf numFmtId="164" fontId="0" fillId="0" borderId="0" xfId="1" applyNumberFormat="1" applyFont="1" applyAlignment="1">
      <alignment horizontal="right"/>
    </xf>
    <xf numFmtId="164" fontId="3" fillId="0" borderId="0" xfId="1" quotePrefix="1" applyNumberFormat="1" applyFont="1" applyBorder="1" applyAlignment="1">
      <alignment horizontal="right"/>
    </xf>
    <xf numFmtId="164" fontId="3" fillId="0" borderId="0" xfId="1" quotePrefix="1" applyNumberFormat="1" applyFont="1" applyFill="1" applyBorder="1" applyAlignment="1">
      <alignment horizontal="right"/>
    </xf>
    <xf numFmtId="165" fontId="0" fillId="0" borderId="5" xfId="1" applyNumberFormat="1" applyFont="1" applyBorder="1" applyAlignment="1">
      <alignment horizontal="right"/>
    </xf>
    <xf numFmtId="165" fontId="0" fillId="0" borderId="0" xfId="1" applyNumberFormat="1" applyFont="1" applyBorder="1" applyAlignment="1">
      <alignment horizontal="right"/>
    </xf>
    <xf numFmtId="0" fontId="0" fillId="0" borderId="0" xfId="0" applyAlignment="1">
      <alignment horizontal="right"/>
    </xf>
    <xf numFmtId="165" fontId="2" fillId="0" borderId="5" xfId="1" applyNumberFormat="1" applyFont="1" applyBorder="1" applyAlignment="1">
      <alignment horizontal="right"/>
    </xf>
    <xf numFmtId="165" fontId="2" fillId="0" borderId="0" xfId="1" applyNumberFormat="1" applyFont="1" applyBorder="1" applyAlignment="1">
      <alignment horizontal="right"/>
    </xf>
    <xf numFmtId="0" fontId="0" fillId="0" borderId="3" xfId="0" applyFont="1" applyBorder="1"/>
    <xf numFmtId="165" fontId="1" fillId="0" borderId="5" xfId="1" applyNumberFormat="1" applyFont="1" applyBorder="1" applyAlignment="1">
      <alignment horizontal="right"/>
    </xf>
    <xf numFmtId="165" fontId="1" fillId="0" borderId="0" xfId="1" applyNumberFormat="1" applyFont="1" applyBorder="1" applyAlignment="1">
      <alignment horizontal="right"/>
    </xf>
    <xf numFmtId="165" fontId="2" fillId="0" borderId="3" xfId="1" applyNumberFormat="1" applyFont="1" applyBorder="1" applyAlignment="1">
      <alignment horizontal="right"/>
    </xf>
    <xf numFmtId="165" fontId="2" fillId="0" borderId="4" xfId="1" applyNumberFormat="1" applyFont="1" applyBorder="1" applyAlignment="1">
      <alignment horizontal="right"/>
    </xf>
    <xf numFmtId="0" fontId="0" fillId="0" borderId="3" xfId="0" applyFont="1" applyFill="1" applyBorder="1"/>
    <xf numFmtId="43" fontId="2" fillId="0" borderId="0" xfId="1" applyNumberFormat="1" applyFont="1" applyFill="1" applyBorder="1" applyAlignment="1">
      <alignment horizontal="right"/>
    </xf>
    <xf numFmtId="165" fontId="6"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3" xfId="1" applyNumberFormat="1" applyFont="1" applyBorder="1" applyAlignment="1">
      <alignment horizontal="right"/>
    </xf>
    <xf numFmtId="9" fontId="6" fillId="0" borderId="0" xfId="2" applyFont="1" applyBorder="1" applyAlignment="1">
      <alignment horizontal="right"/>
    </xf>
    <xf numFmtId="165" fontId="7" fillId="0" borderId="0" xfId="1" applyNumberFormat="1" applyFont="1" applyBorder="1" applyAlignment="1">
      <alignment horizontal="right"/>
    </xf>
    <xf numFmtId="165" fontId="7" fillId="0" borderId="5" xfId="1" applyNumberFormat="1" applyFont="1" applyBorder="1" applyAlignment="1">
      <alignment horizontal="right"/>
    </xf>
    <xf numFmtId="9" fontId="0" fillId="0" borderId="0" xfId="2" applyFont="1" applyBorder="1" applyAlignment="1">
      <alignment horizontal="right"/>
    </xf>
    <xf numFmtId="0" fontId="8" fillId="0" borderId="3" xfId="0" applyFont="1" applyBorder="1"/>
    <xf numFmtId="165" fontId="2" fillId="0" borderId="8" xfId="1" applyNumberFormat="1" applyFont="1" applyBorder="1" applyAlignment="1">
      <alignment horizontal="right"/>
    </xf>
    <xf numFmtId="165" fontId="2" fillId="0" borderId="7" xfId="1" applyNumberFormat="1"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9" fontId="7" fillId="0" borderId="5" xfId="2" applyFont="1" applyBorder="1" applyAlignment="1">
      <alignment horizontal="right"/>
    </xf>
    <xf numFmtId="0" fontId="0" fillId="0" borderId="0" xfId="0" applyBorder="1" applyAlignment="1">
      <alignment vertical="top" wrapText="1"/>
    </xf>
    <xf numFmtId="165" fontId="0" fillId="0" borderId="3" xfId="1" applyNumberFormat="1" applyFont="1" applyBorder="1" applyAlignment="1">
      <alignment horizontal="right"/>
    </xf>
    <xf numFmtId="165" fontId="0" fillId="0" borderId="4" xfId="1" applyNumberFormat="1" applyFont="1" applyBorder="1" applyAlignment="1">
      <alignment horizontal="right"/>
    </xf>
    <xf numFmtId="165" fontId="1" fillId="0" borderId="4" xfId="1" applyNumberFormat="1" applyFont="1" applyBorder="1" applyAlignment="1">
      <alignment horizontal="right"/>
    </xf>
    <xf numFmtId="165" fontId="2" fillId="0" borderId="10" xfId="1" applyNumberFormat="1" applyFont="1" applyBorder="1" applyAlignment="1">
      <alignment horizontal="right"/>
    </xf>
    <xf numFmtId="9" fontId="0" fillId="0" borderId="4" xfId="2" applyFont="1" applyBorder="1" applyAlignment="1">
      <alignment horizontal="right"/>
    </xf>
    <xf numFmtId="164" fontId="0" fillId="0" borderId="0" xfId="1" applyNumberFormat="1" applyFont="1" applyFill="1" applyAlignment="1">
      <alignment horizontal="right"/>
    </xf>
    <xf numFmtId="165" fontId="10" fillId="0" borderId="0" xfId="1" applyNumberFormat="1" applyFont="1" applyBorder="1" applyAlignment="1">
      <alignment horizontal="right"/>
    </xf>
    <xf numFmtId="165" fontId="12" fillId="0" borderId="0" xfId="1" applyNumberFormat="1" applyFont="1" applyBorder="1" applyAlignment="1">
      <alignment horizontal="right"/>
    </xf>
    <xf numFmtId="165" fontId="12" fillId="0" borderId="0" xfId="1" applyNumberFormat="1" applyFont="1" applyFill="1" applyBorder="1" applyAlignment="1">
      <alignment horizontal="right"/>
    </xf>
    <xf numFmtId="165" fontId="10" fillId="0" borderId="0" xfId="1" applyNumberFormat="1" applyFont="1" applyFill="1" applyBorder="1" applyAlignment="1">
      <alignment horizontal="right"/>
    </xf>
    <xf numFmtId="164" fontId="3" fillId="0" borderId="5" xfId="1" quotePrefix="1" applyNumberFormat="1" applyFont="1" applyBorder="1" applyAlignment="1">
      <alignment horizontal="right"/>
    </xf>
    <xf numFmtId="164" fontId="3" fillId="0" borderId="5" xfId="1" quotePrefix="1" applyNumberFormat="1" applyFont="1" applyFill="1" applyBorder="1" applyAlignment="1">
      <alignment horizontal="right"/>
    </xf>
    <xf numFmtId="164" fontId="1" fillId="0" borderId="0" xfId="1" quotePrefix="1" applyNumberFormat="1" applyFont="1" applyBorder="1" applyAlignment="1">
      <alignment horizontal="right"/>
    </xf>
    <xf numFmtId="9" fontId="1" fillId="0" borderId="5" xfId="2" applyFont="1" applyBorder="1" applyAlignment="1">
      <alignment horizontal="right"/>
    </xf>
    <xf numFmtId="164" fontId="1" fillId="0" borderId="5" xfId="1" quotePrefix="1" applyNumberFormat="1" applyFont="1" applyBorder="1" applyAlignment="1">
      <alignment horizontal="right"/>
    </xf>
    <xf numFmtId="164" fontId="1" fillId="0" borderId="5" xfId="1" quotePrefix="1" applyNumberFormat="1" applyFont="1" applyFill="1" applyBorder="1" applyAlignment="1">
      <alignment horizontal="right"/>
    </xf>
    <xf numFmtId="43" fontId="1" fillId="0" borderId="0" xfId="1" quotePrefix="1" applyNumberFormat="1" applyFont="1" applyBorder="1" applyAlignment="1">
      <alignment horizontal="right"/>
    </xf>
    <xf numFmtId="0" fontId="0" fillId="0" borderId="0" xfId="0" applyFont="1"/>
    <xf numFmtId="43" fontId="0" fillId="0" borderId="0" xfId="1" quotePrefix="1" applyNumberFormat="1" applyFont="1" applyBorder="1" applyAlignment="1">
      <alignment horizontal="right"/>
    </xf>
    <xf numFmtId="9" fontId="1" fillId="0" borderId="7" xfId="2" applyFont="1" applyBorder="1" applyAlignment="1">
      <alignment horizontal="right"/>
    </xf>
    <xf numFmtId="165" fontId="1" fillId="0" borderId="7" xfId="1" applyNumberFormat="1" applyFont="1" applyBorder="1" applyAlignment="1">
      <alignment horizontal="right"/>
    </xf>
    <xf numFmtId="165" fontId="10" fillId="0" borderId="7" xfId="1" applyNumberFormat="1" applyFont="1" applyBorder="1" applyAlignment="1">
      <alignment horizontal="right"/>
    </xf>
    <xf numFmtId="9" fontId="7" fillId="0" borderId="10" xfId="2" applyFont="1" applyBorder="1" applyAlignment="1">
      <alignment horizontal="right"/>
    </xf>
    <xf numFmtId="164" fontId="2" fillId="0" borderId="5" xfId="1" quotePrefix="1" applyNumberFormat="1" applyFont="1" applyBorder="1" applyAlignment="1">
      <alignment horizontal="right"/>
    </xf>
    <xf numFmtId="165" fontId="0" fillId="0" borderId="3" xfId="1" applyNumberFormat="1" applyFont="1" applyFill="1" applyBorder="1" applyAlignment="1">
      <alignment horizontal="right"/>
    </xf>
    <xf numFmtId="165" fontId="0" fillId="0" borderId="0" xfId="1" applyNumberFormat="1" applyFont="1" applyFill="1" applyBorder="1" applyAlignment="1">
      <alignment horizontal="right"/>
    </xf>
    <xf numFmtId="164" fontId="3" fillId="0" borderId="2" xfId="1" quotePrefix="1" applyNumberFormat="1" applyFont="1" applyFill="1" applyBorder="1" applyAlignment="1">
      <alignment horizontal="right"/>
    </xf>
    <xf numFmtId="43" fontId="0" fillId="0" borderId="0" xfId="1" applyFont="1"/>
    <xf numFmtId="43" fontId="0" fillId="0" borderId="0" xfId="1" applyFont="1" applyAlignment="1">
      <alignment horizontal="right"/>
    </xf>
    <xf numFmtId="0" fontId="0" fillId="0" borderId="0" xfId="0" applyFont="1" applyFill="1"/>
    <xf numFmtId="9" fontId="1" fillId="0" borderId="8" xfId="2" applyFont="1" applyBorder="1" applyAlignment="1">
      <alignment horizontal="right"/>
    </xf>
    <xf numFmtId="9" fontId="7" fillId="0" borderId="8" xfId="2" applyFont="1" applyBorder="1" applyAlignment="1">
      <alignment horizontal="right"/>
    </xf>
    <xf numFmtId="166" fontId="2" fillId="0" borderId="0" xfId="2" quotePrefix="1" applyNumberFormat="1" applyFont="1" applyBorder="1" applyAlignment="1">
      <alignment horizontal="right"/>
    </xf>
    <xf numFmtId="164" fontId="3" fillId="0" borderId="8" xfId="1" quotePrefix="1" applyNumberFormat="1" applyFont="1" applyBorder="1" applyAlignment="1">
      <alignment horizontal="right"/>
    </xf>
    <xf numFmtId="164" fontId="3" fillId="0" borderId="7" xfId="1" quotePrefix="1" applyNumberFormat="1" applyFont="1" applyBorder="1" applyAlignment="1">
      <alignment horizontal="right"/>
    </xf>
    <xf numFmtId="164" fontId="3" fillId="0" borderId="8" xfId="1" quotePrefix="1" applyNumberFormat="1" applyFont="1" applyFill="1" applyBorder="1" applyAlignment="1">
      <alignment horizontal="right"/>
    </xf>
    <xf numFmtId="166" fontId="2" fillId="0" borderId="5" xfId="2" quotePrefix="1" applyNumberFormat="1" applyFont="1" applyBorder="1" applyAlignment="1">
      <alignment horizontal="right"/>
    </xf>
    <xf numFmtId="166" fontId="2" fillId="2" borderId="0" xfId="2" quotePrefix="1" applyNumberFormat="1" applyFont="1" applyFill="1" applyBorder="1" applyAlignment="1">
      <alignment horizontal="right"/>
    </xf>
    <xf numFmtId="164" fontId="2" fillId="0" borderId="0" xfId="1" quotePrefix="1" applyNumberFormat="1" applyFont="1" applyFill="1" applyBorder="1" applyAlignment="1">
      <alignment horizontal="right"/>
    </xf>
    <xf numFmtId="0" fontId="2" fillId="0" borderId="3" xfId="0" applyFont="1" applyFill="1" applyBorder="1"/>
    <xf numFmtId="167" fontId="0" fillId="0" borderId="0" xfId="2" applyNumberFormat="1" applyFont="1" applyBorder="1" applyAlignment="1">
      <alignment horizontal="right"/>
    </xf>
    <xf numFmtId="167" fontId="0" fillId="0" borderId="0" xfId="1" applyNumberFormat="1" applyFont="1" applyBorder="1" applyAlignment="1">
      <alignment horizontal="right"/>
    </xf>
    <xf numFmtId="7" fontId="2" fillId="0" borderId="0" xfId="1" applyNumberFormat="1" applyFont="1" applyBorder="1" applyAlignment="1">
      <alignment horizontal="right"/>
    </xf>
    <xf numFmtId="164" fontId="0" fillId="0" borderId="4" xfId="1" applyNumberFormat="1" applyFont="1" applyBorder="1" applyAlignment="1">
      <alignment horizontal="right"/>
    </xf>
    <xf numFmtId="164" fontId="0" fillId="0" borderId="0" xfId="1" applyNumberFormat="1" applyFont="1" applyAlignment="1">
      <alignment horizontal="left"/>
    </xf>
    <xf numFmtId="165" fontId="0" fillId="0" borderId="0" xfId="1" applyNumberFormat="1" applyFont="1"/>
    <xf numFmtId="165" fontId="0" fillId="0" borderId="0" xfId="1" applyNumberFormat="1" applyFont="1" applyAlignment="1">
      <alignment horizontal="right"/>
    </xf>
    <xf numFmtId="164" fontId="2" fillId="0" borderId="5" xfId="1" quotePrefix="1" applyNumberFormat="1" applyFont="1" applyFill="1" applyBorder="1" applyAlignment="1">
      <alignment horizontal="right"/>
    </xf>
    <xf numFmtId="166" fontId="2" fillId="0" borderId="0" xfId="2" quotePrefix="1" applyNumberFormat="1" applyFont="1" applyFill="1" applyBorder="1" applyAlignment="1">
      <alignment horizontal="right"/>
    </xf>
    <xf numFmtId="166" fontId="2" fillId="0" borderId="5" xfId="2" quotePrefix="1" applyNumberFormat="1" applyFont="1" applyFill="1" applyBorder="1" applyAlignment="1">
      <alignment horizontal="right"/>
    </xf>
    <xf numFmtId="0" fontId="0" fillId="0" borderId="0" xfId="0" applyFill="1"/>
    <xf numFmtId="43" fontId="0" fillId="0" borderId="4" xfId="1" applyNumberFormat="1" applyFont="1" applyBorder="1" applyAlignment="1">
      <alignment horizontal="right"/>
    </xf>
    <xf numFmtId="166" fontId="0" fillId="0" borderId="4" xfId="2" applyNumberFormat="1" applyFont="1" applyBorder="1" applyAlignment="1">
      <alignment horizontal="right"/>
    </xf>
    <xf numFmtId="166" fontId="2" fillId="0" borderId="4" xfId="2" applyNumberFormat="1" applyFont="1" applyBorder="1" applyAlignment="1">
      <alignment horizontal="right"/>
    </xf>
    <xf numFmtId="43" fontId="0" fillId="0" borderId="0" xfId="1" applyFont="1" applyFill="1"/>
    <xf numFmtId="165" fontId="0" fillId="0" borderId="0" xfId="0" applyNumberFormat="1" applyFill="1"/>
    <xf numFmtId="43" fontId="0" fillId="0" borderId="0" xfId="1" applyFont="1" applyFill="1" applyAlignment="1">
      <alignment horizontal="right"/>
    </xf>
    <xf numFmtId="165" fontId="14" fillId="0" borderId="5" xfId="1" applyNumberFormat="1" applyFont="1" applyBorder="1" applyAlignment="1">
      <alignment horizontal="right"/>
    </xf>
    <xf numFmtId="165" fontId="14" fillId="0" borderId="0" xfId="1" applyNumberFormat="1" applyFont="1" applyBorder="1" applyAlignment="1">
      <alignment horizontal="right"/>
    </xf>
    <xf numFmtId="165" fontId="14" fillId="0" borderId="4" xfId="1" applyNumberFormat="1" applyFont="1" applyBorder="1" applyAlignment="1">
      <alignment horizontal="right"/>
    </xf>
    <xf numFmtId="0" fontId="2" fillId="0" borderId="0" xfId="0" applyFont="1"/>
    <xf numFmtId="165" fontId="2" fillId="0" borderId="0" xfId="1" applyNumberFormat="1" applyFont="1" applyFill="1" applyBorder="1" applyAlignment="1">
      <alignment horizontal="right"/>
    </xf>
    <xf numFmtId="165" fontId="2" fillId="0" borderId="7" xfId="1" applyNumberFormat="1" applyFont="1" applyFill="1" applyBorder="1" applyAlignment="1">
      <alignment horizontal="right"/>
    </xf>
    <xf numFmtId="165" fontId="1" fillId="0" borderId="0" xfId="1" applyNumberFormat="1" applyFont="1"/>
    <xf numFmtId="165" fontId="2" fillId="0" borderId="3" xfId="1" applyNumberFormat="1" applyFont="1" applyFill="1" applyBorder="1" applyAlignment="1">
      <alignment horizontal="right"/>
    </xf>
    <xf numFmtId="165" fontId="2" fillId="0" borderId="6" xfId="1" applyNumberFormat="1" applyFont="1" applyFill="1" applyBorder="1" applyAlignment="1">
      <alignment horizontal="right"/>
    </xf>
    <xf numFmtId="166" fontId="0" fillId="0" borderId="0" xfId="2" quotePrefix="1" applyNumberFormat="1" applyFont="1" applyBorder="1" applyAlignment="1">
      <alignment horizontal="right"/>
    </xf>
    <xf numFmtId="166" fontId="0" fillId="0" borderId="5" xfId="2" quotePrefix="1" applyNumberFormat="1" applyFont="1" applyFill="1" applyBorder="1" applyAlignment="1">
      <alignment horizontal="right"/>
    </xf>
    <xf numFmtId="166" fontId="0" fillId="0" borderId="0" xfId="2" applyNumberFormat="1" applyFont="1"/>
    <xf numFmtId="164" fontId="14" fillId="0" borderId="0" xfId="1" applyNumberFormat="1" applyFont="1" applyAlignment="1">
      <alignment horizontal="right"/>
    </xf>
    <xf numFmtId="166" fontId="0" fillId="2" borderId="0" xfId="2" quotePrefix="1" applyNumberFormat="1" applyFont="1" applyFill="1" applyBorder="1" applyAlignment="1">
      <alignment horizontal="right"/>
    </xf>
    <xf numFmtId="164" fontId="1" fillId="2" borderId="0" xfId="1" quotePrefix="1" applyNumberFormat="1" applyFont="1" applyFill="1" applyBorder="1" applyAlignment="1">
      <alignment horizontal="right"/>
    </xf>
    <xf numFmtId="0" fontId="14" fillId="0" borderId="0" xfId="0" applyFont="1"/>
    <xf numFmtId="165" fontId="0" fillId="0" borderId="4" xfId="1" applyNumberFormat="1" applyFont="1" applyFill="1" applyBorder="1" applyAlignment="1">
      <alignment horizontal="right"/>
    </xf>
    <xf numFmtId="165" fontId="0" fillId="0" borderId="5" xfId="1" applyNumberFormat="1" applyFont="1" applyFill="1" applyBorder="1" applyAlignment="1">
      <alignment horizontal="right"/>
    </xf>
    <xf numFmtId="165" fontId="2" fillId="0" borderId="5" xfId="1" applyNumberFormat="1" applyFont="1" applyFill="1" applyBorder="1" applyAlignment="1">
      <alignment horizontal="right"/>
    </xf>
    <xf numFmtId="0" fontId="0" fillId="0" borderId="0" xfId="0" applyAlignment="1">
      <alignment horizontal="left"/>
    </xf>
    <xf numFmtId="0" fontId="0" fillId="0" borderId="0" xfId="0" applyFont="1"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applyFont="1" applyBorder="1"/>
    <xf numFmtId="0" fontId="0" fillId="0" borderId="0" xfId="0" applyFont="1" applyBorder="1" applyAlignment="1">
      <alignment horizontal="left"/>
    </xf>
    <xf numFmtId="0" fontId="0" fillId="0" borderId="0" xfId="0" applyBorder="1" applyAlignment="1">
      <alignment horizontal="left"/>
    </xf>
    <xf numFmtId="165" fontId="1" fillId="0" borderId="2" xfId="1" applyNumberFormat="1" applyFont="1" applyBorder="1" applyAlignment="1">
      <alignment horizontal="right"/>
    </xf>
    <xf numFmtId="165" fontId="1" fillId="0" borderId="3" xfId="1" applyNumberFormat="1" applyFont="1" applyFill="1" applyBorder="1" applyAlignment="1">
      <alignment horizontal="right"/>
    </xf>
    <xf numFmtId="165" fontId="1" fillId="0" borderId="0" xfId="1" applyNumberFormat="1" applyFont="1" applyFill="1" applyBorder="1" applyAlignment="1">
      <alignment horizontal="right"/>
    </xf>
    <xf numFmtId="43" fontId="2" fillId="0" borderId="3" xfId="1" applyNumberFormat="1" applyFont="1" applyFill="1" applyBorder="1" applyAlignment="1">
      <alignment horizontal="right"/>
    </xf>
    <xf numFmtId="43" fontId="2" fillId="0" borderId="4" xfId="1" applyNumberFormat="1" applyFont="1" applyFill="1" applyBorder="1" applyAlignment="1">
      <alignment horizontal="right"/>
    </xf>
    <xf numFmtId="43" fontId="2" fillId="0" borderId="5" xfId="1" applyNumberFormat="1" applyFont="1" applyFill="1" applyBorder="1" applyAlignment="1">
      <alignment horizontal="right"/>
    </xf>
    <xf numFmtId="9" fontId="0" fillId="0" borderId="4" xfId="2" applyNumberFormat="1" applyFont="1" applyBorder="1" applyAlignment="1">
      <alignment horizontal="right"/>
    </xf>
    <xf numFmtId="0" fontId="0" fillId="0" borderId="3" xfId="0" applyFont="1" applyFill="1" applyBorder="1" applyAlignment="1">
      <alignment horizontal="left"/>
    </xf>
    <xf numFmtId="0" fontId="0" fillId="0" borderId="0" xfId="0" applyFont="1" applyFill="1" applyBorder="1" applyAlignment="1">
      <alignment horizontal="left"/>
    </xf>
    <xf numFmtId="9" fontId="2" fillId="0" borderId="5" xfId="2" quotePrefix="1" applyFont="1" applyFill="1" applyBorder="1" applyAlignment="1">
      <alignment horizontal="right"/>
    </xf>
    <xf numFmtId="165" fontId="10" fillId="2" borderId="0" xfId="1" applyNumberFormat="1" applyFont="1" applyFill="1" applyBorder="1" applyAlignment="1">
      <alignment horizontal="right"/>
    </xf>
    <xf numFmtId="5" fontId="1" fillId="0" borderId="4" xfId="1" applyNumberFormat="1" applyFont="1" applyBorder="1" applyAlignment="1">
      <alignment horizontal="right"/>
    </xf>
    <xf numFmtId="0" fontId="0" fillId="0" borderId="0" xfId="0"/>
    <xf numFmtId="0" fontId="0" fillId="0" borderId="3" xfId="0" applyFont="1" applyFill="1" applyBorder="1"/>
    <xf numFmtId="164" fontId="3" fillId="0" borderId="7" xfId="1" quotePrefix="1" applyNumberFormat="1" applyFont="1" applyFill="1" applyBorder="1" applyAlignment="1">
      <alignment horizontal="right"/>
    </xf>
    <xf numFmtId="164" fontId="1" fillId="0" borderId="0" xfId="1" quotePrefix="1" applyNumberFormat="1" applyFont="1" applyFill="1" applyBorder="1" applyAlignment="1">
      <alignment horizontal="right"/>
    </xf>
    <xf numFmtId="165" fontId="10" fillId="0" borderId="7" xfId="1" applyNumberFormat="1" applyFont="1" applyFill="1" applyBorder="1" applyAlignment="1">
      <alignment horizontal="right"/>
    </xf>
    <xf numFmtId="165" fontId="1" fillId="0" borderId="2" xfId="1" applyNumberFormat="1" applyFont="1" applyFill="1" applyBorder="1" applyAlignment="1">
      <alignment horizontal="right"/>
    </xf>
    <xf numFmtId="164" fontId="17" fillId="4" borderId="2" xfId="1" quotePrefix="1" applyNumberFormat="1" applyFont="1" applyFill="1" applyBorder="1" applyAlignment="1">
      <alignment horizontal="right"/>
    </xf>
    <xf numFmtId="164" fontId="19" fillId="4" borderId="0" xfId="1" quotePrefix="1" applyNumberFormat="1" applyFont="1" applyFill="1" applyBorder="1" applyAlignment="1">
      <alignment horizontal="right"/>
    </xf>
    <xf numFmtId="166" fontId="0" fillId="0" borderId="0" xfId="2" quotePrefix="1" applyNumberFormat="1" applyFont="1" applyFill="1" applyBorder="1" applyAlignment="1">
      <alignment horizontal="right"/>
    </xf>
    <xf numFmtId="0" fontId="19" fillId="4" borderId="0" xfId="1" quotePrefix="1" applyNumberFormat="1" applyFont="1" applyFill="1" applyBorder="1" applyAlignment="1">
      <alignment horizontal="right"/>
    </xf>
    <xf numFmtId="0" fontId="0" fillId="0" borderId="0" xfId="0" applyFont="1" applyFill="1" applyBorder="1" applyAlignment="1">
      <alignment horizontal="left"/>
    </xf>
    <xf numFmtId="0" fontId="0" fillId="0" borderId="0" xfId="0" applyFont="1" applyBorder="1" applyAlignment="1">
      <alignment horizontal="left"/>
    </xf>
    <xf numFmtId="165" fontId="4" fillId="0" borderId="3"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14" fillId="0" borderId="3" xfId="1" applyNumberFormat="1" applyFont="1" applyFill="1" applyBorder="1" applyAlignment="1">
      <alignment horizontal="right"/>
    </xf>
    <xf numFmtId="164" fontId="12" fillId="5" borderId="2" xfId="1" quotePrefix="1" applyNumberFormat="1" applyFont="1" applyFill="1" applyBorder="1" applyAlignment="1">
      <alignment horizontal="right"/>
    </xf>
    <xf numFmtId="164" fontId="20" fillId="5" borderId="0" xfId="1" quotePrefix="1" applyNumberFormat="1" applyFont="1" applyFill="1" applyBorder="1" applyAlignment="1">
      <alignment horizontal="right"/>
    </xf>
    <xf numFmtId="0" fontId="20" fillId="5" borderId="0" xfId="1" quotePrefix="1" applyNumberFormat="1" applyFont="1" applyFill="1" applyBorder="1" applyAlignment="1">
      <alignment horizontal="right"/>
    </xf>
    <xf numFmtId="165" fontId="7" fillId="0" borderId="0" xfId="1" applyNumberFormat="1" applyFont="1" applyFill="1" applyBorder="1" applyAlignment="1">
      <alignment horizontal="right"/>
    </xf>
    <xf numFmtId="165" fontId="0" fillId="0" borderId="0" xfId="1" applyNumberFormat="1" applyFont="1" applyAlignment="1">
      <alignment horizontal="left"/>
    </xf>
    <xf numFmtId="165" fontId="2" fillId="0" borderId="0" xfId="1" applyNumberFormat="1" applyFont="1" applyFill="1" applyBorder="1" applyAlignment="1">
      <alignment horizontal="left"/>
    </xf>
    <xf numFmtId="165" fontId="13" fillId="0" borderId="9" xfId="1" applyNumberFormat="1" applyFont="1" applyFill="1" applyBorder="1" applyAlignment="1">
      <alignment horizontal="right"/>
    </xf>
    <xf numFmtId="165" fontId="4" fillId="0" borderId="5" xfId="1" applyNumberFormat="1" applyFont="1" applyBorder="1" applyAlignment="1">
      <alignment horizontal="right"/>
    </xf>
    <xf numFmtId="9" fontId="1" fillId="0" borderId="0" xfId="2" applyFont="1" applyBorder="1" applyAlignment="1">
      <alignment horizontal="right"/>
    </xf>
    <xf numFmtId="9" fontId="2" fillId="0" borderId="2" xfId="2" quotePrefix="1" applyFont="1" applyFill="1" applyBorder="1" applyAlignment="1">
      <alignment horizontal="righ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43" fontId="2" fillId="0" borderId="7" xfId="1" applyNumberFormat="1" applyFont="1" applyFill="1" applyBorder="1" applyAlignment="1">
      <alignment horizontal="right"/>
    </xf>
    <xf numFmtId="166" fontId="2" fillId="0" borderId="7" xfId="2" applyNumberFormat="1" applyFont="1" applyFill="1" applyBorder="1" applyAlignment="1">
      <alignment horizontal="right"/>
    </xf>
    <xf numFmtId="164" fontId="12" fillId="5" borderId="11" xfId="1" quotePrefix="1" applyNumberFormat="1" applyFont="1" applyFill="1" applyBorder="1" applyAlignment="1">
      <alignment horizontal="right"/>
    </xf>
    <xf numFmtId="0" fontId="20" fillId="5" borderId="4" xfId="1" quotePrefix="1" applyNumberFormat="1" applyFont="1" applyFill="1" applyBorder="1" applyAlignment="1">
      <alignment horizontal="right"/>
    </xf>
    <xf numFmtId="43" fontId="2" fillId="0" borderId="8" xfId="1" applyNumberFormat="1" applyFont="1" applyFill="1" applyBorder="1" applyAlignment="1">
      <alignment horizontal="right"/>
    </xf>
    <xf numFmtId="43" fontId="12" fillId="0" borderId="7" xfId="1" applyNumberFormat="1" applyFont="1" applyFill="1" applyBorder="1" applyAlignment="1">
      <alignment horizontal="right"/>
    </xf>
    <xf numFmtId="166" fontId="1" fillId="0" borderId="5" xfId="2" quotePrefix="1" applyNumberFormat="1" applyFont="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166" fontId="1" fillId="0" borderId="5" xfId="2" quotePrefix="1" applyNumberFormat="1" applyFont="1" applyFill="1" applyBorder="1" applyAlignment="1">
      <alignment horizontal="right"/>
    </xf>
    <xf numFmtId="164" fontId="0" fillId="2" borderId="0" xfId="1" quotePrefix="1" applyNumberFormat="1" applyFont="1" applyFill="1" applyBorder="1" applyAlignment="1">
      <alignment horizontal="right"/>
    </xf>
    <xf numFmtId="164" fontId="0" fillId="0" borderId="0" xfId="1" quotePrefix="1" applyNumberFormat="1" applyFont="1" applyBorder="1" applyAlignment="1">
      <alignment horizontal="right"/>
    </xf>
    <xf numFmtId="164" fontId="0" fillId="0" borderId="0" xfId="1" quotePrefix="1" applyNumberFormat="1" applyFont="1" applyFill="1" applyBorder="1" applyAlignment="1">
      <alignment horizontal="right"/>
    </xf>
    <xf numFmtId="164" fontId="0" fillId="0" borderId="3" xfId="1" applyNumberFormat="1" applyFont="1" applyFill="1" applyBorder="1" applyAlignment="1">
      <alignment horizontal="right"/>
    </xf>
    <xf numFmtId="164" fontId="0" fillId="0" borderId="0" xfId="1" applyNumberFormat="1" applyFont="1" applyFill="1" applyBorder="1" applyAlignment="1">
      <alignment horizontal="right"/>
    </xf>
    <xf numFmtId="164" fontId="0" fillId="0" borderId="4" xfId="1" applyNumberFormat="1" applyFont="1" applyFill="1" applyBorder="1" applyAlignment="1">
      <alignment horizontal="right"/>
    </xf>
    <xf numFmtId="164" fontId="0" fillId="0" borderId="5" xfId="1" applyNumberFormat="1" applyFont="1" applyFill="1" applyBorder="1" applyAlignment="1">
      <alignment horizontal="right"/>
    </xf>
    <xf numFmtId="164" fontId="4" fillId="0" borderId="3" xfId="1" applyNumberFormat="1" applyFont="1" applyFill="1" applyBorder="1" applyAlignment="1">
      <alignment horizontal="right"/>
    </xf>
    <xf numFmtId="164" fontId="4" fillId="0" borderId="0" xfId="1" applyNumberFormat="1" applyFont="1" applyFill="1" applyBorder="1" applyAlignment="1">
      <alignment horizontal="right"/>
    </xf>
    <xf numFmtId="164" fontId="4" fillId="0" borderId="4" xfId="1" applyNumberFormat="1" applyFont="1" applyFill="1" applyBorder="1" applyAlignment="1">
      <alignment horizontal="right"/>
    </xf>
    <xf numFmtId="164" fontId="4" fillId="0" borderId="5" xfId="1" applyNumberFormat="1" applyFont="1" applyFill="1" applyBorder="1" applyAlignment="1">
      <alignment horizontal="right"/>
    </xf>
    <xf numFmtId="164" fontId="2" fillId="0" borderId="3" xfId="1" applyNumberFormat="1" applyFont="1" applyFill="1" applyBorder="1" applyAlignment="1">
      <alignment horizontal="right"/>
    </xf>
    <xf numFmtId="164" fontId="2" fillId="0" borderId="0" xfId="1" applyNumberFormat="1" applyFont="1" applyFill="1" applyBorder="1" applyAlignment="1">
      <alignment horizontal="right"/>
    </xf>
    <xf numFmtId="164" fontId="2" fillId="0" borderId="4" xfId="1" applyNumberFormat="1" applyFont="1" applyFill="1" applyBorder="1" applyAlignment="1">
      <alignment horizontal="right"/>
    </xf>
    <xf numFmtId="164" fontId="2" fillId="0" borderId="5" xfId="1" applyNumberFormat="1" applyFont="1" applyFill="1" applyBorder="1" applyAlignment="1">
      <alignment horizontal="right"/>
    </xf>
    <xf numFmtId="164" fontId="1" fillId="0" borderId="3" xfId="1" applyNumberFormat="1" applyFont="1" applyFill="1" applyBorder="1" applyAlignment="1">
      <alignment horizontal="right"/>
    </xf>
    <xf numFmtId="164" fontId="1" fillId="0" borderId="0" xfId="1" applyNumberFormat="1" applyFont="1" applyFill="1" applyBorder="1" applyAlignment="1">
      <alignment horizontal="right"/>
    </xf>
    <xf numFmtId="164" fontId="1" fillId="0" borderId="4" xfId="1" applyNumberFormat="1" applyFont="1" applyFill="1" applyBorder="1" applyAlignment="1">
      <alignment horizontal="right"/>
    </xf>
    <xf numFmtId="164" fontId="1" fillId="0" borderId="5" xfId="1" applyNumberFormat="1" applyFont="1" applyFill="1" applyBorder="1" applyAlignment="1">
      <alignment horizontal="right"/>
    </xf>
    <xf numFmtId="43" fontId="2" fillId="0" borderId="2" xfId="1" applyNumberFormat="1" applyFont="1" applyFill="1" applyBorder="1" applyAlignment="1">
      <alignment horizontal="right"/>
    </xf>
    <xf numFmtId="164" fontId="0" fillId="0" borderId="3" xfId="1" applyNumberFormat="1" applyFont="1" applyBorder="1" applyAlignment="1">
      <alignment horizontal="right"/>
    </xf>
    <xf numFmtId="164" fontId="0" fillId="0" borderId="5" xfId="1" applyNumberFormat="1" applyFont="1" applyBorder="1" applyAlignment="1">
      <alignment horizontal="right"/>
    </xf>
    <xf numFmtId="164" fontId="2" fillId="0" borderId="0" xfId="1" applyNumberFormat="1" applyFont="1" applyBorder="1" applyAlignment="1">
      <alignment horizontal="right"/>
    </xf>
    <xf numFmtId="164" fontId="2" fillId="0" borderId="4" xfId="1" applyNumberFormat="1" applyFont="1" applyBorder="1" applyAlignment="1">
      <alignment horizontal="right"/>
    </xf>
    <xf numFmtId="164" fontId="2" fillId="0" borderId="5" xfId="1" applyNumberFormat="1" applyFont="1" applyBorder="1" applyAlignment="1">
      <alignment horizontal="right"/>
    </xf>
    <xf numFmtId="164" fontId="2" fillId="0" borderId="3" xfId="1" applyNumberFormat="1" applyFont="1" applyBorder="1" applyAlignment="1">
      <alignment horizontal="right"/>
    </xf>
    <xf numFmtId="164" fontId="1" fillId="0" borderId="0" xfId="1" applyNumberFormat="1" applyFont="1" applyBorder="1" applyAlignment="1">
      <alignment horizontal="right"/>
    </xf>
    <xf numFmtId="164" fontId="1" fillId="0" borderId="4" xfId="1" applyNumberFormat="1" applyFont="1" applyBorder="1" applyAlignment="1">
      <alignment horizontal="right"/>
    </xf>
    <xf numFmtId="164" fontId="1" fillId="0" borderId="5" xfId="1" applyNumberFormat="1" applyFont="1" applyBorder="1" applyAlignment="1">
      <alignment horizontal="right"/>
    </xf>
    <xf numFmtId="164" fontId="1" fillId="0" borderId="3" xfId="1" applyNumberFormat="1" applyFont="1" applyBorder="1" applyAlignment="1">
      <alignment horizontal="right"/>
    </xf>
    <xf numFmtId="164" fontId="1" fillId="0" borderId="7" xfId="1" applyNumberFormat="1" applyFont="1" applyFill="1" applyBorder="1" applyAlignment="1">
      <alignment horizontal="right"/>
    </xf>
    <xf numFmtId="164" fontId="1" fillId="0" borderId="7" xfId="1" applyNumberFormat="1" applyFont="1" applyBorder="1" applyAlignment="1">
      <alignment horizontal="right"/>
    </xf>
    <xf numFmtId="164" fontId="1" fillId="0" borderId="8" xfId="1" applyNumberFormat="1" applyFont="1" applyBorder="1" applyAlignment="1">
      <alignment horizontal="right"/>
    </xf>
    <xf numFmtId="165" fontId="10" fillId="0" borderId="6" xfId="1" applyNumberFormat="1" applyFont="1" applyBorder="1" applyAlignment="1">
      <alignment horizontal="right"/>
    </xf>
    <xf numFmtId="165" fontId="10" fillId="0" borderId="10" xfId="1" applyNumberFormat="1" applyFont="1" applyBorder="1" applyAlignment="1">
      <alignment horizontal="right"/>
    </xf>
    <xf numFmtId="164" fontId="10" fillId="0" borderId="0" xfId="1" applyNumberFormat="1" applyFont="1" applyFill="1" applyBorder="1" applyAlignment="1">
      <alignment horizontal="right"/>
    </xf>
    <xf numFmtId="164" fontId="11" fillId="0" borderId="0" xfId="1" applyNumberFormat="1" applyFont="1" applyFill="1" applyBorder="1" applyAlignment="1">
      <alignment horizontal="right"/>
    </xf>
    <xf numFmtId="164" fontId="12" fillId="0" borderId="0" xfId="1" applyNumberFormat="1" applyFont="1" applyFill="1" applyBorder="1" applyAlignment="1">
      <alignment horizontal="right"/>
    </xf>
    <xf numFmtId="164" fontId="10" fillId="0" borderId="4" xfId="1" applyNumberFormat="1" applyFont="1" applyFill="1" applyBorder="1" applyAlignment="1">
      <alignment horizontal="right"/>
    </xf>
    <xf numFmtId="164" fontId="10" fillId="0" borderId="3" xfId="1" applyNumberFormat="1" applyFont="1" applyFill="1" applyBorder="1" applyAlignment="1">
      <alignment horizontal="right"/>
    </xf>
    <xf numFmtId="164" fontId="11" fillId="0" borderId="4" xfId="1" applyNumberFormat="1" applyFont="1" applyFill="1" applyBorder="1" applyAlignment="1">
      <alignment horizontal="right"/>
    </xf>
    <xf numFmtId="164" fontId="11" fillId="0" borderId="3" xfId="1" applyNumberFormat="1" applyFont="1" applyFill="1" applyBorder="1" applyAlignment="1">
      <alignment horizontal="right"/>
    </xf>
    <xf numFmtId="166" fontId="3" fillId="0" borderId="5" xfId="2" quotePrefix="1" applyNumberFormat="1" applyFont="1" applyBorder="1" applyAlignment="1">
      <alignment horizontal="right"/>
    </xf>
    <xf numFmtId="166" fontId="3" fillId="0" borderId="5" xfId="2" quotePrefix="1" applyNumberFormat="1" applyFont="1" applyFill="1" applyBorder="1" applyAlignment="1">
      <alignment horizontal="right"/>
    </xf>
    <xf numFmtId="168" fontId="0" fillId="0" borderId="4" xfId="1" applyNumberFormat="1" applyFont="1" applyFill="1" applyBorder="1" applyAlignment="1">
      <alignment horizontal="left"/>
    </xf>
    <xf numFmtId="168" fontId="0" fillId="0" borderId="0" xfId="1" applyNumberFormat="1" applyFont="1"/>
    <xf numFmtId="165" fontId="0" fillId="0" borderId="3" xfId="1" applyNumberFormat="1" applyFont="1" applyFill="1" applyBorder="1" applyAlignment="1">
      <alignment horizontal="left"/>
    </xf>
    <xf numFmtId="165" fontId="0" fillId="0" borderId="4" xfId="1" applyNumberFormat="1" applyFont="1" applyFill="1" applyBorder="1" applyAlignment="1">
      <alignment horizontal="left"/>
    </xf>
    <xf numFmtId="165" fontId="10" fillId="0" borderId="0" xfId="1" applyNumberFormat="1" applyFont="1" applyAlignment="1">
      <alignment vertical="top"/>
    </xf>
    <xf numFmtId="9" fontId="0" fillId="0" borderId="0" xfId="2" applyFont="1" applyFill="1" applyBorder="1" applyAlignment="1">
      <alignment horizontal="right"/>
    </xf>
    <xf numFmtId="43" fontId="0" fillId="0" borderId="0" xfId="1" applyNumberFormat="1" applyFont="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6" fontId="0" fillId="0" borderId="3" xfId="2" applyNumberFormat="1" applyFont="1" applyFill="1" applyBorder="1" applyAlignment="1">
      <alignment horizontal="left"/>
    </xf>
    <xf numFmtId="166" fontId="0" fillId="0" borderId="4" xfId="2" applyNumberFormat="1" applyFont="1" applyFill="1" applyBorder="1" applyAlignment="1">
      <alignment horizontal="left"/>
    </xf>
    <xf numFmtId="0" fontId="8" fillId="0" borderId="4" xfId="0" applyFont="1" applyFill="1" applyBorder="1" applyAlignment="1">
      <alignment horizontal="left"/>
    </xf>
    <xf numFmtId="43" fontId="12" fillId="0" borderId="0" xfId="1" applyNumberFormat="1" applyFont="1" applyFill="1" applyBorder="1" applyAlignment="1">
      <alignment horizontal="right"/>
    </xf>
    <xf numFmtId="165" fontId="1" fillId="0" borderId="3" xfId="1" applyNumberFormat="1" applyFont="1" applyFill="1" applyBorder="1" applyAlignment="1">
      <alignment horizontal="left"/>
    </xf>
    <xf numFmtId="165" fontId="1" fillId="0" borderId="4" xfId="1" applyNumberFormat="1" applyFont="1" applyFill="1" applyBorder="1" applyAlignment="1">
      <alignment horizontal="left"/>
    </xf>
    <xf numFmtId="10" fontId="14" fillId="0" borderId="0" xfId="2" applyNumberFormat="1" applyFont="1" applyAlignment="1">
      <alignment horizontal="right"/>
    </xf>
    <xf numFmtId="165" fontId="4" fillId="2" borderId="3" xfId="1" applyNumberFormat="1" applyFont="1" applyFill="1" applyBorder="1" applyAlignment="1">
      <alignment horizontal="right"/>
    </xf>
    <xf numFmtId="165" fontId="4" fillId="2" borderId="0" xfId="1" applyNumberFormat="1" applyFont="1" applyFill="1" applyBorder="1" applyAlignment="1">
      <alignment horizontal="right"/>
    </xf>
    <xf numFmtId="164" fontId="1" fillId="2" borderId="0" xfId="1" applyNumberFormat="1" applyFont="1" applyFill="1" applyBorder="1" applyAlignment="1">
      <alignment horizontal="right"/>
    </xf>
    <xf numFmtId="164" fontId="1" fillId="2" borderId="3" xfId="1" applyNumberFormat="1" applyFont="1" applyFill="1" applyBorder="1" applyAlignment="1">
      <alignment horizontal="right"/>
    </xf>
    <xf numFmtId="164" fontId="0" fillId="6" borderId="0" xfId="1" quotePrefix="1" applyNumberFormat="1" applyFont="1" applyFill="1" applyBorder="1" applyAlignment="1">
      <alignment horizontal="right"/>
    </xf>
    <xf numFmtId="166" fontId="0" fillId="6" borderId="0" xfId="2" quotePrefix="1" applyNumberFormat="1" applyFont="1" applyFill="1" applyBorder="1" applyAlignment="1">
      <alignment horizontal="right"/>
    </xf>
    <xf numFmtId="43" fontId="10" fillId="2" borderId="0" xfId="1" applyNumberFormat="1" applyFont="1" applyFill="1" applyBorder="1" applyAlignment="1">
      <alignment horizontal="right"/>
    </xf>
    <xf numFmtId="9" fontId="0" fillId="0" borderId="0" xfId="2" applyFont="1" applyAlignment="1">
      <alignment horizontal="right"/>
    </xf>
    <xf numFmtId="169" fontId="0" fillId="2" borderId="4" xfId="1" applyNumberFormat="1" applyFont="1" applyFill="1" applyBorder="1" applyAlignment="1">
      <alignment horizontal="right"/>
    </xf>
    <xf numFmtId="7" fontId="0" fillId="0" borderId="0" xfId="0" applyNumberFormat="1" applyFont="1" applyFill="1"/>
    <xf numFmtId="0" fontId="0" fillId="0" borderId="0" xfId="0"/>
    <xf numFmtId="164" fontId="0" fillId="0" borderId="0" xfId="1" applyNumberFormat="1" applyFont="1" applyAlignment="1">
      <alignment horizontal="right"/>
    </xf>
    <xf numFmtId="0" fontId="0" fillId="0" borderId="0" xfId="0" applyAlignment="1">
      <alignment horizontal="right"/>
    </xf>
    <xf numFmtId="165" fontId="1" fillId="0" borderId="0" xfId="1" applyNumberFormat="1" applyFont="1" applyBorder="1" applyAlignment="1">
      <alignment horizontal="right"/>
    </xf>
    <xf numFmtId="165" fontId="1" fillId="0" borderId="5" xfId="1" applyNumberFormat="1" applyFont="1" applyFill="1" applyBorder="1" applyAlignment="1">
      <alignment horizontal="right"/>
    </xf>
    <xf numFmtId="164" fontId="0" fillId="0" borderId="0" xfId="1" applyNumberFormat="1" applyFont="1" applyFill="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10" fontId="0" fillId="0" borderId="0" xfId="2" applyNumberFormat="1" applyFont="1" applyFill="1"/>
    <xf numFmtId="165" fontId="2" fillId="0" borderId="2" xfId="1" applyNumberFormat="1" applyFont="1" applyFill="1" applyBorder="1" applyAlignment="1">
      <alignment horizontal="right"/>
    </xf>
    <xf numFmtId="43" fontId="12" fillId="6" borderId="0" xfId="1" applyNumberFormat="1" applyFont="1" applyFill="1" applyBorder="1" applyAlignment="1">
      <alignment horizontal="right"/>
    </xf>
    <xf numFmtId="43" fontId="0" fillId="3" borderId="4" xfId="1" applyNumberFormat="1" applyFont="1" applyFill="1" applyBorder="1" applyAlignment="1">
      <alignment horizontal="right"/>
    </xf>
    <xf numFmtId="166" fontId="0" fillId="3" borderId="4" xfId="2" applyNumberFormat="1" applyFont="1" applyFill="1" applyBorder="1" applyAlignment="1">
      <alignment horizontal="right"/>
    </xf>
    <xf numFmtId="166" fontId="0" fillId="3" borderId="4" xfId="1" applyNumberFormat="1" applyFont="1" applyFill="1" applyBorder="1" applyAlignment="1">
      <alignment horizontal="right"/>
    </xf>
    <xf numFmtId="0" fontId="2" fillId="0" borderId="3" xfId="0" applyFont="1" applyFill="1" applyBorder="1" applyAlignment="1">
      <alignment horizontal="right"/>
    </xf>
    <xf numFmtId="0" fontId="2" fillId="0" borderId="6" xfId="0" applyFont="1" applyFill="1" applyBorder="1" applyAlignment="1">
      <alignment horizontal="right"/>
    </xf>
    <xf numFmtId="0" fontId="2" fillId="0" borderId="1" xfId="0" applyFont="1" applyFill="1" applyBorder="1" applyAlignment="1">
      <alignment horizontal="right"/>
    </xf>
    <xf numFmtId="164" fontId="2" fillId="0" borderId="30" xfId="1" quotePrefix="1" applyNumberFormat="1" applyFont="1" applyFill="1" applyBorder="1" applyAlignment="1">
      <alignment horizontal="right"/>
    </xf>
    <xf numFmtId="169" fontId="0" fillId="0" borderId="4" xfId="1" applyNumberFormat="1" applyFont="1" applyFill="1" applyBorder="1" applyAlignment="1">
      <alignment horizontal="right"/>
    </xf>
    <xf numFmtId="169" fontId="0" fillId="0" borderId="4" xfId="2" applyNumberFormat="1" applyFont="1" applyFill="1" applyBorder="1" applyAlignment="1">
      <alignment horizontal="right"/>
    </xf>
    <xf numFmtId="43" fontId="0" fillId="0"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28" xfId="0" applyFont="1" applyFill="1" applyBorder="1" applyAlignment="1">
      <alignment horizontal="left"/>
    </xf>
    <xf numFmtId="0" fontId="8" fillId="0" borderId="4" xfId="0" applyFont="1" applyFill="1" applyBorder="1" applyAlignment="1">
      <alignment horizontal="left"/>
    </xf>
    <xf numFmtId="164" fontId="4" fillId="0" borderId="0" xfId="1" quotePrefix="1" applyNumberFormat="1" applyFont="1" applyFill="1" applyBorder="1" applyAlignment="1">
      <alignment horizontal="right"/>
    </xf>
    <xf numFmtId="164" fontId="4" fillId="0" borderId="5" xfId="1" quotePrefix="1" applyNumberFormat="1" applyFont="1" applyFill="1" applyBorder="1" applyAlignment="1">
      <alignment horizontal="right"/>
    </xf>
    <xf numFmtId="0" fontId="68" fillId="0" borderId="4" xfId="0" applyFont="1" applyFill="1" applyBorder="1" applyAlignment="1">
      <alignment horizontal="left"/>
    </xf>
    <xf numFmtId="164" fontId="0" fillId="0" borderId="5" xfId="1" quotePrefix="1" applyNumberFormat="1" applyFont="1" applyFill="1" applyBorder="1" applyAlignment="1">
      <alignment horizontal="right"/>
    </xf>
    <xf numFmtId="166" fontId="0" fillId="0" borderId="3" xfId="2" quotePrefix="1" applyNumberFormat="1" applyFont="1" applyFill="1" applyBorder="1" applyAlignment="1">
      <alignment horizontal="right"/>
    </xf>
    <xf numFmtId="166" fontId="0" fillId="0" borderId="4" xfId="2" quotePrefix="1" applyNumberFormat="1" applyFont="1" applyFill="1" applyBorder="1" applyAlignment="1">
      <alignment horizontal="right"/>
    </xf>
    <xf numFmtId="166" fontId="0" fillId="2" borderId="4" xfId="2" quotePrefix="1" applyNumberFormat="1" applyFont="1" applyFill="1" applyBorder="1" applyAlignment="1">
      <alignment horizontal="right"/>
    </xf>
    <xf numFmtId="166" fontId="0" fillId="2" borderId="3" xfId="2" quotePrefix="1" applyNumberFormat="1" applyFont="1" applyFill="1" applyBorder="1" applyAlignment="1">
      <alignment horizontal="right"/>
    </xf>
    <xf numFmtId="0" fontId="8" fillId="0" borderId="29" xfId="0" applyFont="1" applyFill="1" applyBorder="1" applyAlignment="1">
      <alignment horizontal="left"/>
    </xf>
    <xf numFmtId="164" fontId="2" fillId="0" borderId="27" xfId="1" quotePrefix="1" applyNumberFormat="1" applyFont="1" applyFill="1" applyBorder="1" applyAlignment="1">
      <alignment horizontal="right"/>
    </xf>
    <xf numFmtId="169" fontId="2" fillId="0" borderId="4" xfId="1" applyNumberFormat="1" applyFont="1" applyFill="1" applyBorder="1" applyAlignment="1">
      <alignment horizontal="right"/>
    </xf>
    <xf numFmtId="7" fontId="2" fillId="0" borderId="4" xfId="1" applyNumberFormat="1" applyFont="1" applyBorder="1" applyAlignment="1">
      <alignment horizontal="right"/>
    </xf>
    <xf numFmtId="7" fontId="2" fillId="0" borderId="4" xfId="1" applyNumberFormat="1" applyFont="1" applyFill="1" applyBorder="1" applyAlignment="1">
      <alignment horizontal="right"/>
    </xf>
    <xf numFmtId="0" fontId="69" fillId="0" borderId="0" xfId="0" applyFont="1"/>
    <xf numFmtId="0" fontId="2" fillId="0" borderId="3" xfId="0" applyFont="1" applyFill="1" applyBorder="1" applyAlignment="1">
      <alignment horizontal="left"/>
    </xf>
    <xf numFmtId="0" fontId="2" fillId="0" borderId="4" xfId="0" applyFont="1" applyFill="1" applyBorder="1" applyAlignment="1">
      <alignment horizontal="left"/>
    </xf>
    <xf numFmtId="0" fontId="0" fillId="0" borderId="3" xfId="0" applyFont="1" applyFill="1" applyBorder="1" applyAlignment="1">
      <alignment horizontal="left"/>
    </xf>
    <xf numFmtId="165" fontId="11" fillId="0" borderId="5" xfId="1" applyNumberFormat="1" applyFont="1" applyFill="1" applyBorder="1" applyAlignment="1">
      <alignment horizontal="right"/>
    </xf>
    <xf numFmtId="10" fontId="0" fillId="0" borderId="0" xfId="1" applyNumberFormat="1" applyFont="1" applyAlignment="1">
      <alignment horizontal="right"/>
    </xf>
    <xf numFmtId="10" fontId="0" fillId="0" borderId="3" xfId="2" applyNumberFormat="1" applyFont="1" applyFill="1" applyBorder="1" applyAlignment="1">
      <alignment horizontal="left"/>
    </xf>
    <xf numFmtId="10" fontId="0" fillId="0" borderId="4" xfId="2" applyNumberFormat="1" applyFont="1" applyFill="1" applyBorder="1" applyAlignment="1">
      <alignment horizontal="left"/>
    </xf>
    <xf numFmtId="10" fontId="0" fillId="0" borderId="0" xfId="2" quotePrefix="1" applyNumberFormat="1" applyFont="1" applyFill="1" applyBorder="1" applyAlignment="1">
      <alignment horizontal="right"/>
    </xf>
    <xf numFmtId="10" fontId="0" fillId="0" borderId="5" xfId="2" quotePrefix="1" applyNumberFormat="1" applyFont="1" applyFill="1" applyBorder="1" applyAlignment="1">
      <alignment horizontal="right"/>
    </xf>
    <xf numFmtId="10" fontId="0" fillId="0" borderId="0" xfId="2" applyNumberFormat="1" applyFont="1"/>
    <xf numFmtId="10" fontId="0" fillId="12" borderId="0" xfId="2" quotePrefix="1" applyNumberFormat="1" applyFont="1" applyFill="1" applyBorder="1" applyAlignment="1">
      <alignment horizontal="right"/>
    </xf>
    <xf numFmtId="168" fontId="1" fillId="0" borderId="0" xfId="1" applyNumberFormat="1" applyFont="1" applyBorder="1" applyAlignment="1">
      <alignment horizontal="right"/>
    </xf>
    <xf numFmtId="168" fontId="1" fillId="0" borderId="7" xfId="1" applyNumberFormat="1" applyFont="1" applyBorder="1" applyAlignment="1">
      <alignment horizontal="right"/>
    </xf>
    <xf numFmtId="43" fontId="13" fillId="0" borderId="9" xfId="1" applyNumberFormat="1" applyFont="1" applyFill="1" applyBorder="1" applyAlignment="1">
      <alignment horizontal="right"/>
    </xf>
    <xf numFmtId="165" fontId="1" fillId="0" borderId="3" xfId="1" applyNumberFormat="1" applyFont="1" applyBorder="1" applyAlignment="1">
      <alignment horizontal="right"/>
    </xf>
    <xf numFmtId="0" fontId="0" fillId="0" borderId="4"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0" fillId="0" borderId="0" xfId="0" applyFill="1" applyAlignment="1">
      <alignment horizontal="right"/>
    </xf>
    <xf numFmtId="165" fontId="4" fillId="0" borderId="0" xfId="1" applyNumberFormat="1" applyFont="1" applyBorder="1" applyAlignment="1">
      <alignment horizontal="right"/>
    </xf>
    <xf numFmtId="165" fontId="4" fillId="0" borderId="4" xfId="1" applyNumberFormat="1" applyFont="1" applyBorder="1" applyAlignment="1">
      <alignment horizontal="right"/>
    </xf>
    <xf numFmtId="165" fontId="11" fillId="0" borderId="0" xfId="1" applyNumberFormat="1" applyFont="1" applyFill="1" applyBorder="1" applyAlignment="1">
      <alignment horizontal="right"/>
    </xf>
    <xf numFmtId="165" fontId="11" fillId="2" borderId="0" xfId="1" applyNumberFormat="1" applyFont="1" applyFill="1" applyBorder="1" applyAlignment="1">
      <alignment horizontal="right"/>
    </xf>
    <xf numFmtId="165" fontId="11" fillId="0" borderId="0" xfId="1" applyNumberFormat="1" applyFont="1" applyAlignment="1">
      <alignment vertical="top"/>
    </xf>
    <xf numFmtId="165" fontId="11" fillId="0" borderId="0" xfId="1" applyNumberFormat="1" applyFont="1" applyBorder="1" applyAlignment="1">
      <alignment horizontal="right"/>
    </xf>
    <xf numFmtId="165" fontId="11" fillId="0" borderId="4" xfId="1" applyNumberFormat="1" applyFont="1" applyFill="1" applyBorder="1" applyAlignment="1">
      <alignment horizontal="right"/>
    </xf>
    <xf numFmtId="165" fontId="11" fillId="0" borderId="3" xfId="1" applyNumberFormat="1" applyFont="1" applyFill="1" applyBorder="1" applyAlignment="1">
      <alignment horizontal="right"/>
    </xf>
    <xf numFmtId="165" fontId="12" fillId="0" borderId="4" xfId="1" applyNumberFormat="1" applyFont="1" applyFill="1" applyBorder="1" applyAlignment="1">
      <alignment horizontal="right"/>
    </xf>
    <xf numFmtId="165" fontId="12" fillId="0" borderId="3" xfId="1" applyNumberFormat="1" applyFont="1" applyFill="1" applyBorder="1" applyAlignment="1">
      <alignment horizontal="right"/>
    </xf>
    <xf numFmtId="165" fontId="4" fillId="0" borderId="4" xfId="1" applyNumberFormat="1" applyFont="1" applyFill="1" applyBorder="1" applyAlignment="1">
      <alignment horizontal="right"/>
    </xf>
    <xf numFmtId="165" fontId="12" fillId="6" borderId="4" xfId="1" applyNumberFormat="1" applyFont="1" applyFill="1" applyBorder="1" applyAlignment="1">
      <alignment horizontal="right"/>
    </xf>
    <xf numFmtId="165" fontId="12" fillId="6" borderId="0" xfId="1" applyNumberFormat="1" applyFont="1" applyFill="1" applyBorder="1" applyAlignment="1">
      <alignment horizontal="right"/>
    </xf>
    <xf numFmtId="165" fontId="0" fillId="0" borderId="0" xfId="1" quotePrefix="1" applyNumberFormat="1" applyFont="1" applyBorder="1" applyAlignment="1">
      <alignment horizontal="right"/>
    </xf>
    <xf numFmtId="165" fontId="0" fillId="0" borderId="0" xfId="1" quotePrefix="1" applyNumberFormat="1" applyFont="1" applyFill="1" applyBorder="1" applyAlignment="1">
      <alignment horizontal="right"/>
    </xf>
    <xf numFmtId="165" fontId="0" fillId="2" borderId="0" xfId="1" quotePrefix="1" applyNumberFormat="1" applyFont="1" applyFill="1" applyBorder="1" applyAlignment="1">
      <alignment horizontal="right"/>
    </xf>
    <xf numFmtId="5" fontId="2" fillId="0" borderId="11" xfId="1" applyNumberFormat="1" applyFont="1" applyBorder="1" applyAlignment="1">
      <alignment horizontal="right"/>
    </xf>
    <xf numFmtId="5" fontId="8" fillId="0" borderId="4" xfId="1" applyNumberFormat="1" applyFont="1" applyBorder="1" applyAlignment="1">
      <alignment horizontal="right"/>
    </xf>
    <xf numFmtId="5" fontId="2" fillId="0" borderId="10" xfId="1" applyNumberFormat="1" applyFont="1" applyBorder="1" applyAlignment="1">
      <alignment horizontal="right"/>
    </xf>
    <xf numFmtId="0" fontId="0" fillId="0" borderId="28" xfId="0" applyFont="1" applyFill="1" applyBorder="1" applyAlignment="1">
      <alignment horizontal="left"/>
    </xf>
    <xf numFmtId="0" fontId="0" fillId="0" borderId="29" xfId="0" applyFont="1" applyFill="1" applyBorder="1" applyAlignment="1">
      <alignment horizontal="left"/>
    </xf>
    <xf numFmtId="166" fontId="0" fillId="0" borderId="30" xfId="2" quotePrefix="1" applyNumberFormat="1" applyFont="1" applyFill="1" applyBorder="1" applyAlignment="1">
      <alignment horizontal="right"/>
    </xf>
    <xf numFmtId="166" fontId="1" fillId="0" borderId="27" xfId="2" quotePrefix="1" applyNumberFormat="1" applyFont="1" applyFill="1" applyBorder="1" applyAlignment="1">
      <alignment horizontal="right"/>
    </xf>
    <xf numFmtId="166" fontId="1" fillId="0" borderId="27" xfId="2" quotePrefix="1" applyNumberFormat="1" applyFont="1" applyBorder="1" applyAlignment="1">
      <alignment horizontal="right"/>
    </xf>
    <xf numFmtId="166" fontId="0" fillId="6" borderId="30" xfId="2" quotePrefix="1" applyNumberFormat="1" applyFont="1" applyFill="1" applyBorder="1" applyAlignment="1">
      <alignment horizontal="right"/>
    </xf>
    <xf numFmtId="166" fontId="0" fillId="0" borderId="30" xfId="2" quotePrefix="1" applyNumberFormat="1" applyFont="1" applyBorder="1" applyAlignment="1">
      <alignment horizontal="right"/>
    </xf>
    <xf numFmtId="166" fontId="0" fillId="0" borderId="27" xfId="2" quotePrefix="1" applyNumberFormat="1" applyFont="1" applyFill="1" applyBorder="1" applyAlignment="1">
      <alignment horizontal="right"/>
    </xf>
    <xf numFmtId="166" fontId="0" fillId="2" borderId="30" xfId="2" quotePrefix="1" applyNumberFormat="1" applyFont="1" applyFill="1" applyBorder="1" applyAlignment="1">
      <alignment horizontal="right"/>
    </xf>
    <xf numFmtId="10" fontId="0" fillId="0" borderId="28" xfId="2" applyNumberFormat="1" applyFont="1" applyFill="1" applyBorder="1" applyAlignment="1">
      <alignment horizontal="left"/>
    </xf>
    <xf numFmtId="10" fontId="0" fillId="0" borderId="29" xfId="2" applyNumberFormat="1" applyFont="1" applyFill="1" applyBorder="1" applyAlignment="1">
      <alignment horizontal="left"/>
    </xf>
    <xf numFmtId="10" fontId="0" fillId="0" borderId="30" xfId="2" quotePrefix="1" applyNumberFormat="1" applyFont="1" applyFill="1" applyBorder="1" applyAlignment="1">
      <alignment horizontal="right"/>
    </xf>
    <xf numFmtId="10" fontId="0" fillId="0" borderId="27" xfId="2" quotePrefix="1" applyNumberFormat="1" applyFont="1" applyFill="1" applyBorder="1" applyAlignment="1">
      <alignment horizontal="right"/>
    </xf>
    <xf numFmtId="10" fontId="0" fillId="12" borderId="30" xfId="2" quotePrefix="1" applyNumberFormat="1" applyFont="1" applyFill="1" applyBorder="1" applyAlignment="1">
      <alignment horizontal="right"/>
    </xf>
    <xf numFmtId="10" fontId="8" fillId="0" borderId="3" xfId="2" applyNumberFormat="1" applyFont="1" applyFill="1" applyBorder="1" applyAlignment="1">
      <alignment horizontal="left"/>
    </xf>
    <xf numFmtId="164" fontId="0" fillId="0" borderId="6" xfId="1" quotePrefix="1" applyNumberFormat="1" applyFont="1" applyFill="1" applyBorder="1" applyAlignment="1">
      <alignment horizontal="right"/>
    </xf>
    <xf numFmtId="164" fontId="0" fillId="0" borderId="7" xfId="1" quotePrefix="1" applyNumberFormat="1" applyFont="1" applyFill="1" applyBorder="1" applyAlignment="1">
      <alignment horizontal="right"/>
    </xf>
    <xf numFmtId="164" fontId="0" fillId="0" borderId="10" xfId="1" quotePrefix="1" applyNumberFormat="1" applyFont="1" applyFill="1" applyBorder="1" applyAlignment="1">
      <alignment horizontal="right"/>
    </xf>
    <xf numFmtId="164" fontId="0" fillId="0" borderId="8" xfId="1" quotePrefix="1" applyNumberFormat="1" applyFont="1" applyFill="1" applyBorder="1" applyAlignment="1">
      <alignment horizontal="right"/>
    </xf>
    <xf numFmtId="166" fontId="0" fillId="0" borderId="8" xfId="2" quotePrefix="1" applyNumberFormat="1" applyFont="1" applyFill="1" applyBorder="1" applyAlignment="1">
      <alignment horizontal="right"/>
    </xf>
    <xf numFmtId="43" fontId="0" fillId="0" borderId="6" xfId="1" quotePrefix="1" applyFont="1" applyFill="1" applyBorder="1" applyAlignment="1">
      <alignment horizontal="right"/>
    </xf>
    <xf numFmtId="166" fontId="0" fillId="0" borderId="7" xfId="2" quotePrefix="1" applyNumberFormat="1" applyFont="1" applyFill="1" applyBorder="1" applyAlignment="1">
      <alignment horizontal="right"/>
    </xf>
    <xf numFmtId="166" fontId="0" fillId="2" borderId="10" xfId="2" quotePrefix="1" applyNumberFormat="1" applyFont="1" applyFill="1" applyBorder="1" applyAlignment="1">
      <alignment horizontal="right"/>
    </xf>
    <xf numFmtId="166" fontId="0" fillId="2" borderId="6" xfId="2" quotePrefix="1" applyNumberFormat="1" applyFont="1" applyFill="1" applyBorder="1" applyAlignment="1">
      <alignment horizontal="right"/>
    </xf>
    <xf numFmtId="166" fontId="0" fillId="2" borderId="7" xfId="2" quotePrefix="1" applyNumberFormat="1" applyFont="1" applyFill="1" applyBorder="1" applyAlignment="1">
      <alignment horizontal="right"/>
    </xf>
    <xf numFmtId="43" fontId="4" fillId="0" borderId="4" xfId="1" applyFont="1" applyFill="1" applyBorder="1" applyAlignment="1">
      <alignment horizontal="right"/>
    </xf>
    <xf numFmtId="166" fontId="0" fillId="0" borderId="3" xfId="2" applyNumberFormat="1" applyFont="1" applyFill="1" applyBorder="1" applyAlignment="1">
      <alignment horizontal="left"/>
    </xf>
    <xf numFmtId="166" fontId="0" fillId="0" borderId="4" xfId="2" applyNumberFormat="1" applyFont="1"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165" fontId="0" fillId="0" borderId="3" xfId="1" applyNumberFormat="1" applyFont="1" applyFill="1" applyBorder="1" applyAlignment="1">
      <alignment horizontal="left"/>
    </xf>
    <xf numFmtId="165" fontId="0" fillId="0" borderId="4" xfId="1" applyNumberFormat="1" applyFont="1" applyFill="1" applyBorder="1" applyAlignment="1">
      <alignment horizontal="left"/>
    </xf>
    <xf numFmtId="0" fontId="0" fillId="0" borderId="6" xfId="0" applyBorder="1" applyAlignment="1">
      <alignment horizontal="left" vertical="top" wrapText="1"/>
    </xf>
    <xf numFmtId="0" fontId="0" fillId="0" borderId="10" xfId="0" applyBorder="1" applyAlignment="1">
      <alignment horizontal="left" vertical="top" wrapText="1"/>
    </xf>
    <xf numFmtId="166" fontId="0" fillId="0" borderId="6" xfId="2" applyNumberFormat="1" applyFont="1" applyBorder="1" applyAlignment="1">
      <alignment horizontal="left"/>
    </xf>
    <xf numFmtId="166" fontId="0" fillId="0" borderId="7" xfId="2" applyNumberFormat="1" applyFont="1" applyBorder="1" applyAlignment="1">
      <alignment horizontal="left"/>
    </xf>
    <xf numFmtId="0" fontId="0" fillId="0" borderId="0" xfId="0" applyFont="1" applyFill="1" applyBorder="1" applyAlignment="1">
      <alignment horizontal="left"/>
    </xf>
    <xf numFmtId="0" fontId="0" fillId="0" borderId="3" xfId="0" applyFont="1" applyBorder="1" applyAlignment="1">
      <alignment horizontal="left"/>
    </xf>
    <xf numFmtId="0" fontId="0" fillId="0" borderId="0" xfId="0" applyFont="1" applyBorder="1" applyAlignment="1">
      <alignment horizontal="left"/>
    </xf>
    <xf numFmtId="0" fontId="8" fillId="0" borderId="3" xfId="0" applyFont="1" applyBorder="1" applyAlignment="1">
      <alignment horizontal="left"/>
    </xf>
    <xf numFmtId="0" fontId="8" fillId="0" borderId="0" xfId="0" applyFont="1" applyBorder="1" applyAlignment="1">
      <alignment horizontal="left"/>
    </xf>
    <xf numFmtId="0" fontId="18" fillId="4" borderId="3" xfId="0" applyFont="1" applyFill="1" applyBorder="1" applyAlignment="1">
      <alignment horizontal="left"/>
    </xf>
    <xf numFmtId="0" fontId="18" fillId="4" borderId="0" xfId="0" applyFont="1" applyFill="1" applyBorder="1" applyAlignment="1">
      <alignment horizontal="left"/>
    </xf>
    <xf numFmtId="0" fontId="16" fillId="4" borderId="1" xfId="0" applyFont="1" applyFill="1" applyBorder="1" applyAlignment="1">
      <alignment horizontal="left"/>
    </xf>
    <xf numFmtId="0" fontId="16" fillId="4" borderId="2" xfId="0" applyFont="1" applyFill="1" applyBorder="1" applyAlignment="1">
      <alignment horizontal="left"/>
    </xf>
    <xf numFmtId="0" fontId="0" fillId="0" borderId="6" xfId="0" applyFont="1" applyFill="1" applyBorder="1" applyAlignment="1">
      <alignment horizontal="left"/>
    </xf>
    <xf numFmtId="0" fontId="0" fillId="0" borderId="10" xfId="0" applyFont="1" applyFill="1" applyBorder="1" applyAlignment="1">
      <alignment horizontal="left"/>
    </xf>
    <xf numFmtId="0" fontId="16" fillId="4" borderId="11" xfId="0" applyFont="1" applyFill="1" applyBorder="1" applyAlignment="1">
      <alignment horizontal="left"/>
    </xf>
    <xf numFmtId="0" fontId="0" fillId="0" borderId="2" xfId="0" applyFont="1" applyFill="1" applyBorder="1" applyAlignment="1">
      <alignment horizontal="left"/>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8" fillId="0" borderId="3" xfId="0" applyFont="1" applyFill="1" applyBorder="1" applyAlignment="1">
      <alignment horizontal="left"/>
    </xf>
    <xf numFmtId="0" fontId="8" fillId="0" borderId="4" xfId="0" applyFont="1" applyFill="1" applyBorder="1" applyAlignment="1">
      <alignment horizontal="left"/>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0"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165" fontId="2" fillId="0" borderId="6" xfId="1" applyNumberFormat="1" applyFont="1" applyBorder="1" applyAlignment="1">
      <alignment horizontal="left"/>
    </xf>
    <xf numFmtId="165" fontId="2" fillId="0" borderId="10" xfId="1" applyNumberFormat="1" applyFont="1" applyBorder="1" applyAlignment="1">
      <alignment horizontal="left"/>
    </xf>
    <xf numFmtId="165" fontId="2" fillId="0" borderId="3" xfId="1" applyNumberFormat="1" applyFont="1" applyFill="1" applyBorder="1" applyAlignment="1">
      <alignment horizontal="left"/>
    </xf>
    <xf numFmtId="165" fontId="2" fillId="0" borderId="4" xfId="1" applyNumberFormat="1" applyFont="1" applyFill="1" applyBorder="1" applyAlignment="1">
      <alignment horizontal="left"/>
    </xf>
    <xf numFmtId="165" fontId="8" fillId="0" borderId="3" xfId="1" applyNumberFormat="1" applyFont="1" applyFill="1" applyBorder="1" applyAlignment="1">
      <alignment horizontal="left"/>
    </xf>
    <xf numFmtId="165" fontId="8" fillId="0" borderId="4" xfId="1" applyNumberFormat="1" applyFont="1" applyFill="1" applyBorder="1" applyAlignment="1">
      <alignment horizontal="left"/>
    </xf>
    <xf numFmtId="165" fontId="10" fillId="0" borderId="3" xfId="1" applyNumberFormat="1" applyFont="1" applyFill="1" applyBorder="1" applyAlignment="1">
      <alignment horizontal="left" vertical="top"/>
    </xf>
    <xf numFmtId="165" fontId="10" fillId="0" borderId="4" xfId="1" applyNumberFormat="1" applyFont="1" applyFill="1" applyBorder="1" applyAlignment="1">
      <alignment horizontal="left" vertical="top"/>
    </xf>
    <xf numFmtId="0" fontId="8" fillId="0" borderId="4" xfId="0" applyFont="1" applyBorder="1" applyAlignment="1">
      <alignment horizontal="left"/>
    </xf>
    <xf numFmtId="0" fontId="8" fillId="0" borderId="6" xfId="0" applyFont="1" applyBorder="1" applyAlignment="1">
      <alignment horizontal="left"/>
    </xf>
    <xf numFmtId="0" fontId="8" fillId="0" borderId="10" xfId="0" applyFont="1" applyBorder="1" applyAlignment="1">
      <alignment horizontal="left"/>
    </xf>
    <xf numFmtId="0" fontId="0" fillId="0" borderId="7" xfId="0" applyFont="1" applyFill="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4" xfId="0" applyFont="1" applyBorder="1" applyAlignment="1">
      <alignment horizontal="left"/>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12" xfId="0" applyFont="1" applyFill="1" applyBorder="1" applyAlignment="1">
      <alignment horizontal="left" vertical="top" wrapText="1"/>
    </xf>
    <xf numFmtId="0" fontId="2" fillId="0" borderId="6" xfId="0" applyFont="1" applyFill="1" applyBorder="1" applyAlignment="1">
      <alignment horizontal="left"/>
    </xf>
    <xf numFmtId="0" fontId="2" fillId="0" borderId="10" xfId="0" applyFont="1" applyFill="1" applyBorder="1" applyAlignment="1">
      <alignment horizontal="left"/>
    </xf>
    <xf numFmtId="0" fontId="0" fillId="3" borderId="1" xfId="0" applyFont="1" applyFill="1" applyBorder="1" applyAlignment="1">
      <alignment horizontal="left"/>
    </xf>
    <xf numFmtId="0" fontId="0" fillId="3" borderId="11" xfId="0" applyFont="1" applyFill="1" applyBorder="1" applyAlignment="1">
      <alignment horizontal="left"/>
    </xf>
    <xf numFmtId="0" fontId="0" fillId="6" borderId="3" xfId="0" applyFont="1" applyFill="1" applyBorder="1" applyAlignment="1">
      <alignment horizontal="left"/>
    </xf>
    <xf numFmtId="0" fontId="0" fillId="6" borderId="4" xfId="0" applyFont="1" applyFill="1" applyBorder="1" applyAlignment="1">
      <alignment horizontal="left"/>
    </xf>
  </cellXfs>
  <cellStyles count="329">
    <cellStyle name="_%(SignOnly)" xfId="6"/>
    <cellStyle name="_%(SignSpaceOnly)" xfId="7"/>
    <cellStyle name="_Comma" xfId="8"/>
    <cellStyle name="_Currency" xfId="9"/>
    <cellStyle name="_CurrencySpace" xfId="10"/>
    <cellStyle name="_Euro" xfId="11"/>
    <cellStyle name="_Heading" xfId="12"/>
    <cellStyle name="_Heading_prestemp" xfId="13"/>
    <cellStyle name="_Heading_prestemp_1st Qtr PL FY07" xfId="14"/>
    <cellStyle name="_Heading_prestemp_Financial Statements" xfId="15"/>
    <cellStyle name="_Heading_prestemp_Financial Statementsvs1" xfId="16"/>
    <cellStyle name="_Highlight" xfId="17"/>
    <cellStyle name="_Multiple" xfId="18"/>
    <cellStyle name="_MultipleSpace" xfId="19"/>
    <cellStyle name="_SubHeading" xfId="20"/>
    <cellStyle name="_SubHeading_prestemp" xfId="21"/>
    <cellStyle name="_SubHeading_prestemp_1st Qtr PL FY07" xfId="22"/>
    <cellStyle name="_SubHeading_prestemp_Financial Statements" xfId="23"/>
    <cellStyle name="_SubHeading_prestemp_Financial Statementsvs1" xfId="24"/>
    <cellStyle name="_Table" xfId="25"/>
    <cellStyle name="_TableHead" xfId="26"/>
    <cellStyle name="_TableRowHead" xfId="27"/>
    <cellStyle name="_TableSuperHead" xfId="28"/>
    <cellStyle name="=C:\WINNT\SYSTEM32\COMMAND.COM" xfId="29"/>
    <cellStyle name="=C:\WINNT\SYSTEM32\COMMAND.COM 2" xfId="30"/>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77"/>
    <cellStyle name="Calc Currency (2)" xfId="78"/>
    <cellStyle name="Calc Currency (2) 2" xfId="79"/>
    <cellStyle name="Calc Percent (0)" xfId="80"/>
    <cellStyle name="Calc Percent (0) 2" xfId="81"/>
    <cellStyle name="Calc Percent (1)" xfId="82"/>
    <cellStyle name="Calc Percent (1) 2" xfId="83"/>
    <cellStyle name="Calc Percent (2)" xfId="84"/>
    <cellStyle name="Calc Percent (2) 2" xfId="85"/>
    <cellStyle name="Calc Units (0)" xfId="86"/>
    <cellStyle name="Calc Units (0) 2" xfId="87"/>
    <cellStyle name="Calc Units (1)" xfId="88"/>
    <cellStyle name="Calc Units (1) 2" xfId="89"/>
    <cellStyle name="Calc Units (2)" xfId="90"/>
    <cellStyle name="Calc Units (2) 2" xfId="91"/>
    <cellStyle name="Centered Heading" xfId="92"/>
    <cellStyle name="columns" xfId="93"/>
    <cellStyle name="Comma" xfId="1" builtinId="3"/>
    <cellStyle name="Comma  - Style1" xfId="94"/>
    <cellStyle name="Comma  - Style2" xfId="95"/>
    <cellStyle name="Comma  - Style3" xfId="96"/>
    <cellStyle name="Comma  - Style4" xfId="97"/>
    <cellStyle name="Comma  - Style5" xfId="98"/>
    <cellStyle name="Comma  - Style6" xfId="99"/>
    <cellStyle name="Comma  - Style7" xfId="100"/>
    <cellStyle name="Comma  - Style8" xfId="101"/>
    <cellStyle name="comma (0)" xfId="102"/>
    <cellStyle name="comma (0) 2" xfId="103"/>
    <cellStyle name="comma (0) 2 2" xfId="104"/>
    <cellStyle name="comma (0) 3" xfId="105"/>
    <cellStyle name="Comma [00]" xfId="106"/>
    <cellStyle name="Comma [00] 2" xfId="107"/>
    <cellStyle name="Comma 2" xfId="5"/>
    <cellStyle name="Comma 2 2" xfId="108"/>
    <cellStyle name="Comma 2 2 2" xfId="109"/>
    <cellStyle name="Comma 2 3" xfId="110"/>
    <cellStyle name="Comma 2 4" xfId="111"/>
    <cellStyle name="Comma 2 5" xfId="112"/>
    <cellStyle name="Comma 2 6" xfId="113"/>
    <cellStyle name="Comma 3" xfId="114"/>
    <cellStyle name="Comma 3 2" xfId="115"/>
    <cellStyle name="Comma 4" xfId="116"/>
    <cellStyle name="Comma 4 2" xfId="117"/>
    <cellStyle name="Comma 5" xfId="118"/>
    <cellStyle name="Comma 5 2" xfId="119"/>
    <cellStyle name="Comma Acctg" xfId="120"/>
    <cellStyle name="Comma Acctg 2" xfId="121"/>
    <cellStyle name="Comma0" xfId="122"/>
    <cellStyle name="Company Name" xfId="123"/>
    <cellStyle name="Contracts" xfId="124"/>
    <cellStyle name="CR Comma" xfId="125"/>
    <cellStyle name="CR Currency" xfId="126"/>
    <cellStyle name="curr" xfId="127"/>
    <cellStyle name="Currency [00]" xfId="128"/>
    <cellStyle name="Currency [00] 2" xfId="129"/>
    <cellStyle name="Currency 2" xfId="130"/>
    <cellStyle name="Currency Acctg" xfId="131"/>
    <cellStyle name="Currency0" xfId="132"/>
    <cellStyle name="Data" xfId="133"/>
    <cellStyle name="Date" xfId="134"/>
    <cellStyle name="Date Short" xfId="135"/>
    <cellStyle name="DateJoel" xfId="136"/>
    <cellStyle name="debbie" xfId="137"/>
    <cellStyle name="Dezimal [0]_laroux" xfId="138"/>
    <cellStyle name="Dezimal_laroux" xfId="139"/>
    <cellStyle name="Enter Currency (0)" xfId="140"/>
    <cellStyle name="Enter Currency (0) 2" xfId="141"/>
    <cellStyle name="Enter Currency (2)" xfId="142"/>
    <cellStyle name="Enter Currency (2) 2" xfId="143"/>
    <cellStyle name="Enter Units (0)" xfId="144"/>
    <cellStyle name="Enter Units (0) 2" xfId="145"/>
    <cellStyle name="Enter Units (1)" xfId="146"/>
    <cellStyle name="Enter Units (1) 2" xfId="147"/>
    <cellStyle name="Enter Units (2)" xfId="148"/>
    <cellStyle name="Enter Units (2) 2" xfId="149"/>
    <cellStyle name="eps" xfId="150"/>
    <cellStyle name="Euro" xfId="151"/>
    <cellStyle name="Grey" xfId="152"/>
    <cellStyle name="Header1" xfId="153"/>
    <cellStyle name="Header2" xfId="154"/>
    <cellStyle name="Header2 10" xfId="155"/>
    <cellStyle name="Header2 11" xfId="156"/>
    <cellStyle name="Header2 12" xfId="157"/>
    <cellStyle name="Header2 13" xfId="158"/>
    <cellStyle name="Header2 14" xfId="159"/>
    <cellStyle name="Header2 15" xfId="160"/>
    <cellStyle name="Header2 16" xfId="161"/>
    <cellStyle name="Header2 17" xfId="162"/>
    <cellStyle name="Header2 18" xfId="163"/>
    <cellStyle name="Header2 19" xfId="164"/>
    <cellStyle name="Header2 2" xfId="165"/>
    <cellStyle name="Header2 20" xfId="166"/>
    <cellStyle name="Header2 21" xfId="167"/>
    <cellStyle name="Header2 22" xfId="168"/>
    <cellStyle name="Header2 23" xfId="169"/>
    <cellStyle name="Header2 24" xfId="170"/>
    <cellStyle name="Header2 25" xfId="171"/>
    <cellStyle name="Header2 26" xfId="172"/>
    <cellStyle name="Header2 27" xfId="173"/>
    <cellStyle name="Header2 28" xfId="174"/>
    <cellStyle name="Header2 29" xfId="175"/>
    <cellStyle name="Header2 3" xfId="176"/>
    <cellStyle name="Header2 30" xfId="177"/>
    <cellStyle name="Header2 31" xfId="178"/>
    <cellStyle name="Header2 32" xfId="179"/>
    <cellStyle name="Header2 33" xfId="180"/>
    <cellStyle name="Header2 34" xfId="181"/>
    <cellStyle name="Header2 35" xfId="182"/>
    <cellStyle name="Header2 36" xfId="183"/>
    <cellStyle name="Header2 37" xfId="184"/>
    <cellStyle name="Header2 38" xfId="185"/>
    <cellStyle name="Header2 39" xfId="186"/>
    <cellStyle name="Header2 4" xfId="187"/>
    <cellStyle name="Header2 40" xfId="188"/>
    <cellStyle name="Header2 41" xfId="189"/>
    <cellStyle name="Header2 42" xfId="190"/>
    <cellStyle name="Header2 5" xfId="191"/>
    <cellStyle name="Header2 6" xfId="192"/>
    <cellStyle name="Header2 7" xfId="193"/>
    <cellStyle name="Header2 8" xfId="194"/>
    <cellStyle name="Header2 9" xfId="195"/>
    <cellStyle name="Heading" xfId="196"/>
    <cellStyle name="Heading 1 2" xfId="197"/>
    <cellStyle name="Heading 1 3" xfId="198"/>
    <cellStyle name="Heading 1 4" xfId="199"/>
    <cellStyle name="Heading 2 2" xfId="200"/>
    <cellStyle name="Heading 2 3" xfId="201"/>
    <cellStyle name="Heading 2 4" xfId="202"/>
    <cellStyle name="Heading No Underline" xfId="203"/>
    <cellStyle name="Heading With Underline" xfId="204"/>
    <cellStyle name="Hyperlink 2" xfId="205"/>
    <cellStyle name="Hyperlink 2 2" xfId="206"/>
    <cellStyle name="Hyperlink 2 2 2" xfId="207"/>
    <cellStyle name="Hyperlink 3" xfId="208"/>
    <cellStyle name="Hyperlink 4" xfId="209"/>
    <cellStyle name="Input [yellow]" xfId="210"/>
    <cellStyle name="Link Currency (0)" xfId="211"/>
    <cellStyle name="Link Currency (0) 2" xfId="212"/>
    <cellStyle name="Link Currency (2)" xfId="213"/>
    <cellStyle name="Link Currency (2) 2" xfId="214"/>
    <cellStyle name="Link Units (0)" xfId="215"/>
    <cellStyle name="Link Units (0) 2" xfId="216"/>
    <cellStyle name="Link Units (1)" xfId="217"/>
    <cellStyle name="Link Units (1) 2" xfId="218"/>
    <cellStyle name="Link Units (2)" xfId="219"/>
    <cellStyle name="Link Units (2) 2" xfId="220"/>
    <cellStyle name="Millares [0]_pldt" xfId="221"/>
    <cellStyle name="Millares_pldt" xfId="222"/>
    <cellStyle name="Milliers [0]_AR1194" xfId="223"/>
    <cellStyle name="Milliers_AR1194" xfId="224"/>
    <cellStyle name="Moneda [0]_pldt" xfId="225"/>
    <cellStyle name="Moneda_pldt" xfId="226"/>
    <cellStyle name="Monétaire [0]_AR1194" xfId="227"/>
    <cellStyle name="Monétaire_AR1194" xfId="228"/>
    <cellStyle name="negativ" xfId="229"/>
    <cellStyle name="no dec" xfId="230"/>
    <cellStyle name="nodollars" xfId="231"/>
    <cellStyle name="nodollars 2" xfId="232"/>
    <cellStyle name="Normal" xfId="0" builtinId="0"/>
    <cellStyle name="Normal - Style1" xfId="233"/>
    <cellStyle name="Normal - Style1 2" xfId="234"/>
    <cellStyle name="Normal - Style2" xfId="235"/>
    <cellStyle name="Normal - Style3" xfId="236"/>
    <cellStyle name="Normal - Style4" xfId="237"/>
    <cellStyle name="Normal - Style5" xfId="238"/>
    <cellStyle name="Normal 10" xfId="239"/>
    <cellStyle name="Normal 2" xfId="3"/>
    <cellStyle name="Normal 2 2" xfId="240"/>
    <cellStyle name="Normal 2 2 2" xfId="241"/>
    <cellStyle name="Normal 2 3" xfId="242"/>
    <cellStyle name="Normal 2 3 2" xfId="243"/>
    <cellStyle name="Normal 2 4" xfId="244"/>
    <cellStyle name="Normal 2 5" xfId="245"/>
    <cellStyle name="Normal 2 6" xfId="246"/>
    <cellStyle name="Normal 2 7" xfId="247"/>
    <cellStyle name="Normal 2 8" xfId="248"/>
    <cellStyle name="Normal 3" xfId="4"/>
    <cellStyle name="Normal 3 2" xfId="249"/>
    <cellStyle name="Normal 3 3" xfId="250"/>
    <cellStyle name="Normal 3 4" xfId="251"/>
    <cellStyle name="Normal 4" xfId="252"/>
    <cellStyle name="Normal 5" xfId="253"/>
    <cellStyle name="Normal 5 2" xfId="254"/>
    <cellStyle name="Normal 6" xfId="255"/>
    <cellStyle name="Normal 6 2" xfId="256"/>
    <cellStyle name="Normal 6 3" xfId="257"/>
    <cellStyle name="Normal 7" xfId="258"/>
    <cellStyle name="Normal 7 2" xfId="259"/>
    <cellStyle name="Normal 8" xfId="260"/>
    <cellStyle name="Normal 8 2" xfId="261"/>
    <cellStyle name="Normal 8 3" xfId="262"/>
    <cellStyle name="Normal 9" xfId="263"/>
    <cellStyle name="Number0DecimalStyle" xfId="264"/>
    <cellStyle name="Number0DecimalStyle 2" xfId="265"/>
    <cellStyle name="Number10DecimalStyle" xfId="266"/>
    <cellStyle name="Number1DecimalStyle" xfId="267"/>
    <cellStyle name="Number2DecimalStyle" xfId="268"/>
    <cellStyle name="Number2DecimalStyle 2" xfId="269"/>
    <cellStyle name="Number3DecimalStyle" xfId="270"/>
    <cellStyle name="Number4DecimalStyle" xfId="271"/>
    <cellStyle name="Number5DecimalStyle" xfId="272"/>
    <cellStyle name="Number6DecimalStyle" xfId="273"/>
    <cellStyle name="Number7DecimalStyle" xfId="274"/>
    <cellStyle name="Number8DecimalStyle" xfId="275"/>
    <cellStyle name="Number9DecimalStyle" xfId="276"/>
    <cellStyle name="over" xfId="277"/>
    <cellStyle name="Percent" xfId="2" builtinId="5"/>
    <cellStyle name="percent (0)" xfId="278"/>
    <cellStyle name="Percent [0]" xfId="279"/>
    <cellStyle name="Percent [0] 2" xfId="280"/>
    <cellStyle name="Percent [00]" xfId="281"/>
    <cellStyle name="Percent [00] 2" xfId="282"/>
    <cellStyle name="Percent [2]" xfId="283"/>
    <cellStyle name="Percent 10" xfId="284"/>
    <cellStyle name="Percent 2" xfId="285"/>
    <cellStyle name="Percent 2 2" xfId="286"/>
    <cellStyle name="Percent 2 3" xfId="287"/>
    <cellStyle name="Percent 2 4" xfId="288"/>
    <cellStyle name="Percent 3" xfId="289"/>
    <cellStyle name="Percent 3 2" xfId="290"/>
    <cellStyle name="Percent 4" xfId="291"/>
    <cellStyle name="Percent 6" xfId="292"/>
    <cellStyle name="PERCENTAGE" xfId="293"/>
    <cellStyle name="posit" xfId="294"/>
    <cellStyle name="Powerpoint Style" xfId="295"/>
    <cellStyle name="PrePop Currency (0)" xfId="296"/>
    <cellStyle name="PrePop Currency (0) 2" xfId="297"/>
    <cellStyle name="PrePop Currency (2)" xfId="298"/>
    <cellStyle name="PrePop Currency (2) 2" xfId="299"/>
    <cellStyle name="PrePop Units (0)" xfId="300"/>
    <cellStyle name="PrePop Units (0) 2" xfId="301"/>
    <cellStyle name="PrePop Units (1)" xfId="302"/>
    <cellStyle name="PrePop Units (1) 2" xfId="303"/>
    <cellStyle name="PrePop Units (2)" xfId="304"/>
    <cellStyle name="PrePop Units (2) 2" xfId="305"/>
    <cellStyle name="SingleTopDoubleBott" xfId="306"/>
    <cellStyle name="Standard_A" xfId="307"/>
    <cellStyle name="Style 1" xfId="308"/>
    <cellStyle name="Style 2" xfId="309"/>
    <cellStyle name="Style 3" xfId="310"/>
    <cellStyle name="Style 4" xfId="311"/>
    <cellStyle name="Text Indent A" xfId="312"/>
    <cellStyle name="Text Indent B" xfId="313"/>
    <cellStyle name="Text Indent B 2" xfId="314"/>
    <cellStyle name="Text Indent C" xfId="315"/>
    <cellStyle name="Text Indent C 2" xfId="316"/>
    <cellStyle name="TextStyle" xfId="317"/>
    <cellStyle name="Tickmark" xfId="318"/>
    <cellStyle name="TimStyle" xfId="319"/>
    <cellStyle name="Total 2" xfId="320"/>
    <cellStyle name="Total 3" xfId="321"/>
    <cellStyle name="Total 4" xfId="322"/>
    <cellStyle name="Underline" xfId="323"/>
    <cellStyle name="UnderlineDouble" xfId="324"/>
    <cellStyle name="Währung [0]_RESULTS" xfId="325"/>
    <cellStyle name="Währung_RESULTS" xfId="326"/>
    <cellStyle name="표준_BINV" xfId="327"/>
    <cellStyle name="標準_99B-05PE_IC2" xfId="3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5335-4F17-89EC-4ACB4A479555}"/>
            </c:ext>
          </c:extLst>
        </c:ser>
        <c:dLbls>
          <c:showLegendKey val="0"/>
          <c:showVal val="0"/>
          <c:showCatName val="0"/>
          <c:showSerName val="0"/>
          <c:showPercent val="0"/>
          <c:showBubbleSize val="0"/>
        </c:dLbls>
        <c:smooth val="0"/>
        <c:axId val="-1381822112"/>
        <c:axId val="-1381818064"/>
      </c:lineChart>
      <c:catAx>
        <c:axId val="-138182211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81818064"/>
        <c:crosses val="autoZero"/>
        <c:auto val="1"/>
        <c:lblAlgn val="ctr"/>
        <c:lblOffset val="100"/>
        <c:tickLblSkip val="7"/>
        <c:noMultiLvlLbl val="1"/>
      </c:catAx>
      <c:valAx>
        <c:axId val="-1381818064"/>
        <c:scaling>
          <c:orientation val="minMax"/>
        </c:scaling>
        <c:delete val="0"/>
        <c:axPos val="l"/>
        <c:majorGridlines/>
        <c:numFmt formatCode="0.0\x" sourceLinked="0"/>
        <c:majorTickMark val="out"/>
        <c:minorTickMark val="none"/>
        <c:tickLblPos val="nextTo"/>
        <c:crossAx val="-13818221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7DFF-4489-9FDD-67676589EEDF}"/>
            </c:ext>
          </c:extLst>
        </c:ser>
        <c:dLbls>
          <c:showLegendKey val="0"/>
          <c:showVal val="0"/>
          <c:showCatName val="0"/>
          <c:showSerName val="0"/>
          <c:showPercent val="0"/>
          <c:showBubbleSize val="0"/>
        </c:dLbls>
        <c:smooth val="0"/>
        <c:axId val="-1381791488"/>
        <c:axId val="-1381787440"/>
      </c:lineChart>
      <c:catAx>
        <c:axId val="-138179148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81787440"/>
        <c:crosses val="autoZero"/>
        <c:auto val="1"/>
        <c:lblAlgn val="ctr"/>
        <c:lblOffset val="100"/>
        <c:tickLblSkip val="7"/>
        <c:noMultiLvlLbl val="1"/>
      </c:catAx>
      <c:valAx>
        <c:axId val="-1381787440"/>
        <c:scaling>
          <c:orientation val="minMax"/>
        </c:scaling>
        <c:delete val="0"/>
        <c:axPos val="l"/>
        <c:majorGridlines/>
        <c:numFmt formatCode="0.0\x" sourceLinked="0"/>
        <c:majorTickMark val="out"/>
        <c:minorTickMark val="none"/>
        <c:tickLblPos val="nextTo"/>
        <c:crossAx val="-13817914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E6F-4261-A531-4D6BFF53DACC}"/>
            </c:ext>
          </c:extLst>
        </c:ser>
        <c:dLbls>
          <c:showLegendKey val="0"/>
          <c:showVal val="0"/>
          <c:showCatName val="0"/>
          <c:showSerName val="0"/>
          <c:showPercent val="0"/>
          <c:showBubbleSize val="0"/>
        </c:dLbls>
        <c:smooth val="0"/>
        <c:axId val="-1381733024"/>
        <c:axId val="-1381728976"/>
      </c:lineChart>
      <c:catAx>
        <c:axId val="-138173302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81728976"/>
        <c:crosses val="autoZero"/>
        <c:auto val="1"/>
        <c:lblAlgn val="ctr"/>
        <c:lblOffset val="100"/>
        <c:tickLblSkip val="7"/>
        <c:noMultiLvlLbl val="1"/>
      </c:catAx>
      <c:valAx>
        <c:axId val="-1381728976"/>
        <c:scaling>
          <c:orientation val="minMax"/>
        </c:scaling>
        <c:delete val="0"/>
        <c:axPos val="l"/>
        <c:majorGridlines/>
        <c:numFmt formatCode="0.0\x" sourceLinked="0"/>
        <c:majorTickMark val="out"/>
        <c:minorTickMark val="none"/>
        <c:tickLblPos val="nextTo"/>
        <c:crossAx val="-138173302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0310-4C02-A682-CB4713C95F63}"/>
            </c:ext>
          </c:extLst>
        </c:ser>
        <c:dLbls>
          <c:showLegendKey val="0"/>
          <c:showVal val="0"/>
          <c:showCatName val="0"/>
          <c:showSerName val="0"/>
          <c:showPercent val="0"/>
          <c:showBubbleSize val="0"/>
        </c:dLbls>
        <c:smooth val="0"/>
        <c:axId val="-1381682960"/>
        <c:axId val="-1381678912"/>
      </c:lineChart>
      <c:catAx>
        <c:axId val="-13816829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81678912"/>
        <c:crosses val="autoZero"/>
        <c:auto val="1"/>
        <c:lblAlgn val="ctr"/>
        <c:lblOffset val="100"/>
        <c:tickLblSkip val="7"/>
        <c:noMultiLvlLbl val="1"/>
      </c:catAx>
      <c:valAx>
        <c:axId val="-1381678912"/>
        <c:scaling>
          <c:orientation val="minMax"/>
        </c:scaling>
        <c:delete val="0"/>
        <c:axPos val="l"/>
        <c:majorGridlines/>
        <c:numFmt formatCode="0.0\x" sourceLinked="0"/>
        <c:majorTickMark val="out"/>
        <c:minorTickMark val="none"/>
        <c:tickLblPos val="nextTo"/>
        <c:crossAx val="-13816829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7D31-411C-A210-B4E06649AB46}"/>
            </c:ext>
          </c:extLst>
        </c:ser>
        <c:dLbls>
          <c:showLegendKey val="0"/>
          <c:showVal val="0"/>
          <c:showCatName val="0"/>
          <c:showSerName val="0"/>
          <c:showPercent val="0"/>
          <c:showBubbleSize val="0"/>
        </c:dLbls>
        <c:smooth val="0"/>
        <c:axId val="-1381633264"/>
        <c:axId val="-1381629216"/>
      </c:lineChart>
      <c:catAx>
        <c:axId val="-13816332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81629216"/>
        <c:crosses val="autoZero"/>
        <c:auto val="1"/>
        <c:lblAlgn val="ctr"/>
        <c:lblOffset val="100"/>
        <c:tickLblSkip val="7"/>
        <c:noMultiLvlLbl val="1"/>
      </c:catAx>
      <c:valAx>
        <c:axId val="-1381629216"/>
        <c:scaling>
          <c:orientation val="minMax"/>
        </c:scaling>
        <c:delete val="0"/>
        <c:axPos val="l"/>
        <c:majorGridlines/>
        <c:numFmt formatCode="0.0\x" sourceLinked="0"/>
        <c:majorTickMark val="out"/>
        <c:minorTickMark val="none"/>
        <c:tickLblPos val="nextTo"/>
        <c:crossAx val="-13816332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236802</xdr:colOff>
      <xdr:row>97</xdr:row>
      <xdr:rowOff>0</xdr:rowOff>
    </xdr:from>
    <xdr:to>
      <xdr:col>11</xdr:col>
      <xdr:colOff>718343</xdr:colOff>
      <xdr:row>97</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137</xdr:row>
      <xdr:rowOff>0</xdr:rowOff>
    </xdr:from>
    <xdr:to>
      <xdr:col>11</xdr:col>
      <xdr:colOff>718343</xdr:colOff>
      <xdr:row>137</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185</xdr:row>
      <xdr:rowOff>0</xdr:rowOff>
    </xdr:from>
    <xdr:to>
      <xdr:col>11</xdr:col>
      <xdr:colOff>718343</xdr:colOff>
      <xdr:row>185</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37</xdr:row>
      <xdr:rowOff>0</xdr:rowOff>
    </xdr:from>
    <xdr:to>
      <xdr:col>11</xdr:col>
      <xdr:colOff>718343</xdr:colOff>
      <xdr:row>37</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128</xdr:row>
      <xdr:rowOff>0</xdr:rowOff>
    </xdr:from>
    <xdr:to>
      <xdr:col>11</xdr:col>
      <xdr:colOff>718343</xdr:colOff>
      <xdr:row>128</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B242"/>
  <sheetViews>
    <sheetView showGridLines="0" tabSelected="1" workbookViewId="0">
      <selection activeCell="B2" sqref="B2:C2"/>
    </sheetView>
  </sheetViews>
  <sheetFormatPr defaultColWidth="8.77734375" defaultRowHeight="14.4" outlineLevelRow="1" outlineLevelCol="1" x14ac:dyDescent="0.3"/>
  <cols>
    <col min="1" max="1" width="1" customWidth="1"/>
    <col min="2" max="2" width="31.6640625" customWidth="1"/>
    <col min="3" max="3" width="26.109375" style="47" customWidth="1"/>
    <col min="4" max="7" width="11.44140625" style="1" hidden="1" customWidth="1" outlineLevel="1"/>
    <col min="8" max="8" width="11.44140625" style="1" customWidth="1" collapsed="1"/>
    <col min="9" max="10" width="11.44140625" style="1" hidden="1" customWidth="1" outlineLevel="1"/>
    <col min="11" max="12" width="11.44140625" style="6" hidden="1" customWidth="1" outlineLevel="1"/>
    <col min="13" max="13" width="11.44140625" style="6" customWidth="1" collapsed="1"/>
    <col min="14" max="15" width="11.44140625" style="1" hidden="1" customWidth="1" outlineLevel="1"/>
    <col min="16" max="17" width="11.44140625" style="6" hidden="1" customWidth="1" outlineLevel="1"/>
    <col min="18" max="18" width="11.44140625" style="6" customWidth="1" collapsed="1"/>
    <col min="19" max="20" width="11.44140625" style="1" hidden="1" customWidth="1" outlineLevel="1"/>
    <col min="21" max="22" width="11.44140625" style="6" hidden="1" customWidth="1" outlineLevel="1"/>
    <col min="23" max="23" width="11.44140625" style="6" customWidth="1" collapsed="1"/>
    <col min="24" max="25" width="11.44140625" style="1" hidden="1" customWidth="1" outlineLevel="1"/>
    <col min="26" max="27" width="11.44140625" style="6" hidden="1" customWidth="1" outlineLevel="1"/>
    <col min="28" max="28" width="11.44140625" style="6" customWidth="1" collapsed="1"/>
    <col min="29" max="30" width="11.44140625" style="1" hidden="1" customWidth="1" outlineLevel="1"/>
    <col min="31" max="32" width="11.44140625" style="6" hidden="1" customWidth="1" outlineLevel="1"/>
    <col min="33" max="33" width="11.44140625" style="6" customWidth="1" collapsed="1"/>
    <col min="34" max="35" width="11.44140625" style="239" hidden="1" customWidth="1" outlineLevel="1"/>
    <col min="36" max="37" width="11.44140625" style="240" hidden="1" customWidth="1" outlineLevel="1"/>
    <col min="38" max="38" width="11.44140625" style="240" customWidth="1" collapsed="1"/>
    <col min="39" max="40" width="11.44140625" style="239" hidden="1" customWidth="1" outlineLevel="1"/>
    <col min="41" max="42" width="11.44140625" style="240" hidden="1" customWidth="1" outlineLevel="1"/>
    <col min="43" max="43" width="11.44140625" style="240" customWidth="1" collapsed="1"/>
  </cols>
  <sheetData>
    <row r="1" spans="2:80" s="238" customFormat="1" ht="6" customHeight="1" x14ac:dyDescent="0.3">
      <c r="C1" s="47"/>
      <c r="D1" s="239"/>
      <c r="E1" s="239"/>
      <c r="F1" s="239"/>
      <c r="G1" s="239"/>
      <c r="H1" s="239"/>
      <c r="I1" s="239"/>
      <c r="J1" s="239"/>
      <c r="K1" s="240"/>
      <c r="L1" s="240"/>
      <c r="M1" s="240"/>
      <c r="N1" s="239"/>
      <c r="O1" s="239"/>
      <c r="P1" s="240"/>
      <c r="Q1" s="240"/>
      <c r="R1" s="240"/>
      <c r="S1" s="239"/>
      <c r="T1" s="239"/>
      <c r="U1" s="240"/>
      <c r="V1" s="240"/>
      <c r="W1" s="240"/>
      <c r="X1" s="239"/>
      <c r="Y1" s="239"/>
      <c r="Z1" s="240"/>
      <c r="AA1" s="240"/>
      <c r="AB1" s="240"/>
      <c r="AC1" s="239"/>
      <c r="AD1" s="239"/>
      <c r="AE1" s="240"/>
      <c r="AF1" s="240"/>
      <c r="AG1" s="240"/>
      <c r="AH1" s="239"/>
      <c r="AI1" s="239"/>
      <c r="AJ1" s="240"/>
      <c r="AK1" s="240"/>
      <c r="AL1" s="240"/>
      <c r="AM1" s="239"/>
      <c r="AN1" s="239"/>
      <c r="AO1" s="240"/>
      <c r="AP1" s="240"/>
      <c r="AQ1" s="240"/>
    </row>
    <row r="2" spans="2:80" ht="45" customHeight="1" x14ac:dyDescent="0.3">
      <c r="B2" s="395" t="s">
        <v>238</v>
      </c>
      <c r="C2" s="396"/>
    </row>
    <row r="3" spans="2:80" x14ac:dyDescent="0.3">
      <c r="B3" s="400" t="s">
        <v>269</v>
      </c>
      <c r="C3" s="401"/>
      <c r="I3" s="58"/>
    </row>
    <row r="4" spans="2:80" x14ac:dyDescent="0.3">
      <c r="B4" s="402" t="s">
        <v>255</v>
      </c>
      <c r="C4" s="403"/>
      <c r="I4" s="58"/>
      <c r="CB4" s="276" t="s">
        <v>239</v>
      </c>
    </row>
    <row r="5" spans="2:80" x14ac:dyDescent="0.3">
      <c r="B5" s="254" t="s">
        <v>212</v>
      </c>
      <c r="C5" s="312">
        <f>C200</f>
        <v>113.35120502392157</v>
      </c>
      <c r="D5" s="235"/>
      <c r="I5" s="58"/>
      <c r="J5" s="58"/>
      <c r="K5" s="58"/>
      <c r="L5" s="86"/>
      <c r="M5" s="295"/>
      <c r="N5" s="86"/>
      <c r="O5" s="86"/>
      <c r="P5" s="86"/>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row>
    <row r="6" spans="2:80" x14ac:dyDescent="0.3">
      <c r="B6" s="252" t="s">
        <v>213</v>
      </c>
      <c r="C6" s="313">
        <f>C232</f>
        <v>140.15527040399658</v>
      </c>
      <c r="D6" s="59"/>
      <c r="I6" s="58"/>
      <c r="J6" s="58"/>
      <c r="K6" s="58"/>
      <c r="L6" s="86"/>
      <c r="M6" s="295"/>
      <c r="N6" s="86"/>
      <c r="O6" s="86"/>
      <c r="P6" s="86"/>
      <c r="Q6" s="58"/>
      <c r="R6" s="58"/>
      <c r="S6" s="58"/>
      <c r="T6" s="281"/>
      <c r="U6" s="281"/>
      <c r="V6" s="58"/>
      <c r="W6" s="58"/>
      <c r="X6" s="58"/>
      <c r="Y6" s="58"/>
      <c r="Z6" s="58"/>
      <c r="AA6" s="58"/>
      <c r="AB6" s="58"/>
      <c r="AC6" s="58"/>
      <c r="AD6" s="58"/>
      <c r="AE6" s="58"/>
      <c r="AF6" s="58"/>
      <c r="AG6" s="58"/>
      <c r="AH6" s="58"/>
      <c r="AI6" s="58"/>
      <c r="AJ6" s="58"/>
      <c r="AK6" s="58"/>
      <c r="AL6" s="58"/>
      <c r="AM6" s="58"/>
      <c r="AN6" s="58"/>
      <c r="AO6" s="58"/>
      <c r="AP6" s="58"/>
      <c r="AQ6" s="58"/>
    </row>
    <row r="7" spans="2:80" x14ac:dyDescent="0.3">
      <c r="B7" s="253" t="s">
        <v>214</v>
      </c>
      <c r="C7" s="314">
        <f>(0.5*C5)+(0.5*C6)</f>
        <v>126.75323771395907</v>
      </c>
      <c r="D7" s="237"/>
      <c r="G7" s="76"/>
      <c r="H7" s="235"/>
      <c r="I7" s="76"/>
      <c r="J7" s="58"/>
      <c r="K7" s="58"/>
      <c r="L7" s="86"/>
      <c r="M7" s="295"/>
      <c r="N7" s="86"/>
      <c r="O7" s="86"/>
      <c r="P7" s="86"/>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row>
    <row r="8" spans="2:80" ht="4.5" customHeight="1" x14ac:dyDescent="0.3">
      <c r="C8" s="102"/>
      <c r="D8" s="246"/>
      <c r="E8" s="246"/>
      <c r="F8" s="246"/>
      <c r="G8" s="246"/>
      <c r="H8" s="246"/>
      <c r="I8" s="246"/>
      <c r="J8" s="84"/>
      <c r="K8" s="84"/>
      <c r="L8" s="84"/>
      <c r="M8" s="85"/>
      <c r="N8" s="84"/>
      <c r="O8" s="84"/>
      <c r="P8" s="84"/>
      <c r="Q8" s="86"/>
      <c r="R8" s="86"/>
      <c r="S8" s="84"/>
      <c r="T8" s="84"/>
      <c r="U8" s="84"/>
      <c r="V8" s="86"/>
      <c r="W8" s="86"/>
      <c r="X8" s="84"/>
      <c r="Y8" s="84"/>
      <c r="Z8" s="84"/>
      <c r="AA8" s="86"/>
      <c r="AB8" s="58"/>
      <c r="AC8" s="57"/>
      <c r="AD8" s="57"/>
      <c r="AE8" s="57"/>
      <c r="AF8" s="58"/>
      <c r="AG8" s="58"/>
      <c r="AH8" s="57"/>
      <c r="AI8" s="57"/>
      <c r="AJ8" s="57"/>
      <c r="AK8" s="58"/>
      <c r="AL8" s="58"/>
      <c r="AM8" s="57"/>
      <c r="AN8" s="57"/>
      <c r="AO8" s="57"/>
      <c r="AP8" s="58"/>
      <c r="AQ8" s="58"/>
    </row>
    <row r="9" spans="2:80" ht="15.6" x14ac:dyDescent="0.3">
      <c r="B9" s="362" t="s">
        <v>117</v>
      </c>
      <c r="C9" s="363"/>
      <c r="D9" s="132" t="s">
        <v>43</v>
      </c>
      <c r="E9" s="132" t="s">
        <v>42</v>
      </c>
      <c r="F9" s="132" t="s">
        <v>41</v>
      </c>
      <c r="G9" s="132" t="s">
        <v>44</v>
      </c>
      <c r="H9" s="132" t="s">
        <v>44</v>
      </c>
      <c r="I9" s="132" t="s">
        <v>45</v>
      </c>
      <c r="J9" s="132" t="s">
        <v>46</v>
      </c>
      <c r="K9" s="132" t="s">
        <v>47</v>
      </c>
      <c r="L9" s="132" t="s">
        <v>49</v>
      </c>
      <c r="M9" s="132" t="s">
        <v>49</v>
      </c>
      <c r="N9" s="132" t="s">
        <v>50</v>
      </c>
      <c r="O9" s="132" t="s">
        <v>51</v>
      </c>
      <c r="P9" s="132" t="s">
        <v>52</v>
      </c>
      <c r="Q9" s="142" t="s">
        <v>48</v>
      </c>
      <c r="R9" s="142" t="s">
        <v>48</v>
      </c>
      <c r="S9" s="142" t="s">
        <v>53</v>
      </c>
      <c r="T9" s="142" t="s">
        <v>54</v>
      </c>
      <c r="U9" s="142" t="s">
        <v>55</v>
      </c>
      <c r="V9" s="142" t="s">
        <v>56</v>
      </c>
      <c r="W9" s="142" t="s">
        <v>56</v>
      </c>
      <c r="X9" s="142" t="s">
        <v>57</v>
      </c>
      <c r="Y9" s="142" t="s">
        <v>58</v>
      </c>
      <c r="Z9" s="142" t="s">
        <v>59</v>
      </c>
      <c r="AA9" s="142" t="s">
        <v>60</v>
      </c>
      <c r="AB9" s="142" t="s">
        <v>60</v>
      </c>
      <c r="AC9" s="142" t="s">
        <v>61</v>
      </c>
      <c r="AD9" s="142" t="s">
        <v>62</v>
      </c>
      <c r="AE9" s="142" t="s">
        <v>63</v>
      </c>
      <c r="AF9" s="142" t="s">
        <v>78</v>
      </c>
      <c r="AG9" s="142" t="s">
        <v>78</v>
      </c>
      <c r="AH9" s="142" t="s">
        <v>229</v>
      </c>
      <c r="AI9" s="142" t="s">
        <v>230</v>
      </c>
      <c r="AJ9" s="142" t="s">
        <v>231</v>
      </c>
      <c r="AK9" s="142" t="s">
        <v>232</v>
      </c>
      <c r="AL9" s="142" t="s">
        <v>232</v>
      </c>
      <c r="AM9" s="142" t="s">
        <v>258</v>
      </c>
      <c r="AN9" s="142" t="s">
        <v>259</v>
      </c>
      <c r="AO9" s="142" t="s">
        <v>260</v>
      </c>
      <c r="AP9" s="142" t="s">
        <v>261</v>
      </c>
      <c r="AQ9" s="158" t="s">
        <v>261</v>
      </c>
    </row>
    <row r="10" spans="2:80" ht="16.2" x14ac:dyDescent="0.45">
      <c r="B10" s="360" t="s">
        <v>1</v>
      </c>
      <c r="C10" s="361"/>
      <c r="D10" s="133" t="s">
        <v>79</v>
      </c>
      <c r="E10" s="133" t="s">
        <v>80</v>
      </c>
      <c r="F10" s="133" t="s">
        <v>81</v>
      </c>
      <c r="G10" s="133" t="s">
        <v>82</v>
      </c>
      <c r="H10" s="135" t="s">
        <v>193</v>
      </c>
      <c r="I10" s="133" t="s">
        <v>83</v>
      </c>
      <c r="J10" s="133" t="s">
        <v>203</v>
      </c>
      <c r="K10" s="133" t="s">
        <v>204</v>
      </c>
      <c r="L10" s="133" t="s">
        <v>223</v>
      </c>
      <c r="M10" s="133" t="s">
        <v>224</v>
      </c>
      <c r="N10" s="133" t="s">
        <v>252</v>
      </c>
      <c r="O10" s="133" t="s">
        <v>253</v>
      </c>
      <c r="P10" s="133" t="s">
        <v>254</v>
      </c>
      <c r="Q10" s="143" t="s">
        <v>90</v>
      </c>
      <c r="R10" s="144" t="s">
        <v>91</v>
      </c>
      <c r="S10" s="143" t="s">
        <v>92</v>
      </c>
      <c r="T10" s="143" t="s">
        <v>93</v>
      </c>
      <c r="U10" s="143" t="s">
        <v>94</v>
      </c>
      <c r="V10" s="143" t="s">
        <v>95</v>
      </c>
      <c r="W10" s="144" t="s">
        <v>96</v>
      </c>
      <c r="X10" s="143" t="s">
        <v>97</v>
      </c>
      <c r="Y10" s="143" t="s">
        <v>98</v>
      </c>
      <c r="Z10" s="143" t="s">
        <v>99</v>
      </c>
      <c r="AA10" s="143" t="s">
        <v>100</v>
      </c>
      <c r="AB10" s="144" t="s">
        <v>101</v>
      </c>
      <c r="AC10" s="143" t="s">
        <v>102</v>
      </c>
      <c r="AD10" s="143" t="s">
        <v>103</v>
      </c>
      <c r="AE10" s="143" t="s">
        <v>104</v>
      </c>
      <c r="AF10" s="143" t="s">
        <v>105</v>
      </c>
      <c r="AG10" s="144" t="s">
        <v>198</v>
      </c>
      <c r="AH10" s="143" t="s">
        <v>233</v>
      </c>
      <c r="AI10" s="143" t="s">
        <v>234</v>
      </c>
      <c r="AJ10" s="143" t="s">
        <v>235</v>
      </c>
      <c r="AK10" s="143" t="s">
        <v>236</v>
      </c>
      <c r="AL10" s="144" t="s">
        <v>237</v>
      </c>
      <c r="AM10" s="143" t="s">
        <v>262</v>
      </c>
      <c r="AN10" s="143" t="s">
        <v>263</v>
      </c>
      <c r="AO10" s="143" t="s">
        <v>264</v>
      </c>
      <c r="AP10" s="143" t="s">
        <v>265</v>
      </c>
      <c r="AQ10" s="159" t="s">
        <v>266</v>
      </c>
    </row>
    <row r="11" spans="2:80" x14ac:dyDescent="0.3">
      <c r="B11" s="356" t="s">
        <v>120</v>
      </c>
      <c r="C11" s="394"/>
      <c r="D11" s="169">
        <v>1270.0889999999999</v>
      </c>
      <c r="E11" s="170">
        <v>1340.4069999999999</v>
      </c>
      <c r="F11" s="170">
        <v>1409.432</v>
      </c>
      <c r="G11" s="171">
        <v>1484.7280000000001</v>
      </c>
      <c r="H11" s="172">
        <f>SUM(D11:G11)</f>
        <v>5504.6559999999999</v>
      </c>
      <c r="I11" s="169">
        <v>1573.1289999999999</v>
      </c>
      <c r="J11" s="201">
        <v>1644.694</v>
      </c>
      <c r="K11" s="201">
        <v>1738.355</v>
      </c>
      <c r="L11" s="201">
        <v>1823.3330000000001</v>
      </c>
      <c r="M11" s="172">
        <f>SUM(I11:L11)</f>
        <v>6779.5110000000004</v>
      </c>
      <c r="N11" s="201">
        <v>1957.7360000000001</v>
      </c>
      <c r="O11" s="201">
        <v>2105.2040000000002</v>
      </c>
      <c r="P11" s="201">
        <v>2290.1880000000001</v>
      </c>
      <c r="Q11" s="201">
        <f>Q43+Q54+Q65</f>
        <v>2470</v>
      </c>
      <c r="R11" s="104">
        <f>SUM(N11:Q11)</f>
        <v>8823.1280000000006</v>
      </c>
      <c r="S11" s="201">
        <f>S43+S54+S65</f>
        <v>2503.9223309321933</v>
      </c>
      <c r="T11" s="201">
        <f>T43+T54+T65</f>
        <v>2728.8535555518306</v>
      </c>
      <c r="U11" s="201">
        <f>U43+U54+U65</f>
        <v>2873.7331453520878</v>
      </c>
      <c r="V11" s="201">
        <f>V43+V54+V65</f>
        <v>3127.5875612034483</v>
      </c>
      <c r="W11" s="104">
        <f>SUM(S11:V11)</f>
        <v>11234.09659303956</v>
      </c>
      <c r="X11" s="201">
        <f>X43+X54+X65</f>
        <v>3567.6216764247815</v>
      </c>
      <c r="Y11" s="201">
        <f>Y43+Y54+Y65</f>
        <v>4111.7604220107914</v>
      </c>
      <c r="Z11" s="201">
        <f>Z43+Z54+Z65</f>
        <v>4661.1781496896592</v>
      </c>
      <c r="AA11" s="201">
        <f>AA43+AA54+AA65</f>
        <v>5481.0691245413327</v>
      </c>
      <c r="AB11" s="172">
        <f>SUM(X11:AA11)</f>
        <v>17821.629372666564</v>
      </c>
      <c r="AC11" s="201">
        <f>AC43+AC54+AC65</f>
        <v>6726.4287611424588</v>
      </c>
      <c r="AD11" s="201">
        <f>AD43+AD54+AD65</f>
        <v>7955.715745153052</v>
      </c>
      <c r="AE11" s="201">
        <f>AE43+AE54+AE65</f>
        <v>9184.6953064369754</v>
      </c>
      <c r="AF11" s="201">
        <f>AF43+AF54+AF65</f>
        <v>10858.611725459692</v>
      </c>
      <c r="AG11" s="172">
        <f>SUM(AC11:AF11)</f>
        <v>34725.451538192174</v>
      </c>
      <c r="AH11" s="201">
        <f>AH43+AH54+AH65</f>
        <v>13378.063851650686</v>
      </c>
      <c r="AI11" s="201">
        <f>AI43+AI54+AI65</f>
        <v>16182.639703951829</v>
      </c>
      <c r="AJ11" s="201">
        <f>AJ43+AJ54+AJ65</f>
        <v>19017.279126275193</v>
      </c>
      <c r="AK11" s="201">
        <f>AK43+AK54+AK65</f>
        <v>22880.152354589798</v>
      </c>
      <c r="AL11" s="172">
        <f>SUM(AH11:AK11)</f>
        <v>71458.135036467502</v>
      </c>
      <c r="AM11" s="201">
        <f>AM43+AM54+AM65</f>
        <v>29622.874702077206</v>
      </c>
      <c r="AN11" s="201">
        <f>AN43+AN54+AN65</f>
        <v>37582.441429013423</v>
      </c>
      <c r="AO11" s="201">
        <f>AO43+AO54+AO65</f>
        <v>47608.038291811463</v>
      </c>
      <c r="AP11" s="201">
        <f>AP43+AP54+AP65</f>
        <v>57865.474033271435</v>
      </c>
      <c r="AQ11" s="172">
        <f>SUM(AM11:AP11)</f>
        <v>172678.82845617353</v>
      </c>
    </row>
    <row r="12" spans="2:80" s="126" customFormat="1" ht="17.25" customHeight="1" x14ac:dyDescent="0.45">
      <c r="B12" s="154" t="s">
        <v>121</v>
      </c>
      <c r="C12" s="155"/>
      <c r="D12" s="173">
        <v>869.18600000000004</v>
      </c>
      <c r="E12" s="174">
        <v>914.84799999999996</v>
      </c>
      <c r="F12" s="174">
        <v>954.39400000000001</v>
      </c>
      <c r="G12" s="175">
        <v>1014.332</v>
      </c>
      <c r="H12" s="176">
        <f>SUM(D12:G12)</f>
        <v>3752.7599999999998</v>
      </c>
      <c r="I12" s="173">
        <v>1046.4010000000001</v>
      </c>
      <c r="J12" s="202">
        <v>1121.752</v>
      </c>
      <c r="K12" s="202">
        <v>1173.9580000000001</v>
      </c>
      <c r="L12" s="202">
        <v>1249.365</v>
      </c>
      <c r="M12" s="176">
        <f>SUM(I12:L12)</f>
        <v>4591.4760000000006</v>
      </c>
      <c r="N12" s="202">
        <v>1369.54</v>
      </c>
      <c r="O12" s="202">
        <v>1473.098</v>
      </c>
      <c r="P12" s="202">
        <v>1532.8440000000001</v>
      </c>
      <c r="Q12" s="202">
        <f>Q45+Q56+Q67</f>
        <v>1672.6850000000002</v>
      </c>
      <c r="R12" s="140">
        <f>SUM(N12:Q12)</f>
        <v>6048.1670000000004</v>
      </c>
      <c r="S12" s="202">
        <f>S45+S56+S67</f>
        <v>1690.5739878103184</v>
      </c>
      <c r="T12" s="202">
        <f>T45+T56+T67</f>
        <v>1835.3226648517621</v>
      </c>
      <c r="U12" s="202">
        <f>U45+U56+U67</f>
        <v>1916.5817079022945</v>
      </c>
      <c r="V12" s="202">
        <f>V45+V56+V67</f>
        <v>2106.1155067628474</v>
      </c>
      <c r="W12" s="140">
        <f>SUM(S12:V12)</f>
        <v>7548.5938673272231</v>
      </c>
      <c r="X12" s="202">
        <f>X45+X56+X67</f>
        <v>2446.1690235802871</v>
      </c>
      <c r="Y12" s="202">
        <f>Y45+Y56+Y67</f>
        <v>2869.7407332407902</v>
      </c>
      <c r="Z12" s="202">
        <f>Z45+Z56+Z67</f>
        <v>3302.7024252944157</v>
      </c>
      <c r="AA12" s="202">
        <f>AA45+AA56+AA67</f>
        <v>3949.8565544813978</v>
      </c>
      <c r="AB12" s="176">
        <f>SUM(X12:AA12)</f>
        <v>12568.468736596889</v>
      </c>
      <c r="AC12" s="202">
        <f>AC45+AC56+AC67</f>
        <v>4834.9437667691491</v>
      </c>
      <c r="AD12" s="202">
        <f>AD45+AD56+AD67</f>
        <v>5721.7478211986136</v>
      </c>
      <c r="AE12" s="202">
        <f>AE45+AE56+AE67</f>
        <v>6589.7413016302635</v>
      </c>
      <c r="AF12" s="202">
        <f>AF45+AF56+AF67</f>
        <v>7765.6305657911271</v>
      </c>
      <c r="AG12" s="176">
        <f>SUM(AC12:AF12)</f>
        <v>24912.06345538915</v>
      </c>
      <c r="AH12" s="202">
        <f>AH45+AH56+AH67</f>
        <v>9079.8053400116896</v>
      </c>
      <c r="AI12" s="202">
        <f>AI45+AI56+AI67</f>
        <v>10754.870954835891</v>
      </c>
      <c r="AJ12" s="202">
        <f>AJ45+AJ56+AJ67</f>
        <v>12678.27852359463</v>
      </c>
      <c r="AK12" s="202">
        <f>AK45+AK56+AK67</f>
        <v>14064.732670491669</v>
      </c>
      <c r="AL12" s="176">
        <f>SUM(AH12:AK12)</f>
        <v>46577.68748893388</v>
      </c>
      <c r="AM12" s="202">
        <f>AM45+AM56+AM67</f>
        <v>17673.221782793124</v>
      </c>
      <c r="AN12" s="202">
        <f>AN45+AN56+AN67</f>
        <v>21742.011757683878</v>
      </c>
      <c r="AO12" s="202">
        <f>AO45+AO56+AO67</f>
        <v>27077.309792049986</v>
      </c>
      <c r="AP12" s="202">
        <f>AP45+AP56+AP67</f>
        <v>32922.886284286476</v>
      </c>
      <c r="AQ12" s="176">
        <f>SUM(AM12:AP12)</f>
        <v>99415.429616813461</v>
      </c>
    </row>
    <row r="13" spans="2:80" s="90" customFormat="1" x14ac:dyDescent="0.3">
      <c r="B13" s="152" t="s">
        <v>122</v>
      </c>
      <c r="C13" s="153"/>
      <c r="D13" s="177">
        <f>D11-D12</f>
        <v>400.90299999999991</v>
      </c>
      <c r="E13" s="178">
        <f t="shared" ref="E13:AG13" si="0">E11-E12</f>
        <v>425.55899999999997</v>
      </c>
      <c r="F13" s="178">
        <f t="shared" si="0"/>
        <v>455.03800000000001</v>
      </c>
      <c r="G13" s="179">
        <f t="shared" si="0"/>
        <v>470.39600000000007</v>
      </c>
      <c r="H13" s="180">
        <f t="shared" si="0"/>
        <v>1751.8960000000002</v>
      </c>
      <c r="I13" s="177">
        <f t="shared" si="0"/>
        <v>526.72799999999984</v>
      </c>
      <c r="J13" s="203">
        <f t="shared" si="0"/>
        <v>522.94200000000001</v>
      </c>
      <c r="K13" s="203">
        <f t="shared" si="0"/>
        <v>564.39699999999993</v>
      </c>
      <c r="L13" s="203">
        <f t="shared" si="0"/>
        <v>573.96800000000007</v>
      </c>
      <c r="M13" s="180">
        <f t="shared" si="0"/>
        <v>2188.0349999999999</v>
      </c>
      <c r="N13" s="203">
        <f t="shared" si="0"/>
        <v>588.19600000000014</v>
      </c>
      <c r="O13" s="203">
        <f t="shared" si="0"/>
        <v>632.10600000000022</v>
      </c>
      <c r="P13" s="203">
        <f t="shared" si="0"/>
        <v>757.34400000000005</v>
      </c>
      <c r="Q13" s="203">
        <f t="shared" si="0"/>
        <v>797.31499999999983</v>
      </c>
      <c r="R13" s="105">
        <f t="shared" si="0"/>
        <v>2774.9610000000002</v>
      </c>
      <c r="S13" s="203">
        <f t="shared" si="0"/>
        <v>813.3483431218749</v>
      </c>
      <c r="T13" s="203">
        <f t="shared" si="0"/>
        <v>893.53089070006854</v>
      </c>
      <c r="U13" s="203">
        <f t="shared" si="0"/>
        <v>957.15143744979332</v>
      </c>
      <c r="V13" s="203">
        <f t="shared" si="0"/>
        <v>1021.4720544406009</v>
      </c>
      <c r="W13" s="105">
        <f t="shared" si="0"/>
        <v>3685.5027257123365</v>
      </c>
      <c r="X13" s="203">
        <f t="shared" si="0"/>
        <v>1121.4526528444944</v>
      </c>
      <c r="Y13" s="203">
        <f t="shared" si="0"/>
        <v>1242.0196887700013</v>
      </c>
      <c r="Z13" s="203">
        <f t="shared" si="0"/>
        <v>1358.4757243952436</v>
      </c>
      <c r="AA13" s="203">
        <f t="shared" si="0"/>
        <v>1531.2125700599349</v>
      </c>
      <c r="AB13" s="180">
        <f t="shared" si="0"/>
        <v>5253.1606360696751</v>
      </c>
      <c r="AC13" s="203">
        <f t="shared" si="0"/>
        <v>1891.4849943733097</v>
      </c>
      <c r="AD13" s="203">
        <f t="shared" si="0"/>
        <v>2233.9679239544384</v>
      </c>
      <c r="AE13" s="203">
        <f t="shared" si="0"/>
        <v>2594.954004806712</v>
      </c>
      <c r="AF13" s="203">
        <f t="shared" si="0"/>
        <v>3092.9811596685649</v>
      </c>
      <c r="AG13" s="180">
        <f t="shared" si="0"/>
        <v>9813.3880828030233</v>
      </c>
      <c r="AH13" s="203">
        <f t="shared" ref="AH13:AL13" si="1">AH11-AH12</f>
        <v>4298.2585116389964</v>
      </c>
      <c r="AI13" s="203">
        <f t="shared" si="1"/>
        <v>5427.7687491159377</v>
      </c>
      <c r="AJ13" s="203">
        <f t="shared" si="1"/>
        <v>6339.0006026805622</v>
      </c>
      <c r="AK13" s="203">
        <f t="shared" si="1"/>
        <v>8815.4196840981294</v>
      </c>
      <c r="AL13" s="180">
        <f t="shared" si="1"/>
        <v>24880.447547533622</v>
      </c>
      <c r="AM13" s="203">
        <f t="shared" ref="AM13:AQ13" si="2">AM11-AM12</f>
        <v>11949.652919284083</v>
      </c>
      <c r="AN13" s="203">
        <f t="shared" si="2"/>
        <v>15840.429671329544</v>
      </c>
      <c r="AO13" s="203">
        <f t="shared" si="2"/>
        <v>20530.728499761477</v>
      </c>
      <c r="AP13" s="203">
        <f t="shared" si="2"/>
        <v>24942.587748984959</v>
      </c>
      <c r="AQ13" s="180">
        <f t="shared" si="2"/>
        <v>73263.398839360074</v>
      </c>
    </row>
    <row r="14" spans="2:80" x14ac:dyDescent="0.3">
      <c r="B14" s="356" t="s">
        <v>123</v>
      </c>
      <c r="C14" s="394"/>
      <c r="D14" s="181">
        <v>137.09800000000001</v>
      </c>
      <c r="E14" s="182">
        <v>120.76300000000001</v>
      </c>
      <c r="F14" s="182">
        <v>145.654</v>
      </c>
      <c r="G14" s="183">
        <v>203.67099999999999</v>
      </c>
      <c r="H14" s="184">
        <f>SUM(D14:G14)</f>
        <v>607.18599999999992</v>
      </c>
      <c r="I14" s="181">
        <v>194.67699999999999</v>
      </c>
      <c r="J14" s="201">
        <v>197.14</v>
      </c>
      <c r="K14" s="201">
        <v>208.102</v>
      </c>
      <c r="L14" s="204">
        <v>224.173</v>
      </c>
      <c r="M14" s="184">
        <f>SUM(I14:L14)</f>
        <v>824.09199999999998</v>
      </c>
      <c r="N14" s="205">
        <v>208.01</v>
      </c>
      <c r="O14" s="201">
        <v>216.029</v>
      </c>
      <c r="P14" s="201">
        <v>282.04300000000001</v>
      </c>
      <c r="Q14" s="204">
        <f>Q47+Q58+Q69</f>
        <v>292.375</v>
      </c>
      <c r="R14" s="242">
        <f>SUM(N14:Q14)</f>
        <v>998.45699999999999</v>
      </c>
      <c r="S14" s="205">
        <f>S47+S58+S69</f>
        <v>290.06037500000002</v>
      </c>
      <c r="T14" s="201">
        <f>T47+T58+T69</f>
        <v>306.39499343749998</v>
      </c>
      <c r="U14" s="201">
        <f>U47+U58+U69</f>
        <v>320.98156035</v>
      </c>
      <c r="V14" s="204">
        <f>V47+V58+V69</f>
        <v>349.51647781050008</v>
      </c>
      <c r="W14" s="242">
        <f>SUM(S14:V14)</f>
        <v>1266.9534065980001</v>
      </c>
      <c r="X14" s="205">
        <f>X47+X58+X69</f>
        <v>405.23248706902507</v>
      </c>
      <c r="Y14" s="201">
        <f>Y47+Y58+Y69</f>
        <v>480.50092394662056</v>
      </c>
      <c r="Z14" s="201">
        <f>Z47+Z58+Z69</f>
        <v>446.36007374403295</v>
      </c>
      <c r="AA14" s="204">
        <f>AA47+AA58+AA69</f>
        <v>523.89698495229095</v>
      </c>
      <c r="AB14" s="184">
        <f>SUM(X14:AA14)</f>
        <v>1855.9904697119696</v>
      </c>
      <c r="AC14" s="205">
        <f>AC47+AC58+AC69</f>
        <v>469.10222436814985</v>
      </c>
      <c r="AD14" s="201">
        <f>AD47+AD58+AD69</f>
        <v>556.99243952923644</v>
      </c>
      <c r="AE14" s="201">
        <f>AE47+AE58+AE69</f>
        <v>644.91506285588878</v>
      </c>
      <c r="AF14" s="204">
        <f>AF47+AF58+AF69</f>
        <v>764.58493315237968</v>
      </c>
      <c r="AG14" s="184">
        <f>SUM(AC14:AF14)</f>
        <v>2435.5946599056547</v>
      </c>
      <c r="AH14" s="205">
        <f>AH47+AH58+AH69</f>
        <v>944.56588026632892</v>
      </c>
      <c r="AI14" s="201">
        <f>AI47+AI58+AI69</f>
        <v>1144.925341763947</v>
      </c>
      <c r="AJ14" s="201">
        <f>AJ47+AJ58+AJ69</f>
        <v>1347.4955410136242</v>
      </c>
      <c r="AK14" s="204">
        <f>AK47+AK58+AK69</f>
        <v>1623.4748945732053</v>
      </c>
      <c r="AL14" s="184">
        <f>SUM(AH14:AK14)</f>
        <v>5060.4616576171056</v>
      </c>
      <c r="AM14" s="205">
        <f>AM47+AM58+AM69</f>
        <v>1018.9898379976635</v>
      </c>
      <c r="AN14" s="201">
        <f>AN47+AN58+AN69</f>
        <v>1250.4265985957845</v>
      </c>
      <c r="AO14" s="201">
        <f>AO47+AO58+AO69</f>
        <v>1485.6510106925459</v>
      </c>
      <c r="AP14" s="204">
        <f>AP47+AP58+AP69</f>
        <v>1806.2693841205996</v>
      </c>
      <c r="AQ14" s="184">
        <f>SUM(AM14:AP14)</f>
        <v>5561.3368314065938</v>
      </c>
    </row>
    <row r="15" spans="2:80" s="126" customFormat="1" x14ac:dyDescent="0.3">
      <c r="B15" s="219" t="s">
        <v>124</v>
      </c>
      <c r="C15" s="220"/>
      <c r="D15" s="181">
        <v>110.31</v>
      </c>
      <c r="E15" s="182">
        <v>115.182</v>
      </c>
      <c r="F15" s="182">
        <v>120.953</v>
      </c>
      <c r="G15" s="183">
        <v>125.876</v>
      </c>
      <c r="H15" s="184">
        <f>SUM(D15:G15)</f>
        <v>472.32100000000003</v>
      </c>
      <c r="I15" s="181">
        <v>143.10599999999999</v>
      </c>
      <c r="J15" s="201">
        <v>155.06100000000001</v>
      </c>
      <c r="K15" s="201">
        <v>171.762</v>
      </c>
      <c r="L15" s="204">
        <v>180.85900000000001</v>
      </c>
      <c r="M15" s="184">
        <f>SUM(I15:L15)</f>
        <v>650.78800000000001</v>
      </c>
      <c r="N15" s="205">
        <v>203.50800000000001</v>
      </c>
      <c r="O15" s="201">
        <v>207.3</v>
      </c>
      <c r="P15" s="201">
        <v>216.09899999999999</v>
      </c>
      <c r="Q15" s="204">
        <f>Q11*Q76</f>
        <v>219.39000000000038</v>
      </c>
      <c r="R15" s="242">
        <f>SUM(N15:Q15)</f>
        <v>846.29700000000025</v>
      </c>
      <c r="S15" s="205">
        <f>S11*S76</f>
        <v>225.35300978389739</v>
      </c>
      <c r="T15" s="201">
        <f>T11*T76</f>
        <v>245.59681999966475</v>
      </c>
      <c r="U15" s="201">
        <f>U11*U76</f>
        <v>258.63598308168787</v>
      </c>
      <c r="V15" s="204">
        <f>V11*V76</f>
        <v>281.48288050831036</v>
      </c>
      <c r="W15" s="242">
        <f>SUM(S15:V15)</f>
        <v>1011.0686933735603</v>
      </c>
      <c r="X15" s="205">
        <f>X11*X76</f>
        <v>321.08595087823034</v>
      </c>
      <c r="Y15" s="201">
        <f>Y11*Y76</f>
        <v>370.05843798097123</v>
      </c>
      <c r="Z15" s="201">
        <f>Z11*Z76</f>
        <v>419.5060334720693</v>
      </c>
      <c r="AA15" s="204">
        <f>AA11*AA76</f>
        <v>493.29622120871994</v>
      </c>
      <c r="AB15" s="184">
        <f>SUM(X15:AA15)</f>
        <v>1603.9466435399909</v>
      </c>
      <c r="AC15" s="205">
        <f>AC11*AC76</f>
        <v>605.37858850282123</v>
      </c>
      <c r="AD15" s="201">
        <f>AD11*AD76</f>
        <v>716.01441706377466</v>
      </c>
      <c r="AE15" s="201">
        <f>AE11*AE76</f>
        <v>826.62257757932775</v>
      </c>
      <c r="AF15" s="204">
        <f>AF11*AF76</f>
        <v>977.27505529137227</v>
      </c>
      <c r="AG15" s="184">
        <f>SUM(AC15:AF15)</f>
        <v>3125.2906384372959</v>
      </c>
      <c r="AH15" s="205">
        <f>AH11*AH76</f>
        <v>1204.0257466485616</v>
      </c>
      <c r="AI15" s="201">
        <f>AI11*AI76</f>
        <v>1456.4375733556644</v>
      </c>
      <c r="AJ15" s="201">
        <f>AJ11*AJ76</f>
        <v>1711.5551213647673</v>
      </c>
      <c r="AK15" s="204">
        <f>AK11*AK76</f>
        <v>2059.2137119130816</v>
      </c>
      <c r="AL15" s="184">
        <f>SUM(AH15:AK15)</f>
        <v>6431.2321532820752</v>
      </c>
      <c r="AM15" s="205">
        <f>AM11*AM76</f>
        <v>2369.8299761661765</v>
      </c>
      <c r="AN15" s="201">
        <f>AN11*AN76</f>
        <v>3006.5953143210741</v>
      </c>
      <c r="AO15" s="201">
        <f>AO11*AO76</f>
        <v>3332.5626804268027</v>
      </c>
      <c r="AP15" s="204">
        <f>AP11*AP76</f>
        <v>4050.5831823290009</v>
      </c>
      <c r="AQ15" s="184">
        <f>SUM(AM15:AP15)</f>
        <v>12759.571153243054</v>
      </c>
    </row>
    <row r="16" spans="2:80" s="126" customFormat="1" ht="16.2" x14ac:dyDescent="0.45">
      <c r="B16" s="154" t="s">
        <v>125</v>
      </c>
      <c r="C16" s="155"/>
      <c r="D16" s="173">
        <v>55.9</v>
      </c>
      <c r="E16" s="174">
        <v>60.014000000000003</v>
      </c>
      <c r="F16" s="174">
        <v>78.024000000000001</v>
      </c>
      <c r="G16" s="175">
        <v>75.802999999999997</v>
      </c>
      <c r="H16" s="176">
        <f>SUM(D16:G16)</f>
        <v>269.74099999999999</v>
      </c>
      <c r="I16" s="173">
        <v>91.489000000000004</v>
      </c>
      <c r="J16" s="202">
        <v>95.906000000000006</v>
      </c>
      <c r="K16" s="202">
        <v>110.892</v>
      </c>
      <c r="L16" s="206">
        <v>109.042</v>
      </c>
      <c r="M16" s="176">
        <f>SUM(I16:L16)</f>
        <v>407.32900000000006</v>
      </c>
      <c r="N16" s="207">
        <v>127.22499999999999</v>
      </c>
      <c r="O16" s="202">
        <v>138.40700000000001</v>
      </c>
      <c r="P16" s="202">
        <v>153.166</v>
      </c>
      <c r="Q16" s="206">
        <f>Q11*Q77</f>
        <v>160.55000000000001</v>
      </c>
      <c r="R16" s="140">
        <f>SUM(N16:Q16)</f>
        <v>579.34799999999996</v>
      </c>
      <c r="S16" s="207">
        <f>S11*S77</f>
        <v>162.75495151059258</v>
      </c>
      <c r="T16" s="202">
        <f>T11*T77</f>
        <v>177.375481110869</v>
      </c>
      <c r="U16" s="202">
        <f>U11*U77</f>
        <v>186.79265444788572</v>
      </c>
      <c r="V16" s="206">
        <f>V11*V77</f>
        <v>203.29319147822414</v>
      </c>
      <c r="W16" s="140">
        <f>SUM(S16:V16)</f>
        <v>730.21627854757139</v>
      </c>
      <c r="X16" s="207">
        <f>X11*X77</f>
        <v>231.89540896761082</v>
      </c>
      <c r="Y16" s="202">
        <f>Y11*Y77</f>
        <v>267.26442743070146</v>
      </c>
      <c r="Z16" s="202">
        <f>Z11*Z77</f>
        <v>302.97657972982785</v>
      </c>
      <c r="AA16" s="206">
        <f>AA11*AA77</f>
        <v>356.26949309518665</v>
      </c>
      <c r="AB16" s="176">
        <f>SUM(X16:AA16)</f>
        <v>1158.4059092233267</v>
      </c>
      <c r="AC16" s="207">
        <f>AC11*AC77</f>
        <v>437.21786947425983</v>
      </c>
      <c r="AD16" s="202">
        <f>AD11*AD77</f>
        <v>517.12152343494836</v>
      </c>
      <c r="AE16" s="202">
        <f>AE11*AE77</f>
        <v>597.00519491840339</v>
      </c>
      <c r="AF16" s="206">
        <f>AF11*AF77</f>
        <v>705.80976215487999</v>
      </c>
      <c r="AG16" s="176">
        <f>SUM(AC16:AF16)</f>
        <v>2257.1543499824916</v>
      </c>
      <c r="AH16" s="207">
        <f>AH11*AH77</f>
        <v>869.57415035729457</v>
      </c>
      <c r="AI16" s="202">
        <f>AI11*AI77</f>
        <v>1051.871580756869</v>
      </c>
      <c r="AJ16" s="202">
        <f>AJ11*AJ77</f>
        <v>1236.1231432078876</v>
      </c>
      <c r="AK16" s="206">
        <f>AK11*AK77</f>
        <v>1487.2099030483369</v>
      </c>
      <c r="AL16" s="176">
        <f>SUM(AH16:AK16)</f>
        <v>4644.7787773703876</v>
      </c>
      <c r="AM16" s="207">
        <f>AM11*AM77</f>
        <v>1777.3724821246324</v>
      </c>
      <c r="AN16" s="202">
        <f>AN11*AN77</f>
        <v>2254.9464857408052</v>
      </c>
      <c r="AO16" s="202">
        <f>AO11*AO77</f>
        <v>2618.4421060496306</v>
      </c>
      <c r="AP16" s="206">
        <f>AP11*AP77</f>
        <v>3182.601071829929</v>
      </c>
      <c r="AQ16" s="176">
        <f>SUM(AM16:AP16)</f>
        <v>9833.3621457449972</v>
      </c>
    </row>
    <row r="17" spans="2:43" s="90" customFormat="1" ht="16.2" x14ac:dyDescent="0.45">
      <c r="B17" s="154" t="s">
        <v>84</v>
      </c>
      <c r="C17" s="155"/>
      <c r="D17" s="173">
        <f>SUM(D14:D16)</f>
        <v>303.30799999999999</v>
      </c>
      <c r="E17" s="174">
        <f t="shared" ref="E17:I17" si="3">SUM(E14:E16)</f>
        <v>295.959</v>
      </c>
      <c r="F17" s="174">
        <f t="shared" si="3"/>
        <v>344.63099999999997</v>
      </c>
      <c r="G17" s="175">
        <f t="shared" si="3"/>
        <v>405.35</v>
      </c>
      <c r="H17" s="176">
        <f t="shared" si="3"/>
        <v>1349.248</v>
      </c>
      <c r="I17" s="138">
        <f t="shared" si="3"/>
        <v>429.27200000000005</v>
      </c>
      <c r="J17" s="298">
        <f>SUM(J14:J16)</f>
        <v>448.10700000000003</v>
      </c>
      <c r="K17" s="298">
        <f t="shared" ref="K17:Q17" si="4">SUM(K14:K16)</f>
        <v>490.75600000000003</v>
      </c>
      <c r="L17" s="302">
        <f t="shared" si="4"/>
        <v>514.07400000000007</v>
      </c>
      <c r="M17" s="140">
        <f t="shared" si="4"/>
        <v>1882.2090000000003</v>
      </c>
      <c r="N17" s="303">
        <f t="shared" si="4"/>
        <v>538.74300000000005</v>
      </c>
      <c r="O17" s="298">
        <f>SUM(O14:O16)</f>
        <v>561.73599999999999</v>
      </c>
      <c r="P17" s="298">
        <f t="shared" si="4"/>
        <v>651.30799999999999</v>
      </c>
      <c r="Q17" s="302">
        <f t="shared" si="4"/>
        <v>672.3150000000004</v>
      </c>
      <c r="R17" s="140">
        <f>SUM(R14:R16)</f>
        <v>2424.1020000000003</v>
      </c>
      <c r="S17" s="303">
        <f t="shared" ref="S17" si="5">SUM(S14:S16)</f>
        <v>678.16833629449002</v>
      </c>
      <c r="T17" s="298">
        <f t="shared" ref="T17" si="6">SUM(T14:T16)</f>
        <v>729.36729454803378</v>
      </c>
      <c r="U17" s="298">
        <f t="shared" ref="U17" si="7">SUM(U14:U16)</f>
        <v>766.41019787957362</v>
      </c>
      <c r="V17" s="302">
        <f t="shared" ref="V17" si="8">SUM(V14:V16)</f>
        <v>834.29254979703455</v>
      </c>
      <c r="W17" s="140">
        <f t="shared" ref="W17" si="9">SUM(W14:W16)</f>
        <v>3008.2383785191314</v>
      </c>
      <c r="X17" s="303">
        <f t="shared" ref="X17" si="10">SUM(X14:X16)</f>
        <v>958.21384691486628</v>
      </c>
      <c r="Y17" s="298">
        <f t="shared" ref="Y17" si="11">SUM(Y14:Y16)</f>
        <v>1117.8237893582932</v>
      </c>
      <c r="Z17" s="298">
        <f t="shared" ref="Z17" si="12">SUM(Z14:Z16)</f>
        <v>1168.8426869459302</v>
      </c>
      <c r="AA17" s="302">
        <f t="shared" ref="AA17" si="13">SUM(AA14:AA16)</f>
        <v>1373.4626992561975</v>
      </c>
      <c r="AB17" s="140">
        <f t="shared" ref="AB17" si="14">SUM(AB14:AB16)</f>
        <v>4618.3430224752874</v>
      </c>
      <c r="AC17" s="303">
        <f t="shared" ref="AC17" si="15">SUM(AC14:AC16)</f>
        <v>1511.6986823452307</v>
      </c>
      <c r="AD17" s="298">
        <f t="shared" ref="AD17" si="16">SUM(AD14:AD16)</f>
        <v>1790.1283800279593</v>
      </c>
      <c r="AE17" s="298">
        <f t="shared" ref="AE17" si="17">SUM(AE14:AE16)</f>
        <v>2068.5428353536199</v>
      </c>
      <c r="AF17" s="302">
        <f t="shared" ref="AF17" si="18">SUM(AF14:AF16)</f>
        <v>2447.6697505986322</v>
      </c>
      <c r="AG17" s="140">
        <f t="shared" ref="AG17:AK17" si="19">SUM(AG14:AG16)</f>
        <v>7818.0396483254426</v>
      </c>
      <c r="AH17" s="303">
        <f t="shared" si="19"/>
        <v>3018.1657772721851</v>
      </c>
      <c r="AI17" s="298">
        <f t="shared" si="19"/>
        <v>3653.2344958764807</v>
      </c>
      <c r="AJ17" s="298">
        <f t="shared" si="19"/>
        <v>4295.1738055862788</v>
      </c>
      <c r="AK17" s="302">
        <f t="shared" si="19"/>
        <v>5169.8985095346234</v>
      </c>
      <c r="AL17" s="140">
        <f t="shared" ref="AL17:AP17" si="20">SUM(AL14:AL16)</f>
        <v>16136.472588269569</v>
      </c>
      <c r="AM17" s="303">
        <f t="shared" si="20"/>
        <v>5166.1922962884728</v>
      </c>
      <c r="AN17" s="298">
        <f t="shared" si="20"/>
        <v>6511.9683986576638</v>
      </c>
      <c r="AO17" s="298">
        <f t="shared" si="20"/>
        <v>7436.655797168979</v>
      </c>
      <c r="AP17" s="302">
        <f t="shared" si="20"/>
        <v>9039.4536382795304</v>
      </c>
      <c r="AQ17" s="140">
        <f t="shared" ref="AQ17" si="21">SUM(AQ14:AQ16)</f>
        <v>28154.270130394645</v>
      </c>
    </row>
    <row r="18" spans="2:43" x14ac:dyDescent="0.3">
      <c r="B18" s="392" t="s">
        <v>199</v>
      </c>
      <c r="C18" s="393"/>
      <c r="D18" s="177">
        <f>D13-D17</f>
        <v>97.594999999999914</v>
      </c>
      <c r="E18" s="178">
        <f t="shared" ref="E18:AG18" si="22">E13-E17</f>
        <v>129.59999999999997</v>
      </c>
      <c r="F18" s="178">
        <f t="shared" si="22"/>
        <v>110.40700000000004</v>
      </c>
      <c r="G18" s="179">
        <f t="shared" si="22"/>
        <v>65.046000000000049</v>
      </c>
      <c r="H18" s="180">
        <f t="shared" si="22"/>
        <v>402.64800000000014</v>
      </c>
      <c r="I18" s="94">
        <f t="shared" si="22"/>
        <v>97.45599999999979</v>
      </c>
      <c r="J18" s="38">
        <f t="shared" si="22"/>
        <v>74.83499999999998</v>
      </c>
      <c r="K18" s="38">
        <f>K13-K17</f>
        <v>73.640999999999906</v>
      </c>
      <c r="L18" s="304">
        <f t="shared" si="22"/>
        <v>59.894000000000005</v>
      </c>
      <c r="M18" s="105">
        <f t="shared" si="22"/>
        <v>305.82599999999957</v>
      </c>
      <c r="N18" s="305">
        <f t="shared" si="22"/>
        <v>49.453000000000088</v>
      </c>
      <c r="O18" s="38">
        <f>O13-O17</f>
        <v>70.370000000000232</v>
      </c>
      <c r="P18" s="38">
        <f t="shared" si="22"/>
        <v>106.03600000000006</v>
      </c>
      <c r="Q18" s="307">
        <f t="shared" si="22"/>
        <v>124.99999999999943</v>
      </c>
      <c r="R18" s="105">
        <f>R13-R17</f>
        <v>350.85899999999992</v>
      </c>
      <c r="S18" s="305">
        <f t="shared" si="22"/>
        <v>135.18000682738489</v>
      </c>
      <c r="T18" s="38">
        <f t="shared" si="22"/>
        <v>164.16359615203476</v>
      </c>
      <c r="U18" s="38">
        <f t="shared" si="22"/>
        <v>190.7412395702197</v>
      </c>
      <c r="V18" s="304">
        <f t="shared" si="22"/>
        <v>187.17950464356636</v>
      </c>
      <c r="W18" s="105">
        <f t="shared" si="22"/>
        <v>677.26434719320514</v>
      </c>
      <c r="X18" s="305">
        <f t="shared" si="22"/>
        <v>163.23880592962814</v>
      </c>
      <c r="Y18" s="38">
        <f t="shared" si="22"/>
        <v>124.19589941170807</v>
      </c>
      <c r="Z18" s="38">
        <f t="shared" si="22"/>
        <v>189.63303744931341</v>
      </c>
      <c r="AA18" s="304">
        <f t="shared" si="22"/>
        <v>157.74987080373739</v>
      </c>
      <c r="AB18" s="105">
        <f t="shared" si="22"/>
        <v>634.81761359438769</v>
      </c>
      <c r="AC18" s="305">
        <f t="shared" si="22"/>
        <v>379.78631202807901</v>
      </c>
      <c r="AD18" s="38">
        <f t="shared" si="22"/>
        <v>443.83954392647911</v>
      </c>
      <c r="AE18" s="38">
        <f t="shared" si="22"/>
        <v>526.41116945309204</v>
      </c>
      <c r="AF18" s="304">
        <f t="shared" si="22"/>
        <v>645.31140906993278</v>
      </c>
      <c r="AG18" s="105">
        <f t="shared" si="22"/>
        <v>1995.3484344775807</v>
      </c>
      <c r="AH18" s="305">
        <f t="shared" ref="AH18:AL18" si="23">AH13-AH17</f>
        <v>1280.0927343668113</v>
      </c>
      <c r="AI18" s="38">
        <f t="shared" si="23"/>
        <v>1774.534253239457</v>
      </c>
      <c r="AJ18" s="38">
        <f t="shared" si="23"/>
        <v>2043.8267970942834</v>
      </c>
      <c r="AK18" s="304">
        <f t="shared" si="23"/>
        <v>3645.5211745635061</v>
      </c>
      <c r="AL18" s="105">
        <f t="shared" si="23"/>
        <v>8743.9749592640528</v>
      </c>
      <c r="AM18" s="305">
        <f t="shared" ref="AM18:AQ18" si="24">AM13-AM17</f>
        <v>6783.4606229956098</v>
      </c>
      <c r="AN18" s="38">
        <f t="shared" si="24"/>
        <v>9328.4612726718806</v>
      </c>
      <c r="AO18" s="38">
        <f t="shared" si="24"/>
        <v>13094.072702592497</v>
      </c>
      <c r="AP18" s="304">
        <f t="shared" si="24"/>
        <v>15903.134110705429</v>
      </c>
      <c r="AQ18" s="105">
        <f t="shared" si="24"/>
        <v>45109.128708965429</v>
      </c>
    </row>
    <row r="19" spans="2:43" s="47" customFormat="1" ht="16.2" x14ac:dyDescent="0.45">
      <c r="B19" s="356" t="s">
        <v>246</v>
      </c>
      <c r="C19" s="394"/>
      <c r="D19" s="173">
        <f>D92</f>
        <v>27.440999999999999</v>
      </c>
      <c r="E19" s="174">
        <f t="shared" ref="E19:G19" si="25">E92</f>
        <v>29.285</v>
      </c>
      <c r="F19" s="174">
        <f t="shared" si="25"/>
        <v>29.878</v>
      </c>
      <c r="G19" s="175">
        <f t="shared" si="25"/>
        <v>30.251000000000001</v>
      </c>
      <c r="H19" s="176">
        <f>SUM(D19:G19)</f>
        <v>116.855</v>
      </c>
      <c r="I19" s="138">
        <f>I92</f>
        <v>27.440999999999999</v>
      </c>
      <c r="J19" s="139">
        <f t="shared" ref="J19:L19" si="26">J92</f>
        <v>28.59</v>
      </c>
      <c r="K19" s="139">
        <f t="shared" si="26"/>
        <v>32.834000000000003</v>
      </c>
      <c r="L19" s="306">
        <f t="shared" si="26"/>
        <v>35.86</v>
      </c>
      <c r="M19" s="140">
        <f>SUM(I19:L19)</f>
        <v>124.72500000000001</v>
      </c>
      <c r="N19" s="138">
        <f>N92</f>
        <v>42.421999999999997</v>
      </c>
      <c r="O19" s="139">
        <f t="shared" ref="O19:Q19" si="27">O92</f>
        <v>44.112000000000002</v>
      </c>
      <c r="P19" s="139">
        <f t="shared" si="27"/>
        <v>43.494999999999997</v>
      </c>
      <c r="Q19" s="306">
        <f t="shared" si="27"/>
        <v>46.93</v>
      </c>
      <c r="R19" s="140">
        <f>SUM(N19:Q19)</f>
        <v>176.959</v>
      </c>
      <c r="S19" s="138">
        <f>S92</f>
        <v>50.078446618643866</v>
      </c>
      <c r="T19" s="139">
        <f t="shared" ref="T19:V19" si="28">T92</f>
        <v>54.577071111036616</v>
      </c>
      <c r="U19" s="139">
        <f t="shared" si="28"/>
        <v>57.474662907041761</v>
      </c>
      <c r="V19" s="306">
        <f t="shared" si="28"/>
        <v>62.551751224068965</v>
      </c>
      <c r="W19" s="140">
        <f>SUM(S19:V19)</f>
        <v>224.6819318607912</v>
      </c>
      <c r="X19" s="138">
        <f>X92</f>
        <v>71.352433528495638</v>
      </c>
      <c r="Y19" s="139">
        <f t="shared" ref="Y19:AA19" si="29">Y92</f>
        <v>82.235208440215828</v>
      </c>
      <c r="Z19" s="139">
        <f t="shared" si="29"/>
        <v>93.22356299379318</v>
      </c>
      <c r="AA19" s="306">
        <f t="shared" si="29"/>
        <v>109.62138249082666</v>
      </c>
      <c r="AB19" s="140">
        <f>SUM(X19:AA19)</f>
        <v>356.43258745333128</v>
      </c>
      <c r="AC19" s="138">
        <f>AC92</f>
        <v>134.52857522284918</v>
      </c>
      <c r="AD19" s="139">
        <f t="shared" ref="AD19:AF19" si="30">AD92</f>
        <v>159.11431490306106</v>
      </c>
      <c r="AE19" s="139">
        <f t="shared" si="30"/>
        <v>183.69390612873951</v>
      </c>
      <c r="AF19" s="306">
        <f t="shared" si="30"/>
        <v>217.17223450919386</v>
      </c>
      <c r="AG19" s="140">
        <f>SUM(AC19:AF19)</f>
        <v>694.50903076384361</v>
      </c>
      <c r="AH19" s="138">
        <f>AH92</f>
        <v>267.56127703301371</v>
      </c>
      <c r="AI19" s="139">
        <f t="shared" ref="AI19:AK19" si="31">AI92</f>
        <v>323.6527940790366</v>
      </c>
      <c r="AJ19" s="139">
        <f t="shared" si="31"/>
        <v>380.34558252550386</v>
      </c>
      <c r="AK19" s="306">
        <f t="shared" si="31"/>
        <v>457.60304709179599</v>
      </c>
      <c r="AL19" s="140">
        <f>SUM(AH19:AK19)</f>
        <v>1429.1627007293503</v>
      </c>
      <c r="AM19" s="138">
        <f>AM92</f>
        <v>592.45749404154412</v>
      </c>
      <c r="AN19" s="139">
        <f t="shared" ref="AN19:AP19" si="32">AN92</f>
        <v>751.64882858026851</v>
      </c>
      <c r="AO19" s="139">
        <f t="shared" si="32"/>
        <v>952.1607658362293</v>
      </c>
      <c r="AP19" s="306">
        <f t="shared" si="32"/>
        <v>1157.3094806654287</v>
      </c>
      <c r="AQ19" s="140">
        <f>SUM(AM19:AP19)</f>
        <v>3453.576569123471</v>
      </c>
    </row>
    <row r="20" spans="2:43" s="90" customFormat="1" x14ac:dyDescent="0.3">
      <c r="B20" s="392" t="s">
        <v>200</v>
      </c>
      <c r="C20" s="393"/>
      <c r="D20" s="177">
        <f t="shared" ref="D20:H20" si="33">D18+D19</f>
        <v>125.03599999999992</v>
      </c>
      <c r="E20" s="178">
        <f t="shared" si="33"/>
        <v>158.88499999999996</v>
      </c>
      <c r="F20" s="178">
        <f t="shared" si="33"/>
        <v>140.28500000000003</v>
      </c>
      <c r="G20" s="179">
        <f t="shared" si="33"/>
        <v>95.297000000000054</v>
      </c>
      <c r="H20" s="180">
        <f t="shared" si="33"/>
        <v>519.50300000000016</v>
      </c>
      <c r="I20" s="94">
        <f>I18+I19</f>
        <v>124.89699999999979</v>
      </c>
      <c r="J20" s="38">
        <f t="shared" ref="J20:AG20" si="34">J18+J19</f>
        <v>103.42499999999998</v>
      </c>
      <c r="K20" s="38">
        <f>K18+K19</f>
        <v>106.47499999999991</v>
      </c>
      <c r="L20" s="38">
        <f t="shared" si="34"/>
        <v>95.754000000000005</v>
      </c>
      <c r="M20" s="105">
        <f t="shared" si="34"/>
        <v>430.55099999999959</v>
      </c>
      <c r="N20" s="38">
        <f t="shared" si="34"/>
        <v>91.875000000000085</v>
      </c>
      <c r="O20" s="38">
        <f t="shared" si="34"/>
        <v>114.48200000000023</v>
      </c>
      <c r="P20" s="38">
        <f t="shared" si="34"/>
        <v>149.53100000000006</v>
      </c>
      <c r="Q20" s="38">
        <f t="shared" si="34"/>
        <v>171.92999999999944</v>
      </c>
      <c r="R20" s="105">
        <f t="shared" si="34"/>
        <v>527.81799999999998</v>
      </c>
      <c r="S20" s="38">
        <f t="shared" si="34"/>
        <v>185.25845344602874</v>
      </c>
      <c r="T20" s="38">
        <f t="shared" si="34"/>
        <v>218.74066726307137</v>
      </c>
      <c r="U20" s="38">
        <f t="shared" si="34"/>
        <v>248.21590247726147</v>
      </c>
      <c r="V20" s="38">
        <f t="shared" si="34"/>
        <v>249.73125586763533</v>
      </c>
      <c r="W20" s="105">
        <f t="shared" si="34"/>
        <v>901.94627905399636</v>
      </c>
      <c r="X20" s="38">
        <f t="shared" si="34"/>
        <v>234.59123945812377</v>
      </c>
      <c r="Y20" s="38">
        <f t="shared" si="34"/>
        <v>206.43110785192391</v>
      </c>
      <c r="Z20" s="38">
        <f t="shared" si="34"/>
        <v>282.85660044310657</v>
      </c>
      <c r="AA20" s="38">
        <f t="shared" si="34"/>
        <v>267.37125329456404</v>
      </c>
      <c r="AB20" s="105">
        <f t="shared" si="34"/>
        <v>991.25020104771897</v>
      </c>
      <c r="AC20" s="38">
        <f t="shared" si="34"/>
        <v>514.31488725092822</v>
      </c>
      <c r="AD20" s="38">
        <f t="shared" si="34"/>
        <v>602.9538588295402</v>
      </c>
      <c r="AE20" s="38">
        <f t="shared" si="34"/>
        <v>710.10507558183156</v>
      </c>
      <c r="AF20" s="38">
        <f t="shared" si="34"/>
        <v>862.48364357912669</v>
      </c>
      <c r="AG20" s="105">
        <f t="shared" si="34"/>
        <v>2689.8574652414245</v>
      </c>
      <c r="AH20" s="38">
        <f t="shared" ref="AH20:AL20" si="35">AH18+AH19</f>
        <v>1547.6540113998251</v>
      </c>
      <c r="AI20" s="38">
        <f t="shared" si="35"/>
        <v>2098.1870473184936</v>
      </c>
      <c r="AJ20" s="38">
        <f t="shared" si="35"/>
        <v>2424.1723796197871</v>
      </c>
      <c r="AK20" s="38">
        <f t="shared" si="35"/>
        <v>4103.1242216553019</v>
      </c>
      <c r="AL20" s="105">
        <f t="shared" si="35"/>
        <v>10173.137659993403</v>
      </c>
      <c r="AM20" s="38">
        <f t="shared" ref="AM20:AQ20" si="36">AM18+AM19</f>
        <v>7375.9181170371539</v>
      </c>
      <c r="AN20" s="38">
        <f t="shared" si="36"/>
        <v>10080.110101252149</v>
      </c>
      <c r="AO20" s="38">
        <f t="shared" si="36"/>
        <v>14046.233468428727</v>
      </c>
      <c r="AP20" s="38">
        <f t="shared" si="36"/>
        <v>17060.443591370858</v>
      </c>
      <c r="AQ20" s="105">
        <f t="shared" si="36"/>
        <v>48562.705278088899</v>
      </c>
    </row>
    <row r="21" spans="2:43" s="47" customFormat="1" x14ac:dyDescent="0.3">
      <c r="B21" s="356" t="s">
        <v>126</v>
      </c>
      <c r="C21" s="394"/>
      <c r="D21" s="181">
        <v>-10.052</v>
      </c>
      <c r="E21" s="182">
        <v>-13.327999999999999</v>
      </c>
      <c r="F21" s="182">
        <v>-13.486000000000001</v>
      </c>
      <c r="G21" s="183">
        <v>-13.353</v>
      </c>
      <c r="H21" s="184">
        <f>SUM(D21:G21)</f>
        <v>-50.219000000000001</v>
      </c>
      <c r="I21" s="115">
        <v>-26.736999999999998</v>
      </c>
      <c r="J21" s="39">
        <v>-35.216999999999999</v>
      </c>
      <c r="K21" s="39">
        <v>-35.332999999999998</v>
      </c>
      <c r="L21" s="39">
        <v>-35.429000000000002</v>
      </c>
      <c r="M21" s="242">
        <f>SUM(I21:L21)</f>
        <v>-132.71600000000001</v>
      </c>
      <c r="N21" s="39">
        <v>-35.536999999999999</v>
      </c>
      <c r="O21" s="39">
        <v>-35.454999999999998</v>
      </c>
      <c r="P21" s="39">
        <v>-35.536000000000001</v>
      </c>
      <c r="Q21" s="39">
        <f>((Q117+P117)/2)*Q78</f>
        <v>-35.609489999999994</v>
      </c>
      <c r="R21" s="242">
        <f>SUM(N21:Q21)</f>
        <v>-142.13748999999999</v>
      </c>
      <c r="S21" s="39">
        <f>((S117+R117)/2)*S78</f>
        <v>-35.609489999999994</v>
      </c>
      <c r="T21" s="39">
        <f>((T117+S117)/2)*T78</f>
        <v>-35.609489999999994</v>
      </c>
      <c r="U21" s="39">
        <f>((U117+T117)/2)*U78</f>
        <v>-35.609489999999994</v>
      </c>
      <c r="V21" s="39">
        <f>((V117+U117)/2)*V78</f>
        <v>-35.609489999999994</v>
      </c>
      <c r="W21" s="242">
        <f>SUM(S21:V21)</f>
        <v>-142.43795999999998</v>
      </c>
      <c r="X21" s="39">
        <f>((X117+W117)/2)*X78</f>
        <v>-35.609489999999994</v>
      </c>
      <c r="Y21" s="39">
        <f>((Y117+X117)/2)*Y78</f>
        <v>-35.609489999999994</v>
      </c>
      <c r="Z21" s="39">
        <f>((Z117+Y117)/2)*Z78</f>
        <v>-35.609489999999994</v>
      </c>
      <c r="AA21" s="39">
        <f>((AA117+Z117)/2)*AA78</f>
        <v>-35.609489999999994</v>
      </c>
      <c r="AB21" s="242">
        <f>SUM(X21:AA21)</f>
        <v>-142.43795999999998</v>
      </c>
      <c r="AC21" s="39">
        <f>((AC117+AB117)/2)*AC78</f>
        <v>-35.609489999999994</v>
      </c>
      <c r="AD21" s="39">
        <f>((AD117+AC117)/2)*AD78</f>
        <v>-35.609489999999994</v>
      </c>
      <c r="AE21" s="39">
        <f>((AE117+AD117)/2)*AE78</f>
        <v>-35.609489999999994</v>
      </c>
      <c r="AF21" s="39">
        <f>((AF117+AE117)/2)*AF78</f>
        <v>-35.609489999999994</v>
      </c>
      <c r="AG21" s="242">
        <f>SUM(AC21:AF21)</f>
        <v>-142.43795999999998</v>
      </c>
      <c r="AH21" s="39">
        <f>((AH117+AG117)/2)*AH78</f>
        <v>-35.609489999999994</v>
      </c>
      <c r="AI21" s="39">
        <f>((AI117+AH117)/2)*AI78</f>
        <v>-35.609489999999994</v>
      </c>
      <c r="AJ21" s="39">
        <f>((AJ117+AI117)/2)*AJ78</f>
        <v>-35.609489999999994</v>
      </c>
      <c r="AK21" s="39">
        <f>((AK117+AJ117)/2)*AK78</f>
        <v>-35.609489999999994</v>
      </c>
      <c r="AL21" s="242">
        <f>SUM(AH21:AK21)</f>
        <v>-142.43795999999998</v>
      </c>
      <c r="AM21" s="39">
        <f>((AM117+AL117)/2)*AM78</f>
        <v>-35.609489999999994</v>
      </c>
      <c r="AN21" s="39">
        <f>((AN117+AM117)/2)*AN78</f>
        <v>-35.609489999999994</v>
      </c>
      <c r="AO21" s="39">
        <f>((AO117+AN117)/2)*AO78</f>
        <v>-35.609489999999994</v>
      </c>
      <c r="AP21" s="39">
        <f>((AP117+AO117)/2)*AP78</f>
        <v>-35.609489999999994</v>
      </c>
      <c r="AQ21" s="242">
        <f>SUM(AM21:AP21)</f>
        <v>-142.43795999999998</v>
      </c>
    </row>
    <row r="22" spans="2:43" s="47" customFormat="1" ht="16.2" x14ac:dyDescent="0.45">
      <c r="B22" s="356" t="s">
        <v>108</v>
      </c>
      <c r="C22" s="394"/>
      <c r="D22" s="173">
        <v>1.401</v>
      </c>
      <c r="E22" s="174">
        <v>1.1000000000000001</v>
      </c>
      <c r="F22" s="174">
        <v>0.61599999999999999</v>
      </c>
      <c r="G22" s="175">
        <v>-6.1769999999999996</v>
      </c>
      <c r="H22" s="176">
        <f>SUM(D22:G22)</f>
        <v>-3.0599999999999992</v>
      </c>
      <c r="I22" s="138">
        <v>-32.292999999999999</v>
      </c>
      <c r="J22" s="298">
        <v>0.872</v>
      </c>
      <c r="K22" s="298">
        <v>3.93</v>
      </c>
      <c r="L22" s="298">
        <v>-3.734</v>
      </c>
      <c r="M22" s="140">
        <f>SUM(I22:L22)</f>
        <v>-31.225000000000001</v>
      </c>
      <c r="N22" s="298">
        <v>25.963000000000001</v>
      </c>
      <c r="O22" s="298">
        <v>16.317</v>
      </c>
      <c r="P22" s="298">
        <v>8.6270000000000007</v>
      </c>
      <c r="Q22" s="298">
        <f>Q11*Q79</f>
        <v>-3.2366638461532937</v>
      </c>
      <c r="R22" s="140">
        <f>SUM(N22:Q22)</f>
        <v>47.670336153846712</v>
      </c>
      <c r="S22" s="298">
        <f>S11*S79</f>
        <v>12.519611654660967</v>
      </c>
      <c r="T22" s="298">
        <f>T11*T79</f>
        <v>13.644267777759154</v>
      </c>
      <c r="U22" s="298">
        <f>U11*U79</f>
        <v>14.36866572676044</v>
      </c>
      <c r="V22" s="298">
        <f>V11*V79</f>
        <v>15.637937806017241</v>
      </c>
      <c r="W22" s="140">
        <f>SUM(S22:V22)</f>
        <v>56.170482965197799</v>
      </c>
      <c r="X22" s="298">
        <f>X11*X79</f>
        <v>17.838108382123909</v>
      </c>
      <c r="Y22" s="298">
        <f>Y11*Y79</f>
        <v>20.558802110053957</v>
      </c>
      <c r="Z22" s="298">
        <f>Z11*Z79</f>
        <v>23.305890748448295</v>
      </c>
      <c r="AA22" s="298">
        <f>AA11*AA79</f>
        <v>27.405345622706665</v>
      </c>
      <c r="AB22" s="140">
        <f>SUM(X22:AA22)</f>
        <v>89.10814686333282</v>
      </c>
      <c r="AC22" s="298">
        <f>AC11*AC79</f>
        <v>33.632143805712296</v>
      </c>
      <c r="AD22" s="298">
        <f>AD11*AD79</f>
        <v>39.778578725765264</v>
      </c>
      <c r="AE22" s="298">
        <f>AE11*AE79</f>
        <v>45.923476532184878</v>
      </c>
      <c r="AF22" s="298">
        <f>AF11*AF79</f>
        <v>54.293058627298464</v>
      </c>
      <c r="AG22" s="140">
        <f>SUM(AC22:AF22)</f>
        <v>173.6272576909609</v>
      </c>
      <c r="AH22" s="298">
        <f>AH11*AH79</f>
        <v>66.890319258253427</v>
      </c>
      <c r="AI22" s="298">
        <f>AI11*AI79</f>
        <v>80.913198519759149</v>
      </c>
      <c r="AJ22" s="298">
        <f>AJ11*AJ79</f>
        <v>95.086395631375964</v>
      </c>
      <c r="AK22" s="298">
        <f>AK11*AK79</f>
        <v>114.400761772949</v>
      </c>
      <c r="AL22" s="140">
        <f>SUM(AH22:AK22)</f>
        <v>357.29067518233757</v>
      </c>
      <c r="AM22" s="298">
        <f>AM11*AM79</f>
        <v>148.11437351038603</v>
      </c>
      <c r="AN22" s="298">
        <f>AN11*AN79</f>
        <v>187.91220714506713</v>
      </c>
      <c r="AO22" s="298">
        <f>AO11*AO79</f>
        <v>238.04019145905733</v>
      </c>
      <c r="AP22" s="298">
        <f>AP11*AP79</f>
        <v>289.32737016635718</v>
      </c>
      <c r="AQ22" s="140">
        <f>SUM(AM22:AP22)</f>
        <v>863.39414228086775</v>
      </c>
    </row>
    <row r="23" spans="2:43" x14ac:dyDescent="0.3">
      <c r="B23" s="392" t="s">
        <v>127</v>
      </c>
      <c r="C23" s="393"/>
      <c r="D23" s="177">
        <f t="shared" ref="D23:AL23" si="37">D18+D21+D22</f>
        <v>88.943999999999917</v>
      </c>
      <c r="E23" s="178">
        <f t="shared" si="37"/>
        <v>117.37199999999996</v>
      </c>
      <c r="F23" s="178">
        <f t="shared" si="37"/>
        <v>97.537000000000035</v>
      </c>
      <c r="G23" s="179">
        <f t="shared" si="37"/>
        <v>45.516000000000048</v>
      </c>
      <c r="H23" s="180">
        <f t="shared" si="37"/>
        <v>349.36900000000014</v>
      </c>
      <c r="I23" s="94">
        <f t="shared" si="37"/>
        <v>38.425999999999796</v>
      </c>
      <c r="J23" s="38">
        <f t="shared" si="37"/>
        <v>40.489999999999981</v>
      </c>
      <c r="K23" s="38">
        <f t="shared" si="37"/>
        <v>42.237999999999907</v>
      </c>
      <c r="L23" s="38">
        <f t="shared" si="37"/>
        <v>20.731000000000002</v>
      </c>
      <c r="M23" s="105">
        <f t="shared" si="37"/>
        <v>141.88499999999956</v>
      </c>
      <c r="N23" s="38">
        <f t="shared" si="37"/>
        <v>39.87900000000009</v>
      </c>
      <c r="O23" s="38">
        <f t="shared" si="37"/>
        <v>51.232000000000234</v>
      </c>
      <c r="P23" s="38">
        <f t="shared" si="37"/>
        <v>79.127000000000052</v>
      </c>
      <c r="Q23" s="38">
        <f t="shared" si="37"/>
        <v>86.153846153846146</v>
      </c>
      <c r="R23" s="105">
        <f t="shared" si="37"/>
        <v>256.39184615384664</v>
      </c>
      <c r="S23" s="38">
        <f t="shared" si="37"/>
        <v>112.09012848204586</v>
      </c>
      <c r="T23" s="38">
        <f t="shared" si="37"/>
        <v>142.19837392979392</v>
      </c>
      <c r="U23" s="38">
        <f t="shared" si="37"/>
        <v>169.50041529698015</v>
      </c>
      <c r="V23" s="38">
        <f t="shared" si="37"/>
        <v>167.20795244958362</v>
      </c>
      <c r="W23" s="105">
        <f t="shared" si="37"/>
        <v>590.996870158403</v>
      </c>
      <c r="X23" s="38">
        <f t="shared" si="37"/>
        <v>145.46742431175207</v>
      </c>
      <c r="Y23" s="38">
        <f t="shared" si="37"/>
        <v>109.14521152176204</v>
      </c>
      <c r="Z23" s="38">
        <f t="shared" si="37"/>
        <v>177.3294381977617</v>
      </c>
      <c r="AA23" s="38">
        <f t="shared" si="37"/>
        <v>149.54572642644408</v>
      </c>
      <c r="AB23" s="105">
        <f t="shared" si="37"/>
        <v>581.4878004577206</v>
      </c>
      <c r="AC23" s="38">
        <f t="shared" si="37"/>
        <v>377.80896583379132</v>
      </c>
      <c r="AD23" s="38">
        <f t="shared" si="37"/>
        <v>448.00863265224439</v>
      </c>
      <c r="AE23" s="38">
        <f t="shared" si="37"/>
        <v>536.72515598527696</v>
      </c>
      <c r="AF23" s="38">
        <f t="shared" si="37"/>
        <v>663.99497769723121</v>
      </c>
      <c r="AG23" s="105">
        <f t="shared" si="37"/>
        <v>2026.5377321685417</v>
      </c>
      <c r="AH23" s="38">
        <f t="shared" si="37"/>
        <v>1311.3735636250647</v>
      </c>
      <c r="AI23" s="38">
        <f t="shared" si="37"/>
        <v>1819.8379617592161</v>
      </c>
      <c r="AJ23" s="38">
        <f t="shared" si="37"/>
        <v>2103.3037027256592</v>
      </c>
      <c r="AK23" s="38">
        <f t="shared" si="37"/>
        <v>3724.3124463364552</v>
      </c>
      <c r="AL23" s="105">
        <f t="shared" si="37"/>
        <v>8958.827674446391</v>
      </c>
      <c r="AM23" s="38">
        <f t="shared" ref="AM23:AQ23" si="38">AM18+AM21+AM22</f>
        <v>6895.965506505996</v>
      </c>
      <c r="AN23" s="38">
        <f t="shared" si="38"/>
        <v>9480.7639898169473</v>
      </c>
      <c r="AO23" s="38">
        <f t="shared" si="38"/>
        <v>13296.503404051553</v>
      </c>
      <c r="AP23" s="38">
        <f t="shared" si="38"/>
        <v>16156.851990871784</v>
      </c>
      <c r="AQ23" s="105">
        <f t="shared" si="38"/>
        <v>45830.084891246297</v>
      </c>
    </row>
    <row r="24" spans="2:43" ht="16.2" x14ac:dyDescent="0.45">
      <c r="B24" s="356" t="s">
        <v>128</v>
      </c>
      <c r="C24" s="394"/>
      <c r="D24" s="173">
        <v>35.829000000000001</v>
      </c>
      <c r="E24" s="174">
        <v>46.353999999999999</v>
      </c>
      <c r="F24" s="174">
        <v>38.241999999999997</v>
      </c>
      <c r="G24" s="175">
        <v>-37.854999999999997</v>
      </c>
      <c r="H24" s="176">
        <f>SUM(D24:G24)</f>
        <v>82.57</v>
      </c>
      <c r="I24" s="138">
        <v>14.73</v>
      </c>
      <c r="J24" s="298">
        <v>14.154999999999999</v>
      </c>
      <c r="K24" s="298">
        <v>12.805999999999999</v>
      </c>
      <c r="L24" s="298">
        <v>-22.446999999999999</v>
      </c>
      <c r="M24" s="280">
        <f>SUM(I24:L24)</f>
        <v>19.243999999999996</v>
      </c>
      <c r="N24" s="298">
        <v>12.221</v>
      </c>
      <c r="O24" s="298">
        <v>10.477</v>
      </c>
      <c r="P24" s="298">
        <v>27.61</v>
      </c>
      <c r="Q24" s="298">
        <f>Q23*Q80</f>
        <v>30.15384615384615</v>
      </c>
      <c r="R24" s="280">
        <f>SUM(N24:Q24)</f>
        <v>80.461846153846153</v>
      </c>
      <c r="S24" s="298">
        <f>S23*S80</f>
        <v>33.627038544613754</v>
      </c>
      <c r="T24" s="298">
        <f>T23*T80</f>
        <v>42.659512178938172</v>
      </c>
      <c r="U24" s="298">
        <f>U23*U80</f>
        <v>50.850124589094044</v>
      </c>
      <c r="V24" s="298">
        <f>V23*V80</f>
        <v>50.16238573487508</v>
      </c>
      <c r="W24" s="280">
        <f>SUM(S24:V24)</f>
        <v>177.29906104752104</v>
      </c>
      <c r="X24" s="298">
        <f>X23*X80</f>
        <v>43.640227293525619</v>
      </c>
      <c r="Y24" s="298">
        <f>Y23*Y80</f>
        <v>32.743563456528612</v>
      </c>
      <c r="Z24" s="298">
        <f>Z23*Z80</f>
        <v>53.19883145932851</v>
      </c>
      <c r="AA24" s="298">
        <f>AA23*AA80</f>
        <v>44.863717927933223</v>
      </c>
      <c r="AB24" s="280">
        <f>SUM(X24:AA24)</f>
        <v>174.44634013731599</v>
      </c>
      <c r="AC24" s="298">
        <f>AC23*AC80</f>
        <v>113.3426897501374</v>
      </c>
      <c r="AD24" s="298">
        <f>AD23*AD80</f>
        <v>134.40258979567332</v>
      </c>
      <c r="AE24" s="298">
        <f>AE23*AE80</f>
        <v>161.01754679558309</v>
      </c>
      <c r="AF24" s="298">
        <f>AF23*AF80</f>
        <v>199.19849330916935</v>
      </c>
      <c r="AG24" s="280">
        <f>SUM(AC24:AF24)</f>
        <v>607.96131965056315</v>
      </c>
      <c r="AH24" s="298">
        <f>AH23*AH80</f>
        <v>393.4120690875194</v>
      </c>
      <c r="AI24" s="298">
        <f>AI23*AI80</f>
        <v>545.95138852776483</v>
      </c>
      <c r="AJ24" s="298">
        <f>AJ23*AJ80</f>
        <v>630.99111081769775</v>
      </c>
      <c r="AK24" s="298">
        <f>AK23*AK80</f>
        <v>1117.2937339009366</v>
      </c>
      <c r="AL24" s="280">
        <f>SUM(AH24:AK24)</f>
        <v>2687.6483023339188</v>
      </c>
      <c r="AM24" s="298">
        <f>AM23*AM80</f>
        <v>2068.7896519517985</v>
      </c>
      <c r="AN24" s="298">
        <f>AN23*AN80</f>
        <v>2844.2291969450839</v>
      </c>
      <c r="AO24" s="298">
        <f>AO23*AO80</f>
        <v>3988.9510212154655</v>
      </c>
      <c r="AP24" s="298">
        <f>AP23*AP80</f>
        <v>4847.0555972615348</v>
      </c>
      <c r="AQ24" s="280">
        <f>SUM(AM24:AP24)</f>
        <v>13749.025467373884</v>
      </c>
    </row>
    <row r="25" spans="2:43" x14ac:dyDescent="0.3">
      <c r="B25" s="392" t="s">
        <v>86</v>
      </c>
      <c r="C25" s="393"/>
      <c r="D25" s="177">
        <f>D23-D24</f>
        <v>53.114999999999917</v>
      </c>
      <c r="E25" s="178">
        <f t="shared" ref="E25:AG25" si="39">E23-E24</f>
        <v>71.017999999999958</v>
      </c>
      <c r="F25" s="178">
        <f t="shared" si="39"/>
        <v>59.295000000000037</v>
      </c>
      <c r="G25" s="179">
        <f t="shared" si="39"/>
        <v>83.371000000000038</v>
      </c>
      <c r="H25" s="180">
        <f t="shared" si="39"/>
        <v>266.79900000000015</v>
      </c>
      <c r="I25" s="94">
        <f t="shared" si="39"/>
        <v>23.695999999999795</v>
      </c>
      <c r="J25" s="38">
        <f t="shared" si="39"/>
        <v>26.33499999999998</v>
      </c>
      <c r="K25" s="38">
        <f t="shared" si="39"/>
        <v>29.43199999999991</v>
      </c>
      <c r="L25" s="38">
        <f>L23-L24</f>
        <v>43.177999999999997</v>
      </c>
      <c r="M25" s="105">
        <f t="shared" si="39"/>
        <v>122.64099999999956</v>
      </c>
      <c r="N25" s="38">
        <f t="shared" si="39"/>
        <v>27.65800000000009</v>
      </c>
      <c r="O25" s="38">
        <f t="shared" si="39"/>
        <v>40.755000000000237</v>
      </c>
      <c r="P25" s="38">
        <f t="shared" si="39"/>
        <v>51.517000000000053</v>
      </c>
      <c r="Q25" s="308">
        <f t="shared" si="39"/>
        <v>56</v>
      </c>
      <c r="R25" s="105">
        <f t="shared" si="39"/>
        <v>175.93000000000049</v>
      </c>
      <c r="S25" s="38">
        <f t="shared" si="39"/>
        <v>78.463089937432102</v>
      </c>
      <c r="T25" s="38">
        <f t="shared" si="39"/>
        <v>99.538861750855745</v>
      </c>
      <c r="U25" s="38">
        <f t="shared" si="39"/>
        <v>118.65029070788611</v>
      </c>
      <c r="V25" s="38">
        <f t="shared" si="39"/>
        <v>117.04556671470854</v>
      </c>
      <c r="W25" s="105">
        <f t="shared" si="39"/>
        <v>413.69780911088196</v>
      </c>
      <c r="X25" s="38">
        <f t="shared" si="39"/>
        <v>101.82719701822646</v>
      </c>
      <c r="Y25" s="38">
        <f t="shared" si="39"/>
        <v>76.401648065233417</v>
      </c>
      <c r="Z25" s="38">
        <f t="shared" si="39"/>
        <v>124.13060673843319</v>
      </c>
      <c r="AA25" s="38">
        <f t="shared" si="39"/>
        <v>104.68200849851085</v>
      </c>
      <c r="AB25" s="105">
        <f t="shared" si="39"/>
        <v>407.04146032040461</v>
      </c>
      <c r="AC25" s="38">
        <f t="shared" si="39"/>
        <v>264.46627608365395</v>
      </c>
      <c r="AD25" s="38">
        <f t="shared" si="39"/>
        <v>313.60604285657109</v>
      </c>
      <c r="AE25" s="38">
        <f t="shared" si="39"/>
        <v>375.70760918969387</v>
      </c>
      <c r="AF25" s="38">
        <f t="shared" si="39"/>
        <v>464.79648438806186</v>
      </c>
      <c r="AG25" s="105">
        <f t="shared" si="39"/>
        <v>1418.5764125179785</v>
      </c>
      <c r="AH25" s="38">
        <f t="shared" ref="AH25:AL25" si="40">AH23-AH24</f>
        <v>917.96149453754526</v>
      </c>
      <c r="AI25" s="38">
        <f t="shared" si="40"/>
        <v>1273.8865732314512</v>
      </c>
      <c r="AJ25" s="38">
        <f t="shared" si="40"/>
        <v>1472.3125919079614</v>
      </c>
      <c r="AK25" s="38">
        <f t="shared" si="40"/>
        <v>2607.0187124355189</v>
      </c>
      <c r="AL25" s="105">
        <f t="shared" si="40"/>
        <v>6271.1793721124723</v>
      </c>
      <c r="AM25" s="38">
        <f t="shared" ref="AM25:AQ25" si="41">AM23-AM24</f>
        <v>4827.1758545541979</v>
      </c>
      <c r="AN25" s="38">
        <f t="shared" si="41"/>
        <v>6636.5347928718638</v>
      </c>
      <c r="AO25" s="38">
        <f t="shared" si="41"/>
        <v>9307.5523828360874</v>
      </c>
      <c r="AP25" s="38">
        <f t="shared" si="41"/>
        <v>11309.79639361025</v>
      </c>
      <c r="AQ25" s="105">
        <f t="shared" si="41"/>
        <v>32081.059423872415</v>
      </c>
    </row>
    <row r="26" spans="2:43" s="47" customFormat="1" ht="16.2" x14ac:dyDescent="0.45">
      <c r="B26" s="347" t="s">
        <v>244</v>
      </c>
      <c r="C26" s="348"/>
      <c r="D26" s="173">
        <f>D94</f>
        <v>0</v>
      </c>
      <c r="E26" s="174">
        <f t="shared" ref="E26:G26" si="42">E94</f>
        <v>0</v>
      </c>
      <c r="F26" s="174">
        <f t="shared" si="42"/>
        <v>0</v>
      </c>
      <c r="G26" s="175">
        <f t="shared" si="42"/>
        <v>-38.612000000000002</v>
      </c>
      <c r="H26" s="176">
        <f>SUM(D26:G26)</f>
        <v>-38.612000000000002</v>
      </c>
      <c r="I26" s="138">
        <f>I94</f>
        <v>0</v>
      </c>
      <c r="J26" s="139">
        <f t="shared" ref="J26:L26" si="43">J94</f>
        <v>0</v>
      </c>
      <c r="K26" s="139">
        <f t="shared" si="43"/>
        <v>0</v>
      </c>
      <c r="L26" s="306">
        <f t="shared" si="43"/>
        <v>-13.438000000000001</v>
      </c>
      <c r="M26" s="140">
        <f>SUM(I26:L26)</f>
        <v>-13.438000000000001</v>
      </c>
      <c r="N26" s="138">
        <f>N94</f>
        <v>0</v>
      </c>
      <c r="O26" s="139">
        <f t="shared" ref="O26:Q26" si="44">O94</f>
        <v>0</v>
      </c>
      <c r="P26" s="139">
        <f t="shared" si="44"/>
        <v>0</v>
      </c>
      <c r="Q26" s="306">
        <f t="shared" si="44"/>
        <v>0</v>
      </c>
      <c r="R26" s="140">
        <f>SUM(N26:Q26)</f>
        <v>0</v>
      </c>
      <c r="S26" s="138">
        <f>S94</f>
        <v>0</v>
      </c>
      <c r="T26" s="139">
        <f t="shared" ref="T26:V26" si="45">T94</f>
        <v>0</v>
      </c>
      <c r="U26" s="139">
        <f t="shared" si="45"/>
        <v>0</v>
      </c>
      <c r="V26" s="306">
        <f t="shared" si="45"/>
        <v>0</v>
      </c>
      <c r="W26" s="140">
        <f>SUM(S26:V26)</f>
        <v>0</v>
      </c>
      <c r="X26" s="138">
        <f>X94</f>
        <v>0</v>
      </c>
      <c r="Y26" s="139">
        <f t="shared" ref="Y26:AA26" si="46">Y94</f>
        <v>0</v>
      </c>
      <c r="Z26" s="139">
        <f t="shared" si="46"/>
        <v>0</v>
      </c>
      <c r="AA26" s="306">
        <f t="shared" si="46"/>
        <v>0</v>
      </c>
      <c r="AB26" s="140">
        <f>SUM(X26:AA26)</f>
        <v>0</v>
      </c>
      <c r="AC26" s="138">
        <f>AC94</f>
        <v>0</v>
      </c>
      <c r="AD26" s="139">
        <f t="shared" ref="AD26:AF26" si="47">AD94</f>
        <v>0</v>
      </c>
      <c r="AE26" s="139">
        <f t="shared" si="47"/>
        <v>0</v>
      </c>
      <c r="AF26" s="306">
        <f t="shared" si="47"/>
        <v>0</v>
      </c>
      <c r="AG26" s="140">
        <f>SUM(AC26:AF26)</f>
        <v>0</v>
      </c>
      <c r="AH26" s="138">
        <f>AH94</f>
        <v>0</v>
      </c>
      <c r="AI26" s="139">
        <f t="shared" ref="AI26:AK26" si="48">AI94</f>
        <v>0</v>
      </c>
      <c r="AJ26" s="139">
        <f t="shared" si="48"/>
        <v>0</v>
      </c>
      <c r="AK26" s="306">
        <f t="shared" si="48"/>
        <v>0</v>
      </c>
      <c r="AL26" s="140">
        <f>SUM(AH26:AK26)</f>
        <v>0</v>
      </c>
      <c r="AM26" s="138">
        <f>AM94</f>
        <v>0</v>
      </c>
      <c r="AN26" s="139">
        <f t="shared" ref="AN26:AP26" si="49">AN94</f>
        <v>0</v>
      </c>
      <c r="AO26" s="139">
        <f t="shared" si="49"/>
        <v>0</v>
      </c>
      <c r="AP26" s="306">
        <f t="shared" si="49"/>
        <v>0</v>
      </c>
      <c r="AQ26" s="140">
        <f>SUM(AM26:AP26)</f>
        <v>0</v>
      </c>
    </row>
    <row r="27" spans="2:43" s="126" customFormat="1" x14ac:dyDescent="0.3">
      <c r="B27" s="345" t="s">
        <v>247</v>
      </c>
      <c r="C27" s="346"/>
      <c r="D27" s="177">
        <f>D25+D26</f>
        <v>53.114999999999917</v>
      </c>
      <c r="E27" s="178">
        <f t="shared" ref="E27:AL27" si="50">E25+E26</f>
        <v>71.017999999999958</v>
      </c>
      <c r="F27" s="178">
        <f t="shared" si="50"/>
        <v>59.295000000000037</v>
      </c>
      <c r="G27" s="179">
        <f t="shared" si="50"/>
        <v>44.759000000000036</v>
      </c>
      <c r="H27" s="180">
        <f t="shared" si="50"/>
        <v>228.18700000000015</v>
      </c>
      <c r="I27" s="94">
        <f t="shared" si="50"/>
        <v>23.695999999999795</v>
      </c>
      <c r="J27" s="38">
        <f t="shared" si="50"/>
        <v>26.33499999999998</v>
      </c>
      <c r="K27" s="38">
        <f t="shared" si="50"/>
        <v>29.43199999999991</v>
      </c>
      <c r="L27" s="38">
        <f t="shared" si="50"/>
        <v>29.739999999999995</v>
      </c>
      <c r="M27" s="105">
        <f t="shared" si="50"/>
        <v>109.20299999999956</v>
      </c>
      <c r="N27" s="38">
        <f t="shared" si="50"/>
        <v>27.65800000000009</v>
      </c>
      <c r="O27" s="38">
        <f t="shared" si="50"/>
        <v>40.755000000000237</v>
      </c>
      <c r="P27" s="38">
        <f t="shared" si="50"/>
        <v>51.517000000000053</v>
      </c>
      <c r="Q27" s="38">
        <f t="shared" si="50"/>
        <v>56</v>
      </c>
      <c r="R27" s="105">
        <f t="shared" si="50"/>
        <v>175.93000000000049</v>
      </c>
      <c r="S27" s="38">
        <f t="shared" si="50"/>
        <v>78.463089937432102</v>
      </c>
      <c r="T27" s="38">
        <f t="shared" si="50"/>
        <v>99.538861750855745</v>
      </c>
      <c r="U27" s="38">
        <f t="shared" si="50"/>
        <v>118.65029070788611</v>
      </c>
      <c r="V27" s="38">
        <f t="shared" si="50"/>
        <v>117.04556671470854</v>
      </c>
      <c r="W27" s="105">
        <f t="shared" si="50"/>
        <v>413.69780911088196</v>
      </c>
      <c r="X27" s="38">
        <f t="shared" si="50"/>
        <v>101.82719701822646</v>
      </c>
      <c r="Y27" s="38">
        <f t="shared" si="50"/>
        <v>76.401648065233417</v>
      </c>
      <c r="Z27" s="38">
        <f t="shared" si="50"/>
        <v>124.13060673843319</v>
      </c>
      <c r="AA27" s="38">
        <f t="shared" si="50"/>
        <v>104.68200849851085</v>
      </c>
      <c r="AB27" s="105">
        <f t="shared" si="50"/>
        <v>407.04146032040461</v>
      </c>
      <c r="AC27" s="38">
        <f t="shared" si="50"/>
        <v>264.46627608365395</v>
      </c>
      <c r="AD27" s="38">
        <f t="shared" si="50"/>
        <v>313.60604285657109</v>
      </c>
      <c r="AE27" s="38">
        <f t="shared" si="50"/>
        <v>375.70760918969387</v>
      </c>
      <c r="AF27" s="38">
        <f t="shared" si="50"/>
        <v>464.79648438806186</v>
      </c>
      <c r="AG27" s="105">
        <f t="shared" si="50"/>
        <v>1418.5764125179785</v>
      </c>
      <c r="AH27" s="38">
        <f t="shared" si="50"/>
        <v>917.96149453754526</v>
      </c>
      <c r="AI27" s="38">
        <f t="shared" si="50"/>
        <v>1273.8865732314512</v>
      </c>
      <c r="AJ27" s="38">
        <f t="shared" si="50"/>
        <v>1472.3125919079614</v>
      </c>
      <c r="AK27" s="38">
        <f t="shared" si="50"/>
        <v>2607.0187124355189</v>
      </c>
      <c r="AL27" s="105">
        <f t="shared" si="50"/>
        <v>6271.1793721124723</v>
      </c>
      <c r="AM27" s="38">
        <f t="shared" ref="AM27:AQ27" si="51">AM25+AM26</f>
        <v>4827.1758545541979</v>
      </c>
      <c r="AN27" s="38">
        <f t="shared" si="51"/>
        <v>6636.5347928718638</v>
      </c>
      <c r="AO27" s="38">
        <f t="shared" si="51"/>
        <v>9307.5523828360874</v>
      </c>
      <c r="AP27" s="38">
        <f t="shared" si="51"/>
        <v>11309.79639361025</v>
      </c>
      <c r="AQ27" s="105">
        <f t="shared" si="51"/>
        <v>32081.059423872415</v>
      </c>
    </row>
    <row r="28" spans="2:43" s="238" customFormat="1" x14ac:dyDescent="0.3">
      <c r="B28" s="345" t="s">
        <v>240</v>
      </c>
      <c r="C28" s="346"/>
      <c r="D28" s="177">
        <f t="shared" ref="D28:F28" si="52">D20+D21+D22-D24+D26</f>
        <v>80.555999999999926</v>
      </c>
      <c r="E28" s="178">
        <f t="shared" si="52"/>
        <v>100.30299999999995</v>
      </c>
      <c r="F28" s="178">
        <f t="shared" si="52"/>
        <v>89.17300000000003</v>
      </c>
      <c r="G28" s="179">
        <f>G20+G21+G22-G24+G26</f>
        <v>75.010000000000048</v>
      </c>
      <c r="H28" s="180">
        <f t="shared" ref="H28:AL28" si="53">H20+H21+H22-H24+H26</f>
        <v>345.04200000000014</v>
      </c>
      <c r="I28" s="94">
        <f t="shared" si="53"/>
        <v>51.136999999999787</v>
      </c>
      <c r="J28" s="38">
        <f t="shared" si="53"/>
        <v>54.924999999999983</v>
      </c>
      <c r="K28" s="38">
        <f t="shared" si="53"/>
        <v>62.26599999999992</v>
      </c>
      <c r="L28" s="38">
        <f t="shared" si="53"/>
        <v>65.599999999999994</v>
      </c>
      <c r="M28" s="105">
        <f t="shared" si="53"/>
        <v>233.92799999999957</v>
      </c>
      <c r="N28" s="38">
        <f t="shared" si="53"/>
        <v>70.080000000000084</v>
      </c>
      <c r="O28" s="38">
        <f t="shared" si="53"/>
        <v>84.867000000000218</v>
      </c>
      <c r="P28" s="38">
        <f t="shared" si="53"/>
        <v>95.012000000000057</v>
      </c>
      <c r="Q28" s="38">
        <f t="shared" si="53"/>
        <v>102.92999999999999</v>
      </c>
      <c r="R28" s="105">
        <f t="shared" si="53"/>
        <v>352.88900000000058</v>
      </c>
      <c r="S28" s="38">
        <f t="shared" si="53"/>
        <v>128.54153655607595</v>
      </c>
      <c r="T28" s="38">
        <f t="shared" si="53"/>
        <v>154.11593286189236</v>
      </c>
      <c r="U28" s="38">
        <f t="shared" si="53"/>
        <v>176.12495361492788</v>
      </c>
      <c r="V28" s="38">
        <f t="shared" si="53"/>
        <v>179.59731793877751</v>
      </c>
      <c r="W28" s="105">
        <f t="shared" si="53"/>
        <v>638.37974097167319</v>
      </c>
      <c r="X28" s="38">
        <f t="shared" si="53"/>
        <v>173.17963054672208</v>
      </c>
      <c r="Y28" s="38">
        <f t="shared" si="53"/>
        <v>158.63685650544926</v>
      </c>
      <c r="Z28" s="38">
        <f t="shared" si="53"/>
        <v>217.35416973222635</v>
      </c>
      <c r="AA28" s="38">
        <f t="shared" si="53"/>
        <v>214.30339098933746</v>
      </c>
      <c r="AB28" s="105">
        <f t="shared" si="53"/>
        <v>763.47404777373595</v>
      </c>
      <c r="AC28" s="38">
        <f t="shared" si="53"/>
        <v>398.99485130650305</v>
      </c>
      <c r="AD28" s="38">
        <f t="shared" si="53"/>
        <v>472.72035775963207</v>
      </c>
      <c r="AE28" s="38">
        <f t="shared" si="53"/>
        <v>559.40151531843344</v>
      </c>
      <c r="AF28" s="38">
        <f t="shared" si="53"/>
        <v>681.96871889725571</v>
      </c>
      <c r="AG28" s="105">
        <f t="shared" si="53"/>
        <v>2113.0854432818223</v>
      </c>
      <c r="AH28" s="38">
        <f t="shared" si="53"/>
        <v>1185.5227715705591</v>
      </c>
      <c r="AI28" s="38">
        <f t="shared" si="53"/>
        <v>1597.5393673104882</v>
      </c>
      <c r="AJ28" s="38">
        <f t="shared" si="53"/>
        <v>1852.6581744334655</v>
      </c>
      <c r="AK28" s="38">
        <f t="shared" si="53"/>
        <v>3064.6217595273147</v>
      </c>
      <c r="AL28" s="105">
        <f t="shared" si="53"/>
        <v>7700.3420728418223</v>
      </c>
      <c r="AM28" s="38">
        <f t="shared" ref="AM28:AQ28" si="54">AM20+AM21+AM22-AM24+AM26</f>
        <v>5419.6333485957421</v>
      </c>
      <c r="AN28" s="38">
        <f t="shared" si="54"/>
        <v>7388.1836214521318</v>
      </c>
      <c r="AO28" s="38">
        <f t="shared" si="54"/>
        <v>10259.713148672317</v>
      </c>
      <c r="AP28" s="38">
        <f t="shared" si="54"/>
        <v>12467.105874275681</v>
      </c>
      <c r="AQ28" s="105">
        <f t="shared" si="54"/>
        <v>35534.635992995885</v>
      </c>
    </row>
    <row r="29" spans="2:43" ht="15.75" customHeight="1" x14ac:dyDescent="0.3">
      <c r="B29" s="347" t="s">
        <v>129</v>
      </c>
      <c r="C29" s="348"/>
      <c r="D29" s="181">
        <v>418.71699999999998</v>
      </c>
      <c r="E29" s="182">
        <v>419.97399999999999</v>
      </c>
      <c r="F29" s="182">
        <v>421.19400000000002</v>
      </c>
      <c r="G29" s="183">
        <v>422.24400000000003</v>
      </c>
      <c r="H29" s="184">
        <f>AVERAGE(D29:G29)</f>
        <v>420.53224999999998</v>
      </c>
      <c r="I29" s="115">
        <v>423.62400000000002</v>
      </c>
      <c r="J29" s="39">
        <v>425.34</v>
      </c>
      <c r="K29" s="39">
        <v>426.86900000000003</v>
      </c>
      <c r="L29" s="39">
        <v>427.66800000000001</v>
      </c>
      <c r="M29" s="242">
        <f>AVERAGE(I29:L29)</f>
        <v>425.87525000000005</v>
      </c>
      <c r="N29" s="39">
        <v>428.11700000000002</v>
      </c>
      <c r="O29" s="39">
        <v>428.483</v>
      </c>
      <c r="P29" s="39">
        <v>428.93700000000001</v>
      </c>
      <c r="Q29" s="39">
        <f>P29*(1+Q82)</f>
        <v>430.0093425</v>
      </c>
      <c r="R29" s="242">
        <f>AVERAGE(N29:Q29)</f>
        <v>428.88658562500001</v>
      </c>
      <c r="S29" s="39">
        <f>Q29*(1+S82)</f>
        <v>431.08436585624997</v>
      </c>
      <c r="T29" s="39">
        <f t="shared" ref="T29:V30" si="55">S29*(1+T82)</f>
        <v>432.16207677089056</v>
      </c>
      <c r="U29" s="39">
        <f t="shared" si="55"/>
        <v>433.24248196281775</v>
      </c>
      <c r="V29" s="39">
        <f t="shared" si="55"/>
        <v>434.32558816772479</v>
      </c>
      <c r="W29" s="242">
        <f>AVERAGE(S29:V29)</f>
        <v>432.70362818942078</v>
      </c>
      <c r="X29" s="39">
        <f>V29*(1+X82)</f>
        <v>435.41140213814407</v>
      </c>
      <c r="Y29" s="39">
        <f t="shared" ref="Y29:AA30" si="56">X29*(1+Y82)</f>
        <v>436.49993064348939</v>
      </c>
      <c r="Z29" s="39">
        <f t="shared" si="56"/>
        <v>437.5911804700981</v>
      </c>
      <c r="AA29" s="39">
        <f t="shared" si="56"/>
        <v>438.68515842127334</v>
      </c>
      <c r="AB29" s="242">
        <f>AVERAGE(X29:AA29)</f>
        <v>437.04691791825127</v>
      </c>
      <c r="AC29" s="39">
        <f>AA29*(1+AC82)</f>
        <v>439.78187131732648</v>
      </c>
      <c r="AD29" s="39">
        <f t="shared" ref="AD29:AF30" si="57">AC29*(1+AD82)</f>
        <v>440.88132599561976</v>
      </c>
      <c r="AE29" s="39">
        <f t="shared" si="57"/>
        <v>441.98352931060879</v>
      </c>
      <c r="AF29" s="39">
        <f t="shared" si="57"/>
        <v>443.08848813388528</v>
      </c>
      <c r="AG29" s="242">
        <f>AVERAGE(AC29:AF29)</f>
        <v>441.43380368936005</v>
      </c>
      <c r="AH29" s="39">
        <f>AF29*(1+AH82)</f>
        <v>444.19620935421995</v>
      </c>
      <c r="AI29" s="39">
        <f t="shared" ref="AI29:AK30" si="58">AH29*(1+AI82)</f>
        <v>445.30669987760547</v>
      </c>
      <c r="AJ29" s="39">
        <f t="shared" si="58"/>
        <v>446.41996662729946</v>
      </c>
      <c r="AK29" s="39">
        <f t="shared" si="58"/>
        <v>447.53601654386767</v>
      </c>
      <c r="AL29" s="242">
        <f>AVERAGE(AH29:AK29)</f>
        <v>445.86472310074811</v>
      </c>
      <c r="AM29" s="39">
        <f>AK29*(1+AM82)</f>
        <v>448.65485658522732</v>
      </c>
      <c r="AN29" s="39">
        <f t="shared" ref="AN29:AP30" si="59">AM29*(1+AN82)</f>
        <v>449.77649372669038</v>
      </c>
      <c r="AO29" s="39">
        <f t="shared" si="59"/>
        <v>450.90093496100707</v>
      </c>
      <c r="AP29" s="39">
        <f t="shared" si="59"/>
        <v>452.02818729840953</v>
      </c>
      <c r="AQ29" s="242">
        <f>AVERAGE(AM29:AP29)</f>
        <v>450.3401181428336</v>
      </c>
    </row>
    <row r="30" spans="2:43" s="126" customFormat="1" ht="15.75" customHeight="1" x14ac:dyDescent="0.3">
      <c r="B30" s="347" t="s">
        <v>130</v>
      </c>
      <c r="C30" s="348"/>
      <c r="D30" s="181">
        <v>430.83499999999998</v>
      </c>
      <c r="E30" s="182">
        <v>431.44099999999997</v>
      </c>
      <c r="F30" s="182">
        <v>432.74200000000002</v>
      </c>
      <c r="G30" s="183">
        <v>432.51400000000001</v>
      </c>
      <c r="H30" s="184">
        <f>AVERAGE(D30:G30)</f>
        <v>431.88300000000004</v>
      </c>
      <c r="I30" s="115">
        <v>433.80900000000003</v>
      </c>
      <c r="J30" s="39">
        <v>436.09699999999998</v>
      </c>
      <c r="K30" s="39">
        <v>437.60599999999999</v>
      </c>
      <c r="L30" s="39">
        <v>438.25700000000001</v>
      </c>
      <c r="M30" s="242">
        <f>AVERAGE(I30:L30)</f>
        <v>436.44225</v>
      </c>
      <c r="N30" s="39">
        <v>437.99299999999999</v>
      </c>
      <c r="O30" s="39">
        <v>438.154</v>
      </c>
      <c r="P30" s="39">
        <v>438.38900000000001</v>
      </c>
      <c r="Q30" s="39">
        <f>P30*(1+Q83)</f>
        <v>439.48497249999997</v>
      </c>
      <c r="R30" s="242">
        <f>AVERAGE(N30:Q30)</f>
        <v>438.50524312499999</v>
      </c>
      <c r="S30" s="39">
        <f>Q30*(1+S83)</f>
        <v>440.58368493124993</v>
      </c>
      <c r="T30" s="39">
        <f t="shared" si="55"/>
        <v>441.68514414357804</v>
      </c>
      <c r="U30" s="39">
        <f t="shared" si="55"/>
        <v>442.78935700393697</v>
      </c>
      <c r="V30" s="39">
        <f t="shared" si="55"/>
        <v>443.89633039644679</v>
      </c>
      <c r="W30" s="242">
        <f>AVERAGE(S30:V30)</f>
        <v>442.23862911880292</v>
      </c>
      <c r="X30" s="39">
        <f>V30*(1+X83)</f>
        <v>445.00607122243787</v>
      </c>
      <c r="Y30" s="39">
        <f t="shared" si="56"/>
        <v>446.11858640049394</v>
      </c>
      <c r="Z30" s="39">
        <f t="shared" si="56"/>
        <v>447.23388286649515</v>
      </c>
      <c r="AA30" s="39">
        <f t="shared" si="56"/>
        <v>448.35196757366134</v>
      </c>
      <c r="AB30" s="242">
        <f>AVERAGE(X30:AA30)</f>
        <v>446.67762701577209</v>
      </c>
      <c r="AC30" s="39">
        <f>AA30*(1+AC83)</f>
        <v>449.47284749259546</v>
      </c>
      <c r="AD30" s="39">
        <f t="shared" si="57"/>
        <v>450.5965296113269</v>
      </c>
      <c r="AE30" s="39">
        <f t="shared" si="57"/>
        <v>451.72302093535518</v>
      </c>
      <c r="AF30" s="39">
        <f t="shared" si="57"/>
        <v>452.85232848769357</v>
      </c>
      <c r="AG30" s="242">
        <f>AVERAGE(AC30:AF30)</f>
        <v>451.16118163174275</v>
      </c>
      <c r="AH30" s="39">
        <f>AF30*(1+AH83)</f>
        <v>453.98445930891279</v>
      </c>
      <c r="AI30" s="39">
        <f t="shared" si="58"/>
        <v>455.11942045718507</v>
      </c>
      <c r="AJ30" s="39">
        <f t="shared" si="58"/>
        <v>456.25721900832804</v>
      </c>
      <c r="AK30" s="39">
        <f t="shared" si="58"/>
        <v>457.3978620558488</v>
      </c>
      <c r="AL30" s="242">
        <f>AVERAGE(AH30:AK30)</f>
        <v>455.68974020756866</v>
      </c>
      <c r="AM30" s="39">
        <f>AK30*(1+AM83)</f>
        <v>458.5413567109884</v>
      </c>
      <c r="AN30" s="39">
        <f t="shared" si="59"/>
        <v>459.68771010276583</v>
      </c>
      <c r="AO30" s="39">
        <f t="shared" si="59"/>
        <v>460.83692937802272</v>
      </c>
      <c r="AP30" s="39">
        <f t="shared" si="59"/>
        <v>461.98902170146778</v>
      </c>
      <c r="AQ30" s="242">
        <f>AVERAGE(AM30:AP30)</f>
        <v>460.26375447331122</v>
      </c>
    </row>
    <row r="31" spans="2:43" x14ac:dyDescent="0.3">
      <c r="B31" s="345" t="s">
        <v>131</v>
      </c>
      <c r="C31" s="346"/>
      <c r="D31" s="117">
        <f t="shared" ref="D31:L31" si="60">D25/D29</f>
        <v>0.12685178772297259</v>
      </c>
      <c r="E31" s="15">
        <f t="shared" si="60"/>
        <v>0.16910094434417358</v>
      </c>
      <c r="F31" s="15">
        <f t="shared" si="60"/>
        <v>0.14077835866607794</v>
      </c>
      <c r="G31" s="118">
        <f t="shared" si="60"/>
        <v>0.19744744744744752</v>
      </c>
      <c r="H31" s="119">
        <f t="shared" si="60"/>
        <v>0.63443172313181728</v>
      </c>
      <c r="I31" s="117">
        <f t="shared" si="60"/>
        <v>5.5936396427019704E-2</v>
      </c>
      <c r="J31" s="224">
        <f t="shared" si="60"/>
        <v>6.1915173743358212E-2</v>
      </c>
      <c r="K31" s="224">
        <f t="shared" si="60"/>
        <v>6.8948553303238014E-2</v>
      </c>
      <c r="L31" s="224">
        <f t="shared" si="60"/>
        <v>0.10096149349495402</v>
      </c>
      <c r="M31" s="119">
        <f>SUM(I31:L31)</f>
        <v>0.28776161696856994</v>
      </c>
      <c r="N31" s="224">
        <f>N25/N29</f>
        <v>6.4603834932974141E-2</v>
      </c>
      <c r="O31" s="224">
        <f>O25/O29</f>
        <v>9.5114625317691104E-2</v>
      </c>
      <c r="P31" s="224">
        <f>P25/P29</f>
        <v>0.12010388471966758</v>
      </c>
      <c r="Q31" s="224">
        <f>Q25/Q29</f>
        <v>0.13022972867153462</v>
      </c>
      <c r="R31" s="119">
        <f>SUM(N31:Q31)</f>
        <v>0.41005207364186746</v>
      </c>
      <c r="S31" s="224">
        <f>S25/S29</f>
        <v>0.18201330447598862</v>
      </c>
      <c r="T31" s="224">
        <f>T25/T29</f>
        <v>0.23032761804230678</v>
      </c>
      <c r="U31" s="224">
        <f>U25/U29</f>
        <v>0.27386578105253551</v>
      </c>
      <c r="V31" s="224">
        <f>V25/V29</f>
        <v>0.26948807508322237</v>
      </c>
      <c r="W31" s="119">
        <f>SUM(S31:V31)</f>
        <v>0.95569477865405328</v>
      </c>
      <c r="X31" s="224">
        <f>X25/X29</f>
        <v>0.23386433271657753</v>
      </c>
      <c r="Y31" s="224">
        <f>Y25/Y29</f>
        <v>0.17503244033189627</v>
      </c>
      <c r="Z31" s="224">
        <f>Z25/Z29</f>
        <v>0.28366798116242059</v>
      </c>
      <c r="AA31" s="224">
        <f>AA25/AA29</f>
        <v>0.23862673830871609</v>
      </c>
      <c r="AB31" s="119">
        <f>SUM(X31:AA31)</f>
        <v>0.93119149251961042</v>
      </c>
      <c r="AC31" s="224">
        <f>AC25/AC29</f>
        <v>0.60135783972056267</v>
      </c>
      <c r="AD31" s="224">
        <f>AD25/AD29</f>
        <v>0.71131623039005021</v>
      </c>
      <c r="AE31" s="224">
        <f>AE25/AE29</f>
        <v>0.85004889158586994</v>
      </c>
      <c r="AF31" s="224">
        <f>AF25/AF29</f>
        <v>1.0489924627597573</v>
      </c>
      <c r="AG31" s="119">
        <f>SUM(AC31:AF31)</f>
        <v>3.2117154244562403</v>
      </c>
      <c r="AH31" s="224">
        <f>AH25/AH29</f>
        <v>2.0665676005477249</v>
      </c>
      <c r="AI31" s="224">
        <f>AI25/AI29</f>
        <v>2.8606948280400553</v>
      </c>
      <c r="AJ31" s="224">
        <f>AJ25/AJ29</f>
        <v>3.2980437748590758</v>
      </c>
      <c r="AK31" s="224">
        <f>AK25/AK29</f>
        <v>5.8252712989860065</v>
      </c>
      <c r="AL31" s="119">
        <f>SUM(AH31:AK31)</f>
        <v>14.050577502432862</v>
      </c>
      <c r="AM31" s="224">
        <f>AM25/AM29</f>
        <v>10.759218993625712</v>
      </c>
      <c r="AN31" s="224">
        <f>AN25/AN29</f>
        <v>14.755183708876965</v>
      </c>
      <c r="AO31" s="224">
        <f>AO25/AO29</f>
        <v>20.642122606467836</v>
      </c>
      <c r="AP31" s="224">
        <f>AP25/AP29</f>
        <v>25.020113150917311</v>
      </c>
      <c r="AQ31" s="119">
        <f>SUM(AM31:AP31)</f>
        <v>71.176638459887826</v>
      </c>
    </row>
    <row r="32" spans="2:43" s="126" customFormat="1" x14ac:dyDescent="0.3">
      <c r="B32" s="345" t="s">
        <v>85</v>
      </c>
      <c r="C32" s="346"/>
      <c r="D32" s="15">
        <f t="shared" ref="D32:L32" si="61">D25/D30</f>
        <v>0.12328385576844945</v>
      </c>
      <c r="E32" s="15">
        <f t="shared" si="61"/>
        <v>0.16460651630234485</v>
      </c>
      <c r="F32" s="15">
        <f t="shared" si="61"/>
        <v>0.1370215971641302</v>
      </c>
      <c r="G32" s="15">
        <f t="shared" si="61"/>
        <v>0.1927590783188522</v>
      </c>
      <c r="H32" s="119">
        <f t="shared" si="61"/>
        <v>0.61775758712429085</v>
      </c>
      <c r="I32" s="15">
        <f t="shared" si="61"/>
        <v>5.4623117547122797E-2</v>
      </c>
      <c r="J32" s="224">
        <f t="shared" si="61"/>
        <v>6.038794121491315E-2</v>
      </c>
      <c r="K32" s="224">
        <f t="shared" si="61"/>
        <v>6.7256847483809432E-2</v>
      </c>
      <c r="L32" s="224">
        <f t="shared" si="61"/>
        <v>9.8522100046319852E-2</v>
      </c>
      <c r="M32" s="119">
        <f t="shared" ref="M32" si="62">SUM(I32:L32)</f>
        <v>0.28079000629216522</v>
      </c>
      <c r="N32" s="224">
        <f>N25/N30</f>
        <v>6.3147127922135948E-2</v>
      </c>
      <c r="O32" s="224">
        <f>O25/O30</f>
        <v>9.3015241216559102E-2</v>
      </c>
      <c r="P32" s="224">
        <f>P25/P30</f>
        <v>0.117514353690444</v>
      </c>
      <c r="Q32" s="248">
        <f>Q25/Q30</f>
        <v>0.12742187675142863</v>
      </c>
      <c r="R32" s="119">
        <f t="shared" ref="R32" si="63">SUM(N32:Q32)</f>
        <v>0.40109859958056765</v>
      </c>
      <c r="S32" s="224">
        <f>S25/S30</f>
        <v>0.17808895930786844</v>
      </c>
      <c r="T32" s="224">
        <f>T25/T30</f>
        <v>0.22536157955654212</v>
      </c>
      <c r="U32" s="224">
        <f>U25/U30</f>
        <v>0.26796102668481969</v>
      </c>
      <c r="V32" s="224">
        <f>V25/V30</f>
        <v>0.26367770738310531</v>
      </c>
      <c r="W32" s="119">
        <f t="shared" ref="W32" si="64">SUM(S32:V32)</f>
        <v>0.93508927293233568</v>
      </c>
      <c r="X32" s="224">
        <f>X25/X30</f>
        <v>0.22882203997465861</v>
      </c>
      <c r="Y32" s="224">
        <f>Y25/Y30</f>
        <v>0.17125860789993042</v>
      </c>
      <c r="Z32" s="224">
        <f>Z25/Z30</f>
        <v>0.27755188391101332</v>
      </c>
      <c r="AA32" s="224">
        <f>AA25/AA30</f>
        <v>0.23348176448297236</v>
      </c>
      <c r="AB32" s="119">
        <f t="shared" ref="AB32" si="65">SUM(X32:AA32)</f>
        <v>0.91111429626857476</v>
      </c>
      <c r="AC32" s="224">
        <f>AC25/AC30</f>
        <v>0.58839210768568329</v>
      </c>
      <c r="AD32" s="224">
        <f>AD25/AD30</f>
        <v>0.69597971188788266</v>
      </c>
      <c r="AE32" s="224">
        <f>AE25/AE30</f>
        <v>0.83172119147644752</v>
      </c>
      <c r="AF32" s="224">
        <f>AF25/AF30</f>
        <v>1.0263753880658093</v>
      </c>
      <c r="AG32" s="119">
        <f t="shared" ref="AG32" si="66">SUM(AC32:AF32)</f>
        <v>3.1424683991158231</v>
      </c>
      <c r="AH32" s="224">
        <f>AH25/AH30</f>
        <v>2.0220108325622665</v>
      </c>
      <c r="AI32" s="224">
        <f>AI25/AI30</f>
        <v>2.7990160735215008</v>
      </c>
      <c r="AJ32" s="224">
        <f>AJ25/AJ30</f>
        <v>3.2269354446775065</v>
      </c>
      <c r="AK32" s="224">
        <f>AK25/AK30</f>
        <v>5.6996740227815037</v>
      </c>
      <c r="AL32" s="119">
        <f t="shared" ref="AL32" si="67">SUM(AH32:AK32)</f>
        <v>13.747636373542779</v>
      </c>
      <c r="AM32" s="224">
        <f>AM25/AM30</f>
        <v>10.527242055500553</v>
      </c>
      <c r="AN32" s="224">
        <f>AN25/AN30</f>
        <v>14.437050734700366</v>
      </c>
      <c r="AO32" s="224">
        <f>AO25/AO30</f>
        <v>20.197062755795638</v>
      </c>
      <c r="AP32" s="224">
        <f>AP25/AP30</f>
        <v>24.480660496990154</v>
      </c>
      <c r="AQ32" s="119">
        <f t="shared" ref="AQ32" si="68">SUM(AM32:AP32)</f>
        <v>69.642016042986711</v>
      </c>
    </row>
    <row r="33" spans="2:43" s="238" customFormat="1" x14ac:dyDescent="0.3">
      <c r="B33" s="277" t="s">
        <v>248</v>
      </c>
      <c r="C33" s="278"/>
      <c r="D33" s="15">
        <f>D27/D30</f>
        <v>0.12328385576844945</v>
      </c>
      <c r="E33" s="15">
        <f t="shared" ref="E33:AL33" si="69">E27/E30</f>
        <v>0.16460651630234485</v>
      </c>
      <c r="F33" s="15">
        <f t="shared" si="69"/>
        <v>0.1370215971641302</v>
      </c>
      <c r="G33" s="15">
        <f t="shared" si="69"/>
        <v>0.10348566751596489</v>
      </c>
      <c r="H33" s="119">
        <f t="shared" si="69"/>
        <v>0.52835374395380263</v>
      </c>
      <c r="I33" s="15">
        <f t="shared" si="69"/>
        <v>5.4623117547122797E-2</v>
      </c>
      <c r="J33" s="224">
        <f t="shared" si="69"/>
        <v>6.038794121491315E-2</v>
      </c>
      <c r="K33" s="224">
        <f t="shared" si="69"/>
        <v>6.7256847483809432E-2</v>
      </c>
      <c r="L33" s="224">
        <f t="shared" si="69"/>
        <v>6.7859726142423263E-2</v>
      </c>
      <c r="M33" s="119">
        <f t="shared" si="69"/>
        <v>0.25021179778080505</v>
      </c>
      <c r="N33" s="224">
        <f t="shared" si="69"/>
        <v>6.3147127922135948E-2</v>
      </c>
      <c r="O33" s="224">
        <f t="shared" si="69"/>
        <v>9.3015241216559102E-2</v>
      </c>
      <c r="P33" s="224">
        <f t="shared" si="69"/>
        <v>0.117514353690444</v>
      </c>
      <c r="Q33" s="224">
        <f t="shared" si="69"/>
        <v>0.12742187675142863</v>
      </c>
      <c r="R33" s="119">
        <f t="shared" si="69"/>
        <v>0.40120386872968361</v>
      </c>
      <c r="S33" s="224">
        <f t="shared" si="69"/>
        <v>0.17808895930786844</v>
      </c>
      <c r="T33" s="224">
        <f t="shared" si="69"/>
        <v>0.22536157955654212</v>
      </c>
      <c r="U33" s="224">
        <f t="shared" si="69"/>
        <v>0.26796102668481969</v>
      </c>
      <c r="V33" s="224">
        <f t="shared" si="69"/>
        <v>0.26367770738310531</v>
      </c>
      <c r="W33" s="119">
        <f t="shared" si="69"/>
        <v>0.93546285166270771</v>
      </c>
      <c r="X33" s="224">
        <f t="shared" si="69"/>
        <v>0.22882203997465861</v>
      </c>
      <c r="Y33" s="224">
        <f t="shared" si="69"/>
        <v>0.17125860789993042</v>
      </c>
      <c r="Z33" s="224">
        <f t="shared" si="69"/>
        <v>0.27755188391101332</v>
      </c>
      <c r="AA33" s="224">
        <f t="shared" si="69"/>
        <v>0.23348176448297236</v>
      </c>
      <c r="AB33" s="119">
        <f t="shared" si="69"/>
        <v>0.91126449076893679</v>
      </c>
      <c r="AC33" s="224">
        <f t="shared" si="69"/>
        <v>0.58839210768568329</v>
      </c>
      <c r="AD33" s="224">
        <f t="shared" si="69"/>
        <v>0.69597971188788266</v>
      </c>
      <c r="AE33" s="224">
        <f t="shared" si="69"/>
        <v>0.83172119147644752</v>
      </c>
      <c r="AF33" s="224">
        <f t="shared" si="69"/>
        <v>1.0263753880658093</v>
      </c>
      <c r="AG33" s="119">
        <f t="shared" si="69"/>
        <v>3.1442785201229522</v>
      </c>
      <c r="AH33" s="224">
        <f t="shared" si="69"/>
        <v>2.0220108325622665</v>
      </c>
      <c r="AI33" s="224">
        <f t="shared" si="69"/>
        <v>2.7990160735215008</v>
      </c>
      <c r="AJ33" s="224">
        <f t="shared" si="69"/>
        <v>3.2269354446775065</v>
      </c>
      <c r="AK33" s="224">
        <f t="shared" si="69"/>
        <v>5.6996740227815037</v>
      </c>
      <c r="AL33" s="119">
        <f t="shared" si="69"/>
        <v>13.76194989436436</v>
      </c>
      <c r="AM33" s="224">
        <f t="shared" ref="AM33:AQ33" si="70">AM27/AM30</f>
        <v>10.527242055500553</v>
      </c>
      <c r="AN33" s="224">
        <f t="shared" si="70"/>
        <v>14.437050734700366</v>
      </c>
      <c r="AO33" s="224">
        <f t="shared" si="70"/>
        <v>20.197062755795638</v>
      </c>
      <c r="AP33" s="224">
        <f t="shared" si="70"/>
        <v>24.480660496990154</v>
      </c>
      <c r="AQ33" s="119">
        <f t="shared" si="70"/>
        <v>69.701468151850008</v>
      </c>
    </row>
    <row r="34" spans="2:43" s="126" customFormat="1" x14ac:dyDescent="0.3">
      <c r="B34" s="398" t="s">
        <v>241</v>
      </c>
      <c r="C34" s="399"/>
      <c r="D34" s="156">
        <f>D28/D30</f>
        <v>0.18697645270231047</v>
      </c>
      <c r="E34" s="156">
        <f t="shared" ref="E34:AL34" si="71">E28/E30</f>
        <v>0.23248369997288149</v>
      </c>
      <c r="F34" s="156">
        <f t="shared" si="71"/>
        <v>0.20606504568542</v>
      </c>
      <c r="G34" s="156">
        <f t="shared" si="71"/>
        <v>0.17342791216006892</v>
      </c>
      <c r="H34" s="160">
        <f t="shared" si="71"/>
        <v>0.79892470877529354</v>
      </c>
      <c r="I34" s="156">
        <f t="shared" si="71"/>
        <v>0.11787906659382305</v>
      </c>
      <c r="J34" s="161">
        <f t="shared" si="71"/>
        <v>0.12594675037892941</v>
      </c>
      <c r="K34" s="161">
        <f t="shared" si="71"/>
        <v>0.14228781141026384</v>
      </c>
      <c r="L34" s="161">
        <f t="shared" si="71"/>
        <v>0.14968386129599753</v>
      </c>
      <c r="M34" s="160">
        <f t="shared" si="71"/>
        <v>0.53598843833290555</v>
      </c>
      <c r="N34" s="161">
        <f t="shared" si="71"/>
        <v>0.16000255711849296</v>
      </c>
      <c r="O34" s="161">
        <f t="shared" si="71"/>
        <v>0.19369217215864792</v>
      </c>
      <c r="P34" s="161">
        <f t="shared" si="71"/>
        <v>0.21672989057663411</v>
      </c>
      <c r="Q34" s="161">
        <f t="shared" si="71"/>
        <v>0.23420596025043836</v>
      </c>
      <c r="R34" s="160">
        <f t="shared" si="71"/>
        <v>0.80475434566105353</v>
      </c>
      <c r="S34" s="161">
        <f t="shared" si="71"/>
        <v>0.29175282915011702</v>
      </c>
      <c r="T34" s="161">
        <f t="shared" si="71"/>
        <v>0.34892713713684265</v>
      </c>
      <c r="U34" s="161">
        <f t="shared" si="71"/>
        <v>0.39776239159551863</v>
      </c>
      <c r="V34" s="161">
        <f t="shared" si="71"/>
        <v>0.40459293226951876</v>
      </c>
      <c r="W34" s="160">
        <f t="shared" si="71"/>
        <v>1.443518722558673</v>
      </c>
      <c r="X34" s="161">
        <f t="shared" si="71"/>
        <v>0.38916239967467237</v>
      </c>
      <c r="Y34" s="161">
        <f t="shared" si="71"/>
        <v>0.35559347075272096</v>
      </c>
      <c r="Z34" s="161">
        <f t="shared" si="71"/>
        <v>0.48599665199586245</v>
      </c>
      <c r="AA34" s="161">
        <f t="shared" si="71"/>
        <v>0.47798026213441069</v>
      </c>
      <c r="AB34" s="160">
        <f t="shared" si="71"/>
        <v>1.7092283150030656</v>
      </c>
      <c r="AC34" s="161">
        <f t="shared" si="71"/>
        <v>0.88769511558331904</v>
      </c>
      <c r="AD34" s="161">
        <f t="shared" si="71"/>
        <v>1.0490989759006546</v>
      </c>
      <c r="AE34" s="161">
        <f t="shared" si="71"/>
        <v>1.2383728289076679</v>
      </c>
      <c r="AF34" s="161">
        <f t="shared" si="71"/>
        <v>1.5059406256664274</v>
      </c>
      <c r="AG34" s="160">
        <f t="shared" si="71"/>
        <v>4.6836596970494995</v>
      </c>
      <c r="AH34" s="161">
        <f t="shared" si="71"/>
        <v>2.6113730266785908</v>
      </c>
      <c r="AI34" s="161">
        <f t="shared" si="71"/>
        <v>3.5101542485392034</v>
      </c>
      <c r="AJ34" s="161">
        <f t="shared" si="71"/>
        <v>4.0605564082037002</v>
      </c>
      <c r="AK34" s="161">
        <f t="shared" si="71"/>
        <v>6.7001226148125737</v>
      </c>
      <c r="AL34" s="160">
        <f t="shared" si="71"/>
        <v>16.898212519189663</v>
      </c>
      <c r="AM34" s="161">
        <f t="shared" ref="AM34:AQ34" si="72">AM28/AM30</f>
        <v>11.819290167128052</v>
      </c>
      <c r="AN34" s="161">
        <f t="shared" si="72"/>
        <v>16.072180001941884</v>
      </c>
      <c r="AO34" s="161">
        <f t="shared" si="72"/>
        <v>22.263218276624517</v>
      </c>
      <c r="AP34" s="161">
        <f t="shared" si="72"/>
        <v>26.985718899467244</v>
      </c>
      <c r="AQ34" s="160">
        <f t="shared" si="72"/>
        <v>77.204940966205044</v>
      </c>
    </row>
    <row r="35" spans="2:43" s="126" customFormat="1" x14ac:dyDescent="0.3">
      <c r="B35" s="110"/>
      <c r="C35" s="110"/>
      <c r="D35" s="247">
        <f>D43+D54+D65-D11</f>
        <v>0</v>
      </c>
      <c r="E35" s="247">
        <f>E43+E54+E65-E11</f>
        <v>0</v>
      </c>
      <c r="F35" s="247">
        <f>F43+F54+F65-F11</f>
        <v>0</v>
      </c>
      <c r="G35" s="247">
        <f>G43+G54+G65-G11</f>
        <v>0</v>
      </c>
      <c r="H35" s="247"/>
      <c r="I35" s="247">
        <f>I43+I54+I65-I11</f>
        <v>0</v>
      </c>
      <c r="J35" s="247">
        <f>J43+J54+J65-J11</f>
        <v>0</v>
      </c>
      <c r="K35" s="247">
        <f>K43+K54+K65-K11</f>
        <v>0</v>
      </c>
      <c r="L35" s="247">
        <f>L43+L54+L65-L11</f>
        <v>0</v>
      </c>
      <c r="M35" s="185"/>
      <c r="N35" s="247">
        <f>N43+N54+N65-N11</f>
        <v>0</v>
      </c>
      <c r="O35" s="247">
        <f>O43+O54+O65-O11</f>
        <v>0</v>
      </c>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row>
    <row r="36" spans="2:43" hidden="1" x14ac:dyDescent="0.3">
      <c r="B36" s="106"/>
      <c r="C36" s="110"/>
      <c r="D36" s="156"/>
      <c r="E36" s="157"/>
      <c r="F36" s="157"/>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row>
    <row r="37" spans="2:43" ht="15.6" x14ac:dyDescent="0.3">
      <c r="B37" s="362" t="s">
        <v>68</v>
      </c>
      <c r="C37" s="363"/>
      <c r="D37" s="132" t="s">
        <v>43</v>
      </c>
      <c r="E37" s="132" t="s">
        <v>42</v>
      </c>
      <c r="F37" s="132" t="s">
        <v>41</v>
      </c>
      <c r="G37" s="132" t="s">
        <v>44</v>
      </c>
      <c r="H37" s="132" t="s">
        <v>44</v>
      </c>
      <c r="I37" s="132" t="s">
        <v>45</v>
      </c>
      <c r="J37" s="132" t="s">
        <v>46</v>
      </c>
      <c r="K37" s="132" t="s">
        <v>47</v>
      </c>
      <c r="L37" s="132" t="s">
        <v>49</v>
      </c>
      <c r="M37" s="132" t="s">
        <v>49</v>
      </c>
      <c r="N37" s="132" t="s">
        <v>50</v>
      </c>
      <c r="O37" s="132" t="s">
        <v>51</v>
      </c>
      <c r="P37" s="132" t="s">
        <v>52</v>
      </c>
      <c r="Q37" s="142" t="s">
        <v>48</v>
      </c>
      <c r="R37" s="142" t="s">
        <v>48</v>
      </c>
      <c r="S37" s="142" t="s">
        <v>53</v>
      </c>
      <c r="T37" s="142" t="s">
        <v>54</v>
      </c>
      <c r="U37" s="142" t="s">
        <v>55</v>
      </c>
      <c r="V37" s="142" t="s">
        <v>56</v>
      </c>
      <c r="W37" s="142" t="s">
        <v>56</v>
      </c>
      <c r="X37" s="142" t="s">
        <v>57</v>
      </c>
      <c r="Y37" s="142" t="s">
        <v>58</v>
      </c>
      <c r="Z37" s="142" t="s">
        <v>59</v>
      </c>
      <c r="AA37" s="142" t="s">
        <v>60</v>
      </c>
      <c r="AB37" s="142" t="s">
        <v>60</v>
      </c>
      <c r="AC37" s="142" t="s">
        <v>61</v>
      </c>
      <c r="AD37" s="142" t="s">
        <v>62</v>
      </c>
      <c r="AE37" s="142" t="s">
        <v>63</v>
      </c>
      <c r="AF37" s="142" t="s">
        <v>78</v>
      </c>
      <c r="AG37" s="142" t="s">
        <v>78</v>
      </c>
      <c r="AH37" s="142" t="s">
        <v>229</v>
      </c>
      <c r="AI37" s="142" t="s">
        <v>230</v>
      </c>
      <c r="AJ37" s="142" t="s">
        <v>231</v>
      </c>
      <c r="AK37" s="142" t="s">
        <v>232</v>
      </c>
      <c r="AL37" s="158" t="s">
        <v>232</v>
      </c>
      <c r="AM37" s="142" t="s">
        <v>258</v>
      </c>
      <c r="AN37" s="142" t="s">
        <v>259</v>
      </c>
      <c r="AO37" s="142" t="s">
        <v>260</v>
      </c>
      <c r="AP37" s="142" t="s">
        <v>261</v>
      </c>
      <c r="AQ37" s="158" t="s">
        <v>261</v>
      </c>
    </row>
    <row r="38" spans="2:43" ht="16.2" x14ac:dyDescent="0.45">
      <c r="B38" s="360" t="s">
        <v>112</v>
      </c>
      <c r="C38" s="361"/>
      <c r="D38" s="133" t="s">
        <v>79</v>
      </c>
      <c r="E38" s="133" t="s">
        <v>80</v>
      </c>
      <c r="F38" s="133" t="s">
        <v>81</v>
      </c>
      <c r="G38" s="133" t="s">
        <v>82</v>
      </c>
      <c r="H38" s="135" t="s">
        <v>193</v>
      </c>
      <c r="I38" s="133" t="s">
        <v>83</v>
      </c>
      <c r="J38" s="133" t="s">
        <v>203</v>
      </c>
      <c r="K38" s="133" t="s">
        <v>204</v>
      </c>
      <c r="L38" s="133" t="s">
        <v>223</v>
      </c>
      <c r="M38" s="133" t="s">
        <v>224</v>
      </c>
      <c r="N38" s="133" t="s">
        <v>252</v>
      </c>
      <c r="O38" s="133" t="s">
        <v>253</v>
      </c>
      <c r="P38" s="133" t="s">
        <v>254</v>
      </c>
      <c r="Q38" s="143" t="s">
        <v>90</v>
      </c>
      <c r="R38" s="144" t="s">
        <v>91</v>
      </c>
      <c r="S38" s="143" t="s">
        <v>92</v>
      </c>
      <c r="T38" s="143" t="s">
        <v>93</v>
      </c>
      <c r="U38" s="143" t="s">
        <v>94</v>
      </c>
      <c r="V38" s="143" t="s">
        <v>95</v>
      </c>
      <c r="W38" s="144" t="s">
        <v>96</v>
      </c>
      <c r="X38" s="143" t="s">
        <v>97</v>
      </c>
      <c r="Y38" s="143" t="s">
        <v>98</v>
      </c>
      <c r="Z38" s="143" t="s">
        <v>99</v>
      </c>
      <c r="AA38" s="143" t="s">
        <v>100</v>
      </c>
      <c r="AB38" s="144" t="s">
        <v>101</v>
      </c>
      <c r="AC38" s="143" t="s">
        <v>102</v>
      </c>
      <c r="AD38" s="143" t="s">
        <v>103</v>
      </c>
      <c r="AE38" s="143" t="s">
        <v>104</v>
      </c>
      <c r="AF38" s="143" t="s">
        <v>105</v>
      </c>
      <c r="AG38" s="144" t="s">
        <v>198</v>
      </c>
      <c r="AH38" s="143" t="s">
        <v>233</v>
      </c>
      <c r="AI38" s="143" t="s">
        <v>234</v>
      </c>
      <c r="AJ38" s="143" t="s">
        <v>235</v>
      </c>
      <c r="AK38" s="143" t="s">
        <v>236</v>
      </c>
      <c r="AL38" s="159" t="s">
        <v>237</v>
      </c>
      <c r="AM38" s="143" t="s">
        <v>262</v>
      </c>
      <c r="AN38" s="143" t="s">
        <v>263</v>
      </c>
      <c r="AO38" s="143" t="s">
        <v>264</v>
      </c>
      <c r="AP38" s="143" t="s">
        <v>265</v>
      </c>
      <c r="AQ38" s="159" t="s">
        <v>266</v>
      </c>
    </row>
    <row r="39" spans="2:43" s="75" customFormat="1" x14ac:dyDescent="0.3">
      <c r="B39" s="370" t="s">
        <v>132</v>
      </c>
      <c r="C39" s="371"/>
      <c r="D39" s="168"/>
      <c r="E39" s="168"/>
      <c r="F39" s="168"/>
      <c r="G39" s="168"/>
      <c r="H39" s="45"/>
      <c r="I39" s="168"/>
      <c r="J39" s="168"/>
      <c r="K39" s="258"/>
      <c r="L39" s="168"/>
      <c r="M39" s="44"/>
      <c r="N39" s="168"/>
      <c r="O39" s="168"/>
      <c r="P39" s="167"/>
      <c r="Q39" s="168"/>
      <c r="R39" s="45"/>
      <c r="S39" s="310"/>
      <c r="T39" s="310"/>
      <c r="U39" s="310"/>
      <c r="V39" s="310"/>
      <c r="W39" s="45"/>
      <c r="X39" s="309"/>
      <c r="Y39" s="310"/>
      <c r="Z39" s="309"/>
      <c r="AA39" s="309"/>
      <c r="AB39" s="44"/>
      <c r="AC39" s="309"/>
      <c r="AD39" s="310"/>
      <c r="AE39" s="309"/>
      <c r="AF39" s="309"/>
      <c r="AG39" s="44"/>
      <c r="AH39" s="309"/>
      <c r="AI39" s="310"/>
      <c r="AJ39" s="309"/>
      <c r="AK39" s="309"/>
      <c r="AL39" s="44"/>
      <c r="AM39" s="309"/>
      <c r="AN39" s="310"/>
      <c r="AO39" s="309"/>
      <c r="AP39" s="309"/>
      <c r="AQ39" s="44"/>
    </row>
    <row r="40" spans="2:43" s="75" customFormat="1" outlineLevel="1" x14ac:dyDescent="0.3">
      <c r="B40" s="347" t="s">
        <v>146</v>
      </c>
      <c r="C40" s="348"/>
      <c r="D40" s="168">
        <v>34.377000000000002</v>
      </c>
      <c r="E40" s="168">
        <v>35.085000000000001</v>
      </c>
      <c r="F40" s="168">
        <v>36.265000000000001</v>
      </c>
      <c r="G40" s="168">
        <v>37.698</v>
      </c>
      <c r="H40" s="45"/>
      <c r="I40" s="168">
        <v>40.314999999999998</v>
      </c>
      <c r="J40" s="168">
        <v>41.057000000000002</v>
      </c>
      <c r="K40" s="258">
        <v>42.067999999999998</v>
      </c>
      <c r="L40" s="168">
        <v>43.401000000000003</v>
      </c>
      <c r="M40" s="44"/>
      <c r="N40" s="168">
        <v>45.713999999999999</v>
      </c>
      <c r="O40" s="168">
        <v>47.128999999999998</v>
      </c>
      <c r="P40" s="167">
        <v>47.497</v>
      </c>
      <c r="Q40" s="232">
        <f>P40*(1+Q41)</f>
        <v>47.63</v>
      </c>
      <c r="R40" s="44"/>
      <c r="S40" s="309">
        <f>Q40*(1+S41)</f>
        <v>50.011500000000005</v>
      </c>
      <c r="T40" s="310">
        <f>S40*(1+T41)</f>
        <v>51.511845000000008</v>
      </c>
      <c r="U40" s="309">
        <f t="shared" ref="U40" si="73">T40*(1+U41)</f>
        <v>53.057200350000009</v>
      </c>
      <c r="V40" s="309">
        <f>U40*(1+V41)</f>
        <v>54.64891636050001</v>
      </c>
      <c r="W40" s="44"/>
      <c r="X40" s="309">
        <f>V40*(1+X41)</f>
        <v>57.381362178525016</v>
      </c>
      <c r="Y40" s="310">
        <f>X40*(1+Y41)</f>
        <v>58.52898942209552</v>
      </c>
      <c r="Z40" s="309">
        <f t="shared" ref="Z40" si="74">Y40*(1+Z41)</f>
        <v>59.699569210537433</v>
      </c>
      <c r="AA40" s="309">
        <f>Z40*(1+AA41)</f>
        <v>61.490556286853561</v>
      </c>
      <c r="AB40" s="44"/>
      <c r="AC40" s="309">
        <f>AA40*(1+AC41)</f>
        <v>64.565084101196248</v>
      </c>
      <c r="AD40" s="310">
        <f>AC40*(1+AD41)</f>
        <v>65.856385783220176</v>
      </c>
      <c r="AE40" s="309">
        <f t="shared" ref="AE40" si="75">AD40*(1+AE41)</f>
        <v>67.173513498884574</v>
      </c>
      <c r="AF40" s="309">
        <f>AE40*(1+AF41)</f>
        <v>69.188718903851111</v>
      </c>
      <c r="AG40" s="44"/>
      <c r="AH40" s="309">
        <f>AF40*(1+AH41)</f>
        <v>72.648154849043664</v>
      </c>
      <c r="AI40" s="310">
        <f>AH40*(1+AI41)</f>
        <v>74.101117946024544</v>
      </c>
      <c r="AJ40" s="309">
        <f t="shared" ref="AJ40" si="76">AI40*(1+AJ41)</f>
        <v>75.583140304945033</v>
      </c>
      <c r="AK40" s="309">
        <f>AJ40*(1+AK41)</f>
        <v>77.850634514093386</v>
      </c>
      <c r="AL40" s="44"/>
      <c r="AM40" s="309">
        <f>AK40*(1+AM41)</f>
        <v>81.743166239798057</v>
      </c>
      <c r="AN40" s="310">
        <f>AM40*(1+AN41)</f>
        <v>83.378029564594016</v>
      </c>
      <c r="AO40" s="309">
        <f t="shared" ref="AO40" si="77">AN40*(1+AO41)</f>
        <v>85.045590155885904</v>
      </c>
      <c r="AP40" s="309">
        <f>AO40*(1+AP41)</f>
        <v>87.596957860562483</v>
      </c>
      <c r="AQ40" s="44"/>
    </row>
    <row r="41" spans="2:43" s="98" customFormat="1" outlineLevel="1" x14ac:dyDescent="0.3">
      <c r="B41" s="221" t="s">
        <v>134</v>
      </c>
      <c r="C41" s="222"/>
      <c r="D41" s="134">
        <f>D40/31.712-1</f>
        <v>8.4037588294652021E-2</v>
      </c>
      <c r="E41" s="134">
        <f>E40/D40-1</f>
        <v>2.0595165372196522E-2</v>
      </c>
      <c r="F41" s="134">
        <f t="shared" ref="F41:G41" si="78">F40/E40-1</f>
        <v>3.3632606527005837E-2</v>
      </c>
      <c r="G41" s="134">
        <f t="shared" si="78"/>
        <v>3.951468357920862E-2</v>
      </c>
      <c r="H41" s="165"/>
      <c r="I41" s="134">
        <f>I40/G40-1</f>
        <v>6.9420128388773872E-2</v>
      </c>
      <c r="J41" s="134">
        <f>J40/I40-1</f>
        <v>1.8405060151308605E-2</v>
      </c>
      <c r="K41" s="134">
        <f>K40/J40-1</f>
        <v>2.4624302798548214E-2</v>
      </c>
      <c r="L41" s="134">
        <f>L40/K40-1</f>
        <v>3.1686792811638442E-2</v>
      </c>
      <c r="M41" s="162"/>
      <c r="N41" s="134">
        <f>N40/L40-1</f>
        <v>5.3293702910071072E-2</v>
      </c>
      <c r="O41" s="134">
        <f>O40/N40-1</f>
        <v>3.0953318458240453E-2</v>
      </c>
      <c r="P41" s="134">
        <f>P40/O40-1</f>
        <v>7.8083557894290667E-3</v>
      </c>
      <c r="Q41" s="100">
        <v>2.8001768532750632E-3</v>
      </c>
      <c r="R41" s="162"/>
      <c r="S41" s="100">
        <v>0.05</v>
      </c>
      <c r="T41" s="100">
        <v>0.03</v>
      </c>
      <c r="U41" s="100">
        <v>0.03</v>
      </c>
      <c r="V41" s="100">
        <v>0.03</v>
      </c>
      <c r="W41" s="162"/>
      <c r="X41" s="100">
        <v>0.05</v>
      </c>
      <c r="Y41" s="100">
        <v>0.02</v>
      </c>
      <c r="Z41" s="100">
        <v>0.02</v>
      </c>
      <c r="AA41" s="100">
        <v>0.03</v>
      </c>
      <c r="AB41" s="162"/>
      <c r="AC41" s="100">
        <v>0.05</v>
      </c>
      <c r="AD41" s="100">
        <v>0.02</v>
      </c>
      <c r="AE41" s="100">
        <v>0.02</v>
      </c>
      <c r="AF41" s="100">
        <v>0.03</v>
      </c>
      <c r="AG41" s="162"/>
      <c r="AH41" s="100">
        <v>0.05</v>
      </c>
      <c r="AI41" s="100">
        <v>0.02</v>
      </c>
      <c r="AJ41" s="100">
        <v>0.02</v>
      </c>
      <c r="AK41" s="100">
        <v>0.03</v>
      </c>
      <c r="AL41" s="162"/>
      <c r="AM41" s="100">
        <v>0.05</v>
      </c>
      <c r="AN41" s="100">
        <v>0.02</v>
      </c>
      <c r="AO41" s="100">
        <v>0.02</v>
      </c>
      <c r="AP41" s="100">
        <v>0.03</v>
      </c>
      <c r="AQ41" s="162"/>
    </row>
    <row r="42" spans="2:43" s="75" customFormat="1" outlineLevel="1" x14ac:dyDescent="0.3">
      <c r="B42" s="217" t="s">
        <v>133</v>
      </c>
      <c r="C42" s="218"/>
      <c r="D42" s="168">
        <f>(D40+31.712)/2</f>
        <v>33.044499999999999</v>
      </c>
      <c r="E42" s="168">
        <f>AVERAGE(D40,E40)</f>
        <v>34.731000000000002</v>
      </c>
      <c r="F42" s="168">
        <f t="shared" ref="F42:J42" si="79">AVERAGE(E40,F40)</f>
        <v>35.674999999999997</v>
      </c>
      <c r="G42" s="168">
        <f t="shared" si="79"/>
        <v>36.981499999999997</v>
      </c>
      <c r="H42" s="45"/>
      <c r="I42" s="168">
        <f>AVERAGE(G40,I40)</f>
        <v>39.006500000000003</v>
      </c>
      <c r="J42" s="168">
        <f t="shared" si="79"/>
        <v>40.686</v>
      </c>
      <c r="K42" s="168">
        <f>AVERAGE(J40,K40)</f>
        <v>41.5625</v>
      </c>
      <c r="L42" s="168">
        <f>AVERAGE(K40,L40)</f>
        <v>42.734499999999997</v>
      </c>
      <c r="M42" s="44"/>
      <c r="N42" s="168">
        <f>AVERAGE(L40,N40)</f>
        <v>44.557500000000005</v>
      </c>
      <c r="O42" s="168">
        <v>46.003999999999998</v>
      </c>
      <c r="P42" s="168">
        <v>46.478999999999999</v>
      </c>
      <c r="Q42" s="168">
        <f t="shared" ref="Q42" si="80">AVERAGE(P40,Q40)</f>
        <v>47.563500000000005</v>
      </c>
      <c r="R42" s="44"/>
      <c r="S42" s="309">
        <f>AVERAGE(Q40,S40)</f>
        <v>48.820750000000004</v>
      </c>
      <c r="T42" s="310">
        <f t="shared" ref="T42:V42" si="81">AVERAGE(S40,T40)</f>
        <v>50.761672500000003</v>
      </c>
      <c r="U42" s="310">
        <f t="shared" si="81"/>
        <v>52.284522675000005</v>
      </c>
      <c r="V42" s="310">
        <f t="shared" si="81"/>
        <v>53.853058355250013</v>
      </c>
      <c r="W42" s="44"/>
      <c r="X42" s="309">
        <f>AVERAGE(V40,X40)</f>
        <v>56.015139269512517</v>
      </c>
      <c r="Y42" s="310">
        <f t="shared" ref="Y42" si="82">AVERAGE(X40,Y40)</f>
        <v>57.955175800310272</v>
      </c>
      <c r="Z42" s="310">
        <f t="shared" ref="Z42" si="83">AVERAGE(Y40,Z40)</f>
        <v>59.114279316316477</v>
      </c>
      <c r="AA42" s="310">
        <f t="shared" ref="AA42" si="84">AVERAGE(Z40,AA40)</f>
        <v>60.595062748695497</v>
      </c>
      <c r="AB42" s="44"/>
      <c r="AC42" s="309">
        <f>AVERAGE(AA40,AC40)</f>
        <v>63.027820194024905</v>
      </c>
      <c r="AD42" s="310">
        <f t="shared" ref="AD42" si="85">AVERAGE(AC40,AD40)</f>
        <v>65.210734942208205</v>
      </c>
      <c r="AE42" s="310">
        <f t="shared" ref="AE42" si="86">AVERAGE(AD40,AE40)</f>
        <v>66.514949641052368</v>
      </c>
      <c r="AF42" s="310">
        <f t="shared" ref="AF42" si="87">AVERAGE(AE40,AF40)</f>
        <v>68.181116201367843</v>
      </c>
      <c r="AG42" s="44"/>
      <c r="AH42" s="309">
        <f>AVERAGE(AF40,AH40)</f>
        <v>70.918436876447387</v>
      </c>
      <c r="AI42" s="310">
        <f t="shared" ref="AI42" si="88">AVERAGE(AH40,AI40)</f>
        <v>73.374636397534104</v>
      </c>
      <c r="AJ42" s="310">
        <f t="shared" ref="AJ42" si="89">AVERAGE(AI40,AJ40)</f>
        <v>74.842129125484789</v>
      </c>
      <c r="AK42" s="310">
        <f t="shared" ref="AK42" si="90">AVERAGE(AJ40,AK40)</f>
        <v>76.716887409519217</v>
      </c>
      <c r="AL42" s="44"/>
      <c r="AM42" s="309">
        <f>AVERAGE(AK40,AM40)</f>
        <v>79.796900376945729</v>
      </c>
      <c r="AN42" s="310">
        <f t="shared" ref="AN42" si="91">AVERAGE(AM40,AN40)</f>
        <v>82.560597902196037</v>
      </c>
      <c r="AO42" s="310">
        <f t="shared" ref="AO42" si="92">AVERAGE(AN40,AO40)</f>
        <v>84.211809860239953</v>
      </c>
      <c r="AP42" s="310">
        <f t="shared" ref="AP42" si="93">AVERAGE(AO40,AP40)</f>
        <v>86.321274008224194</v>
      </c>
      <c r="AQ42" s="44"/>
    </row>
    <row r="43" spans="2:43" s="47" customFormat="1" outlineLevel="1" x14ac:dyDescent="0.3">
      <c r="B43" s="347" t="s">
        <v>137</v>
      </c>
      <c r="C43" s="348"/>
      <c r="D43" s="168">
        <v>798.61699999999996</v>
      </c>
      <c r="E43" s="168">
        <v>838.22500000000002</v>
      </c>
      <c r="F43" s="168">
        <v>877.15</v>
      </c>
      <c r="G43" s="168">
        <v>917.44200000000001</v>
      </c>
      <c r="H43" s="45"/>
      <c r="I43" s="168">
        <v>984.53200000000004</v>
      </c>
      <c r="J43" s="168">
        <v>1025.913</v>
      </c>
      <c r="K43" s="168">
        <v>1063.961</v>
      </c>
      <c r="L43" s="168">
        <v>1105.933</v>
      </c>
      <c r="M43" s="44"/>
      <c r="N43" s="168">
        <v>1161.241</v>
      </c>
      <c r="O43" s="168">
        <v>1208.271</v>
      </c>
      <c r="P43" s="168">
        <v>1304.3330000000001</v>
      </c>
      <c r="Q43" s="232">
        <f>Q42*Q44</f>
        <v>1397.0000000000002</v>
      </c>
      <c r="R43" s="44"/>
      <c r="S43" s="310">
        <f>S42*S44</f>
        <v>1415.8017500000001</v>
      </c>
      <c r="T43" s="310">
        <f>T42*T44</f>
        <v>1472.0885025</v>
      </c>
      <c r="U43" s="310">
        <f t="shared" ref="U43" si="94">U42*U44</f>
        <v>1516.2511575750002</v>
      </c>
      <c r="V43" s="310">
        <f t="shared" ref="V43" si="95">V42*V44</f>
        <v>1561.7386923022505</v>
      </c>
      <c r="W43" s="44"/>
      <c r="X43" s="310">
        <f>X42*X44</f>
        <v>1624.4390388158629</v>
      </c>
      <c r="Y43" s="310">
        <f>Y42*Y44</f>
        <v>1680.7000982089978</v>
      </c>
      <c r="Z43" s="310">
        <f t="shared" ref="Z43:AA43" si="96">Z42*Z44</f>
        <v>1714.3141001731778</v>
      </c>
      <c r="AA43" s="310">
        <f t="shared" si="96"/>
        <v>1757.2568197121693</v>
      </c>
      <c r="AB43" s="44"/>
      <c r="AC43" s="310">
        <f>AC42*AC44</f>
        <v>1827.8067856267223</v>
      </c>
      <c r="AD43" s="310">
        <f>AD42*AD44</f>
        <v>1891.1113133240378</v>
      </c>
      <c r="AE43" s="310">
        <f t="shared" ref="AE43:AF43" si="97">AE42*AE44</f>
        <v>1928.9335395905186</v>
      </c>
      <c r="AF43" s="310">
        <f t="shared" si="97"/>
        <v>1977.2523698396674</v>
      </c>
      <c r="AG43" s="44"/>
      <c r="AH43" s="310">
        <f>AH42*AH44</f>
        <v>2056.6346694169742</v>
      </c>
      <c r="AI43" s="310">
        <f>AI42*AI44</f>
        <v>2127.8644555284891</v>
      </c>
      <c r="AJ43" s="310">
        <f t="shared" ref="AJ43:AK43" si="98">AJ42*AJ44</f>
        <v>2170.4217446390589</v>
      </c>
      <c r="AK43" s="310">
        <f t="shared" si="98"/>
        <v>2224.7897348760571</v>
      </c>
      <c r="AL43" s="44"/>
      <c r="AM43" s="310">
        <f>AM42*AM44</f>
        <v>2314.1101109314263</v>
      </c>
      <c r="AN43" s="310">
        <f>AN42*AN44</f>
        <v>2476.8179370658809</v>
      </c>
      <c r="AO43" s="310">
        <f t="shared" ref="AO43:AP43" si="99">AO42*AO44</f>
        <v>2694.7779155276785</v>
      </c>
      <c r="AP43" s="310">
        <f t="shared" si="99"/>
        <v>2762.2807682631742</v>
      </c>
      <c r="AQ43" s="44"/>
    </row>
    <row r="44" spans="2:43" s="47" customFormat="1" outlineLevel="1" x14ac:dyDescent="0.3">
      <c r="B44" s="347" t="s">
        <v>135</v>
      </c>
      <c r="C44" s="348"/>
      <c r="D44" s="168">
        <f>D43/D42</f>
        <v>24.167925070737944</v>
      </c>
      <c r="E44" s="168">
        <f t="shared" ref="E44:G44" si="100">E43/E42</f>
        <v>24.134778727937576</v>
      </c>
      <c r="F44" s="168">
        <f t="shared" si="100"/>
        <v>24.587245970567626</v>
      </c>
      <c r="G44" s="168">
        <f t="shared" si="100"/>
        <v>24.808133796628045</v>
      </c>
      <c r="H44" s="45"/>
      <c r="I44" s="168">
        <f t="shared" ref="I44:P44" si="101">I43/I42</f>
        <v>25.240203555817619</v>
      </c>
      <c r="J44" s="168">
        <f t="shared" si="101"/>
        <v>25.215381212210588</v>
      </c>
      <c r="K44" s="168">
        <f t="shared" si="101"/>
        <v>25.59906165413534</v>
      </c>
      <c r="L44" s="168">
        <f t="shared" si="101"/>
        <v>25.879160865342993</v>
      </c>
      <c r="M44" s="44"/>
      <c r="N44" s="168">
        <f t="shared" si="101"/>
        <v>26.061628233181839</v>
      </c>
      <c r="O44" s="168">
        <f t="shared" si="101"/>
        <v>26.264477001999825</v>
      </c>
      <c r="P44" s="168">
        <f t="shared" si="101"/>
        <v>28.062845586178707</v>
      </c>
      <c r="Q44" s="166">
        <v>29.371261576629138</v>
      </c>
      <c r="R44" s="44"/>
      <c r="S44" s="311">
        <v>29</v>
      </c>
      <c r="T44" s="311">
        <v>29</v>
      </c>
      <c r="U44" s="311">
        <v>29</v>
      </c>
      <c r="V44" s="311">
        <v>29</v>
      </c>
      <c r="W44" s="44"/>
      <c r="X44" s="311">
        <v>29</v>
      </c>
      <c r="Y44" s="311">
        <v>29</v>
      </c>
      <c r="Z44" s="311">
        <v>29</v>
      </c>
      <c r="AA44" s="311">
        <v>29</v>
      </c>
      <c r="AB44" s="44"/>
      <c r="AC44" s="311">
        <v>29</v>
      </c>
      <c r="AD44" s="311">
        <v>29</v>
      </c>
      <c r="AE44" s="311">
        <v>29</v>
      </c>
      <c r="AF44" s="311">
        <v>29</v>
      </c>
      <c r="AG44" s="44"/>
      <c r="AH44" s="311">
        <v>29</v>
      </c>
      <c r="AI44" s="311">
        <v>29</v>
      </c>
      <c r="AJ44" s="311">
        <v>29</v>
      </c>
      <c r="AK44" s="311">
        <v>29</v>
      </c>
      <c r="AL44" s="44"/>
      <c r="AM44" s="311">
        <v>29</v>
      </c>
      <c r="AN44" s="311">
        <v>30</v>
      </c>
      <c r="AO44" s="311">
        <v>32</v>
      </c>
      <c r="AP44" s="311">
        <v>32</v>
      </c>
      <c r="AQ44" s="44"/>
    </row>
    <row r="45" spans="2:43" s="47" customFormat="1" outlineLevel="1" x14ac:dyDescent="0.3">
      <c r="B45" s="163" t="s">
        <v>195</v>
      </c>
      <c r="C45" s="164"/>
      <c r="D45" s="168">
        <v>517.09400000000005</v>
      </c>
      <c r="E45" s="168">
        <v>546.22299999999996</v>
      </c>
      <c r="F45" s="168">
        <v>565.25099999999998</v>
      </c>
      <c r="G45" s="168">
        <v>573.19299999999998</v>
      </c>
      <c r="H45" s="45"/>
      <c r="I45" s="168">
        <v>582.529</v>
      </c>
      <c r="J45" s="168">
        <v>612.69100000000003</v>
      </c>
      <c r="K45" s="168">
        <v>644.91399999999999</v>
      </c>
      <c r="L45" s="168">
        <v>647.05899999999997</v>
      </c>
      <c r="M45" s="44"/>
      <c r="N45" s="168">
        <v>666.54600000000005</v>
      </c>
      <c r="O45" s="168">
        <v>707.10599999999999</v>
      </c>
      <c r="P45" s="168">
        <v>720.65800000000002</v>
      </c>
      <c r="Q45" s="168">
        <f t="shared" ref="Q45" si="102">Q43*(1-Q46)</f>
        <v>782.32000000000016</v>
      </c>
      <c r="R45" s="44"/>
      <c r="S45" s="310">
        <f>S43*(1-S46)</f>
        <v>792.8489800000001</v>
      </c>
      <c r="T45" s="310">
        <f>T43*(1-T46)</f>
        <v>824.36956140000007</v>
      </c>
      <c r="U45" s="310">
        <f t="shared" ref="U45" si="103">U43*(1-U46)</f>
        <v>849.10064824200015</v>
      </c>
      <c r="V45" s="310">
        <f t="shared" ref="V45" si="104">V43*(1-V46)</f>
        <v>874.57366768926033</v>
      </c>
      <c r="W45" s="44"/>
      <c r="X45" s="310">
        <f>X43*(1-X46)</f>
        <v>925.93025212504199</v>
      </c>
      <c r="Y45" s="310">
        <f>Y43*(1-Y46)</f>
        <v>957.99905597912891</v>
      </c>
      <c r="Z45" s="310">
        <f t="shared" ref="Z45:AA45" si="105">Z43*(1-Z46)</f>
        <v>977.15903709871145</v>
      </c>
      <c r="AA45" s="310">
        <f t="shared" si="105"/>
        <v>1001.6363872359366</v>
      </c>
      <c r="AB45" s="44"/>
      <c r="AC45" s="310">
        <f>AC43*(1-AC46)</f>
        <v>1041.8498678072319</v>
      </c>
      <c r="AD45" s="310">
        <f>AD43*(1-AD46)</f>
        <v>1077.9334485947018</v>
      </c>
      <c r="AE45" s="310">
        <f t="shared" ref="AE45:AF45" si="106">AE43*(1-AE46)</f>
        <v>1099.4921175665957</v>
      </c>
      <c r="AF45" s="310">
        <f t="shared" si="106"/>
        <v>1127.0338508086106</v>
      </c>
      <c r="AG45" s="44"/>
      <c r="AH45" s="310">
        <f>AH43*(1-AH46)</f>
        <v>1172.2817615676754</v>
      </c>
      <c r="AI45" s="310">
        <f>AI43*(1-AI46)</f>
        <v>1212.8827396512388</v>
      </c>
      <c r="AJ45" s="310">
        <f t="shared" ref="AJ45:AK45" si="107">AJ43*(1-AJ46)</f>
        <v>1237.1403944442636</v>
      </c>
      <c r="AK45" s="310">
        <f t="shared" si="107"/>
        <v>1268.1301488793526</v>
      </c>
      <c r="AL45" s="44"/>
      <c r="AM45" s="310">
        <f>AM43*(1-AM46)</f>
        <v>1295.901662121599</v>
      </c>
      <c r="AN45" s="310">
        <f>AN43*(1-AN46)</f>
        <v>1387.0180447568935</v>
      </c>
      <c r="AO45" s="310">
        <f t="shared" ref="AO45:AP45" si="108">AO43*(1-AO46)</f>
        <v>1482.1278535402232</v>
      </c>
      <c r="AP45" s="310">
        <f t="shared" si="108"/>
        <v>1519.2544225447459</v>
      </c>
      <c r="AQ45" s="44"/>
    </row>
    <row r="46" spans="2:43" s="47" customFormat="1" outlineLevel="1" x14ac:dyDescent="0.3">
      <c r="B46" s="217" t="s">
        <v>196</v>
      </c>
      <c r="C46" s="218"/>
      <c r="D46" s="134">
        <f>(D43-D45)/D43</f>
        <v>0.35251315712037173</v>
      </c>
      <c r="E46" s="134">
        <f t="shared" ref="E46:G46" si="109">(E43-E45)/E43</f>
        <v>0.34835754123296259</v>
      </c>
      <c r="F46" s="134">
        <f t="shared" si="109"/>
        <v>0.35558228353189308</v>
      </c>
      <c r="G46" s="134">
        <f t="shared" si="109"/>
        <v>0.3752269898260599</v>
      </c>
      <c r="H46" s="165"/>
      <c r="I46" s="134">
        <f>(I43-I45)/I43</f>
        <v>0.40831887637984343</v>
      </c>
      <c r="J46" s="134">
        <f t="shared" ref="J46:N46" si="110">(J43-J45)/J43</f>
        <v>0.4027846415826683</v>
      </c>
      <c r="K46" s="134">
        <f t="shared" si="110"/>
        <v>0.39385560185006785</v>
      </c>
      <c r="L46" s="134">
        <f t="shared" si="110"/>
        <v>0.41492025285437728</v>
      </c>
      <c r="M46" s="162"/>
      <c r="N46" s="134">
        <f t="shared" si="110"/>
        <v>0.42600545450944288</v>
      </c>
      <c r="O46" s="134">
        <f>(O43-O45)/O43</f>
        <v>0.41477863823595862</v>
      </c>
      <c r="P46" s="134">
        <f>(P43-P45)/P43</f>
        <v>0.44748925312784393</v>
      </c>
      <c r="Q46" s="100">
        <v>0.44</v>
      </c>
      <c r="R46" s="162"/>
      <c r="S46" s="100">
        <v>0.44</v>
      </c>
      <c r="T46" s="100">
        <v>0.44</v>
      </c>
      <c r="U46" s="100">
        <v>0.44</v>
      </c>
      <c r="V46" s="100">
        <v>0.44</v>
      </c>
      <c r="W46" s="162"/>
      <c r="X46" s="100">
        <v>0.43</v>
      </c>
      <c r="Y46" s="100">
        <v>0.43</v>
      </c>
      <c r="Z46" s="100">
        <v>0.43</v>
      </c>
      <c r="AA46" s="100">
        <v>0.43</v>
      </c>
      <c r="AB46" s="162"/>
      <c r="AC46" s="100">
        <v>0.43</v>
      </c>
      <c r="AD46" s="100">
        <v>0.43</v>
      </c>
      <c r="AE46" s="100">
        <v>0.43</v>
      </c>
      <c r="AF46" s="100">
        <v>0.43</v>
      </c>
      <c r="AG46" s="162"/>
      <c r="AH46" s="100">
        <v>0.43</v>
      </c>
      <c r="AI46" s="100">
        <v>0.43</v>
      </c>
      <c r="AJ46" s="100">
        <v>0.43</v>
      </c>
      <c r="AK46" s="100">
        <v>0.43</v>
      </c>
      <c r="AL46" s="162"/>
      <c r="AM46" s="100">
        <v>0.44</v>
      </c>
      <c r="AN46" s="100">
        <v>0.44</v>
      </c>
      <c r="AO46" s="100">
        <v>0.45</v>
      </c>
      <c r="AP46" s="100">
        <v>0.45</v>
      </c>
      <c r="AQ46" s="162"/>
    </row>
    <row r="47" spans="2:43" s="211" customFormat="1" outlineLevel="1" x14ac:dyDescent="0.3">
      <c r="B47" s="217" t="s">
        <v>138</v>
      </c>
      <c r="C47" s="210"/>
      <c r="D47" s="168">
        <v>80.257999999999996</v>
      </c>
      <c r="E47" s="168">
        <v>64.727000000000004</v>
      </c>
      <c r="F47" s="168">
        <v>61.045000000000002</v>
      </c>
      <c r="G47" s="168">
        <v>87.423000000000002</v>
      </c>
      <c r="H47" s="45"/>
      <c r="I47" s="168">
        <v>89.551000000000002</v>
      </c>
      <c r="J47" s="168">
        <v>73.427000000000007</v>
      </c>
      <c r="K47" s="168">
        <v>74.834999999999994</v>
      </c>
      <c r="L47" s="168">
        <v>79.832999999999998</v>
      </c>
      <c r="M47" s="44"/>
      <c r="N47" s="168">
        <v>81.941999999999993</v>
      </c>
      <c r="O47" s="168">
        <v>86.805999999999997</v>
      </c>
      <c r="P47" s="168">
        <v>108.495</v>
      </c>
      <c r="Q47" s="168">
        <f t="shared" ref="Q47" si="111">Q48*Q42</f>
        <v>99.186999999999955</v>
      </c>
      <c r="R47" s="44"/>
      <c r="S47" s="310">
        <f>S48*S42</f>
        <v>97.641500000000008</v>
      </c>
      <c r="T47" s="310">
        <f>T48*T42</f>
        <v>101.52334500000001</v>
      </c>
      <c r="U47" s="310">
        <f t="shared" ref="U47" si="112">U48*U42</f>
        <v>104.56904535000001</v>
      </c>
      <c r="V47" s="310">
        <f t="shared" ref="V47" si="113">V48*V42</f>
        <v>107.70611671050003</v>
      </c>
      <c r="W47" s="44"/>
      <c r="X47" s="310">
        <f>X48*X42</f>
        <v>112.03027853902503</v>
      </c>
      <c r="Y47" s="310">
        <f>Y48*Y42</f>
        <v>115.91035160062054</v>
      </c>
      <c r="Z47" s="310">
        <f t="shared" ref="Z47:AA47" si="114">Z48*Z42</f>
        <v>118.22855863263295</v>
      </c>
      <c r="AA47" s="310">
        <f t="shared" si="114"/>
        <v>121.19012549739099</v>
      </c>
      <c r="AB47" s="44"/>
      <c r="AC47" s="310">
        <f>AC48*AC42</f>
        <v>126.05564038804981</v>
      </c>
      <c r="AD47" s="310">
        <f>AD48*AD42</f>
        <v>130.42146988441641</v>
      </c>
      <c r="AE47" s="310">
        <f t="shared" ref="AE47:AF47" si="115">AE48*AE42</f>
        <v>133.02989928210474</v>
      </c>
      <c r="AF47" s="310">
        <f t="shared" si="115"/>
        <v>136.36223240273569</v>
      </c>
      <c r="AG47" s="44"/>
      <c r="AH47" s="310">
        <f>AH48*AH42</f>
        <v>141.83687375289477</v>
      </c>
      <c r="AI47" s="310">
        <f>AI48*AI42</f>
        <v>146.74927279506821</v>
      </c>
      <c r="AJ47" s="310">
        <f t="shared" ref="AJ47:AK47" si="116">AJ48*AJ42</f>
        <v>149.68425825096958</v>
      </c>
      <c r="AK47" s="310">
        <f t="shared" si="116"/>
        <v>153.43377481903843</v>
      </c>
      <c r="AL47" s="44"/>
      <c r="AM47" s="310">
        <f>AM48*AM42</f>
        <v>79.796900376945729</v>
      </c>
      <c r="AN47" s="310">
        <f>AN48*AN42</f>
        <v>82.560597902196037</v>
      </c>
      <c r="AO47" s="310">
        <f t="shared" ref="AO47:AP47" si="117">AO48*AO42</f>
        <v>84.211809860239953</v>
      </c>
      <c r="AP47" s="310">
        <f t="shared" si="117"/>
        <v>86.321274008224194</v>
      </c>
      <c r="AQ47" s="44"/>
    </row>
    <row r="48" spans="2:43" s="211" customFormat="1" outlineLevel="1" x14ac:dyDescent="0.3">
      <c r="B48" s="217" t="s">
        <v>139</v>
      </c>
      <c r="C48" s="210"/>
      <c r="D48" s="168">
        <f>D47/D42</f>
        <v>2.42878542571381</v>
      </c>
      <c r="E48" s="168">
        <f t="shared" ref="E48:I48" si="118">E47/E42</f>
        <v>1.8636664651176182</v>
      </c>
      <c r="F48" s="168">
        <f t="shared" si="118"/>
        <v>1.7111422564821306</v>
      </c>
      <c r="G48" s="168">
        <f t="shared" si="118"/>
        <v>2.3639657666671177</v>
      </c>
      <c r="H48" s="45"/>
      <c r="I48" s="168">
        <f t="shared" si="118"/>
        <v>2.2957968543704252</v>
      </c>
      <c r="J48" s="168">
        <f t="shared" ref="J48:L48" si="119">J47/J42</f>
        <v>1.8047239836798901</v>
      </c>
      <c r="K48" s="168">
        <f t="shared" si="119"/>
        <v>1.8005413533834584</v>
      </c>
      <c r="L48" s="168">
        <f t="shared" si="119"/>
        <v>1.8681159250722486</v>
      </c>
      <c r="M48" s="44"/>
      <c r="N48" s="168">
        <f t="shared" ref="N48:P48" si="120">N47/N42</f>
        <v>1.8390170005049651</v>
      </c>
      <c r="O48" s="168">
        <f t="shared" si="120"/>
        <v>1.8869228762716286</v>
      </c>
      <c r="P48" s="168">
        <f t="shared" si="120"/>
        <v>2.3342799974181889</v>
      </c>
      <c r="Q48" s="166">
        <v>2.0853595719406677</v>
      </c>
      <c r="R48" s="44"/>
      <c r="S48" s="166">
        <v>2</v>
      </c>
      <c r="T48" s="166">
        <v>2</v>
      </c>
      <c r="U48" s="166">
        <v>2</v>
      </c>
      <c r="V48" s="166">
        <v>2</v>
      </c>
      <c r="W48" s="44"/>
      <c r="X48" s="311">
        <v>2</v>
      </c>
      <c r="Y48" s="311">
        <v>2</v>
      </c>
      <c r="Z48" s="311">
        <v>2</v>
      </c>
      <c r="AA48" s="311">
        <v>2</v>
      </c>
      <c r="AB48" s="44"/>
      <c r="AC48" s="311">
        <v>2</v>
      </c>
      <c r="AD48" s="311">
        <v>2</v>
      </c>
      <c r="AE48" s="311">
        <v>2</v>
      </c>
      <c r="AF48" s="311">
        <v>2</v>
      </c>
      <c r="AG48" s="44"/>
      <c r="AH48" s="311">
        <v>2</v>
      </c>
      <c r="AI48" s="311">
        <v>2</v>
      </c>
      <c r="AJ48" s="311">
        <v>2</v>
      </c>
      <c r="AK48" s="311">
        <v>2</v>
      </c>
      <c r="AL48" s="44"/>
      <c r="AM48" s="311">
        <v>1</v>
      </c>
      <c r="AN48" s="311">
        <v>1</v>
      </c>
      <c r="AO48" s="311">
        <v>1</v>
      </c>
      <c r="AP48" s="311">
        <v>1</v>
      </c>
      <c r="AQ48" s="44"/>
    </row>
    <row r="49" spans="2:43" s="47" customFormat="1" outlineLevel="1" x14ac:dyDescent="0.3">
      <c r="B49" s="315" t="s">
        <v>136</v>
      </c>
      <c r="C49" s="316"/>
      <c r="D49" s="317">
        <f>(D43-D45-D47)/D43</f>
        <v>0.25201692425781064</v>
      </c>
      <c r="E49" s="317">
        <f>(E43-E45-E47)/E43</f>
        <v>0.27113841748933765</v>
      </c>
      <c r="F49" s="317">
        <f>(F43-F45-F47)/F43</f>
        <v>0.28598757339109615</v>
      </c>
      <c r="G49" s="317">
        <f>(G43-G45-G47)/G43</f>
        <v>0.27993704234164124</v>
      </c>
      <c r="H49" s="318"/>
      <c r="I49" s="317">
        <f>(I43-I45-I47)/I43</f>
        <v>0.317360939004522</v>
      </c>
      <c r="J49" s="317">
        <f>(J43-J45-J47)/J43</f>
        <v>0.33121229577946665</v>
      </c>
      <c r="K49" s="317">
        <f>(K43-K45-K47)/K43</f>
        <v>0.32351937712002604</v>
      </c>
      <c r="L49" s="317">
        <f>(L43-L45-L47)/L43</f>
        <v>0.34273414393096152</v>
      </c>
      <c r="M49" s="319"/>
      <c r="N49" s="317">
        <f>(N43-N45-N47)/N43</f>
        <v>0.35544129082593529</v>
      </c>
      <c r="O49" s="317">
        <f t="shared" ref="O49:P49" si="121">(O43-O45-O47)/O43</f>
        <v>0.34293548384427003</v>
      </c>
      <c r="P49" s="317">
        <f t="shared" si="121"/>
        <v>0.36430880764344692</v>
      </c>
      <c r="Q49" s="320">
        <f t="shared" ref="Q49" si="122">(Q43-Q45-Q47)/Q43</f>
        <v>0.36900000000000005</v>
      </c>
      <c r="R49" s="319"/>
      <c r="S49" s="321">
        <f>(S43-S45-S47)/S43</f>
        <v>0.37103448275862061</v>
      </c>
      <c r="T49" s="317">
        <f>(T43-T45-T47)/T43</f>
        <v>0.37103448275862061</v>
      </c>
      <c r="U49" s="317">
        <f t="shared" ref="U49:V49" si="123">(U43-U45-U47)/U43</f>
        <v>0.37103448275862067</v>
      </c>
      <c r="V49" s="317">
        <f t="shared" si="123"/>
        <v>0.37103448275862061</v>
      </c>
      <c r="W49" s="319"/>
      <c r="X49" s="321">
        <f>(X43-X45-X47)/X43</f>
        <v>0.3610344827586206</v>
      </c>
      <c r="Y49" s="317">
        <f>(Y43-Y45-Y47)/Y43</f>
        <v>0.3610344827586206</v>
      </c>
      <c r="Z49" s="317">
        <f t="shared" ref="Z49:AA49" si="124">(Z43-Z45-Z47)/Z43</f>
        <v>0.36103448275862066</v>
      </c>
      <c r="AA49" s="317">
        <f t="shared" si="124"/>
        <v>0.36103448275862066</v>
      </c>
      <c r="AB49" s="319"/>
      <c r="AC49" s="321">
        <f>(AC43-AC45-AC47)/AC43</f>
        <v>0.3610344827586206</v>
      </c>
      <c r="AD49" s="317">
        <f>(AD43-AD45-AD47)/AD43</f>
        <v>0.3610344827586206</v>
      </c>
      <c r="AE49" s="317">
        <f t="shared" ref="AE49:AF49" si="125">(AE43-AE45-AE47)/AE43</f>
        <v>0.36103448275862071</v>
      </c>
      <c r="AF49" s="317">
        <f t="shared" si="125"/>
        <v>0.3610344827586206</v>
      </c>
      <c r="AG49" s="319"/>
      <c r="AH49" s="321">
        <f>(AH43-AH45-AH47)/AH43</f>
        <v>0.36103448275862066</v>
      </c>
      <c r="AI49" s="317">
        <f>(AI43-AI45-AI47)/AI43</f>
        <v>0.36103448275862066</v>
      </c>
      <c r="AJ49" s="317">
        <f t="shared" ref="AJ49:AK49" si="126">(AJ43-AJ45-AJ47)/AJ43</f>
        <v>0.36103448275862066</v>
      </c>
      <c r="AK49" s="317">
        <f t="shared" si="126"/>
        <v>0.3610344827586206</v>
      </c>
      <c r="AL49" s="319"/>
      <c r="AM49" s="321">
        <f>(AM43-AM45-AM47)/AM43</f>
        <v>0.40551724137931028</v>
      </c>
      <c r="AN49" s="317">
        <f>(AN43-AN45-AN47)/AN43</f>
        <v>0.40666666666666662</v>
      </c>
      <c r="AO49" s="317">
        <f t="shared" ref="AO49:AP49" si="127">(AO43-AO45-AO47)/AO43</f>
        <v>0.41874999999999996</v>
      </c>
      <c r="AP49" s="317">
        <f t="shared" si="127"/>
        <v>0.41874999999999996</v>
      </c>
      <c r="AQ49" s="319"/>
    </row>
    <row r="50" spans="2:43" s="59" customFormat="1" x14ac:dyDescent="0.3">
      <c r="B50" s="293" t="s">
        <v>140</v>
      </c>
      <c r="C50" s="294"/>
      <c r="D50" s="134"/>
      <c r="E50" s="134"/>
      <c r="F50" s="134"/>
      <c r="G50" s="134"/>
      <c r="H50" s="165"/>
      <c r="I50" s="134"/>
      <c r="J50" s="134"/>
      <c r="K50" s="134"/>
      <c r="L50" s="134"/>
      <c r="M50" s="165"/>
      <c r="N50" s="134"/>
      <c r="O50" s="134"/>
      <c r="P50" s="134"/>
      <c r="Q50" s="134"/>
      <c r="R50" s="165"/>
      <c r="S50" s="134"/>
      <c r="T50" s="134"/>
      <c r="U50" s="134"/>
      <c r="V50" s="134"/>
      <c r="W50" s="165"/>
      <c r="X50" s="134"/>
      <c r="Y50" s="134"/>
      <c r="Z50" s="134"/>
      <c r="AA50" s="134"/>
      <c r="AB50" s="165"/>
      <c r="AC50" s="134"/>
      <c r="AD50" s="134"/>
      <c r="AE50" s="134"/>
      <c r="AF50" s="134"/>
      <c r="AG50" s="165"/>
      <c r="AH50" s="134"/>
      <c r="AI50" s="134"/>
      <c r="AJ50" s="134"/>
      <c r="AK50" s="134"/>
      <c r="AL50" s="165"/>
      <c r="AM50" s="134"/>
      <c r="AN50" s="134"/>
      <c r="AO50" s="134"/>
      <c r="AP50" s="134"/>
      <c r="AQ50" s="165"/>
    </row>
    <row r="51" spans="2:43" s="75" customFormat="1" outlineLevel="1" x14ac:dyDescent="0.3">
      <c r="B51" s="347" t="s">
        <v>147</v>
      </c>
      <c r="C51" s="348"/>
      <c r="D51" s="168">
        <v>11.755000000000001</v>
      </c>
      <c r="E51" s="168">
        <v>12.907</v>
      </c>
      <c r="F51" s="168">
        <v>14.388999999999999</v>
      </c>
      <c r="G51" s="168">
        <v>16.777999999999999</v>
      </c>
      <c r="H51" s="45"/>
      <c r="I51" s="168">
        <v>19.303999999999998</v>
      </c>
      <c r="J51" s="168">
        <v>21.649000000000001</v>
      </c>
      <c r="K51" s="168">
        <v>23.951000000000001</v>
      </c>
      <c r="L51" s="168">
        <v>27.437999999999999</v>
      </c>
      <c r="M51" s="44"/>
      <c r="N51" s="168">
        <v>31.992999999999999</v>
      </c>
      <c r="O51" s="168">
        <v>36.048000000000002</v>
      </c>
      <c r="P51" s="167">
        <v>39.246000000000002</v>
      </c>
      <c r="Q51" s="232">
        <f>P51*(1+Q52)</f>
        <v>40.15</v>
      </c>
      <c r="R51" s="44"/>
      <c r="S51" s="167">
        <f>Q51*(1+S52)</f>
        <v>45.369499999999995</v>
      </c>
      <c r="T51" s="168">
        <f>S51*(1+T52)</f>
        <v>51.040687499999997</v>
      </c>
      <c r="U51" s="167">
        <f t="shared" ref="U51" si="128">T51*(1+U52)</f>
        <v>57.165570000000002</v>
      </c>
      <c r="V51" s="167">
        <f>U51*(1+V52)</f>
        <v>63.739610550000002</v>
      </c>
      <c r="W51" s="44"/>
      <c r="X51" s="167">
        <f>V51*(1+X52)</f>
        <v>82.861493715000009</v>
      </c>
      <c r="Y51" s="168">
        <f>X51*(1+Y52)</f>
        <v>99.433792458000013</v>
      </c>
      <c r="Z51" s="167">
        <f t="shared" ref="Z51" si="129">Y51*(1+Z52)</f>
        <v>119.3205509496</v>
      </c>
      <c r="AA51" s="167">
        <f>Z51*(1+AA52)</f>
        <v>149.15068868700001</v>
      </c>
      <c r="AB51" s="44"/>
      <c r="AC51" s="167">
        <f>AA51*(1+AC52)</f>
        <v>193.89589529310001</v>
      </c>
      <c r="AD51" s="168">
        <f>AC51*(1+AD52)</f>
        <v>232.67507435172001</v>
      </c>
      <c r="AE51" s="167">
        <f t="shared" ref="AE51" si="130">AD51*(1+AE52)</f>
        <v>279.21008922206403</v>
      </c>
      <c r="AF51" s="167">
        <f>AE51*(1+AF52)</f>
        <v>349.01261152758002</v>
      </c>
      <c r="AG51" s="44"/>
      <c r="AH51" s="167">
        <f>AF51*(1+AH52)</f>
        <v>453.71639498585404</v>
      </c>
      <c r="AI51" s="168">
        <f>AH51*(1+AI52)</f>
        <v>544.4596739830248</v>
      </c>
      <c r="AJ51" s="167">
        <f t="shared" ref="AJ51" si="131">AI51*(1+AJ52)</f>
        <v>653.35160877962971</v>
      </c>
      <c r="AK51" s="167">
        <f>AJ51*(1+AK52)</f>
        <v>816.68951097453714</v>
      </c>
      <c r="AL51" s="44"/>
      <c r="AM51" s="167">
        <f>AK51*(1+AM52)</f>
        <v>1061.6963642668984</v>
      </c>
      <c r="AN51" s="168">
        <f>AM51*(1+AN52)</f>
        <v>1274.0356371202781</v>
      </c>
      <c r="AO51" s="167">
        <f t="shared" ref="AO51" si="132">AN51*(1+AO52)</f>
        <v>1528.8427645443337</v>
      </c>
      <c r="AP51" s="167">
        <f>AO51*(1+AP52)</f>
        <v>1911.0534556804171</v>
      </c>
      <c r="AQ51" s="44"/>
    </row>
    <row r="52" spans="2:43" s="98" customFormat="1" outlineLevel="1" x14ac:dyDescent="0.3">
      <c r="B52" s="221" t="s">
        <v>134</v>
      </c>
      <c r="C52" s="222"/>
      <c r="D52" s="134">
        <f>D51/9.722-1</f>
        <v>0.20911335116231244</v>
      </c>
      <c r="E52" s="134">
        <f>E51/D51-1</f>
        <v>9.8000850701828846E-2</v>
      </c>
      <c r="F52" s="134">
        <f t="shared" ref="F52" si="133">F51/E51-1</f>
        <v>0.11482141473618968</v>
      </c>
      <c r="G52" s="134">
        <f t="shared" ref="G52" si="134">G51/F51-1</f>
        <v>0.16602960594898875</v>
      </c>
      <c r="H52" s="165"/>
      <c r="I52" s="134">
        <f>I51/G51-1</f>
        <v>0.15055429729407566</v>
      </c>
      <c r="J52" s="134">
        <f t="shared" ref="J52:L52" si="135">J51/I51-1</f>
        <v>0.12147741400745971</v>
      </c>
      <c r="K52" s="134">
        <f t="shared" si="135"/>
        <v>0.10633285602106324</v>
      </c>
      <c r="L52" s="134">
        <f t="shared" si="135"/>
        <v>0.14558891069266422</v>
      </c>
      <c r="M52" s="162"/>
      <c r="N52" s="134">
        <f>N51/L51-1</f>
        <v>0.16601064217508554</v>
      </c>
      <c r="O52" s="134">
        <f>O51/N51-1</f>
        <v>0.12674647579157949</v>
      </c>
      <c r="P52" s="134">
        <f>P51/O51-1</f>
        <v>8.8715046604527226E-2</v>
      </c>
      <c r="Q52" s="100">
        <v>2.3034194567599229E-2</v>
      </c>
      <c r="R52" s="162"/>
      <c r="S52" s="100">
        <v>0.13</v>
      </c>
      <c r="T52" s="100">
        <v>0.125</v>
      </c>
      <c r="U52" s="100">
        <v>0.12</v>
      </c>
      <c r="V52" s="100">
        <v>0.115</v>
      </c>
      <c r="W52" s="162"/>
      <c r="X52" s="100">
        <v>0.3</v>
      </c>
      <c r="Y52" s="100">
        <v>0.2</v>
      </c>
      <c r="Z52" s="100">
        <v>0.2</v>
      </c>
      <c r="AA52" s="100">
        <v>0.25</v>
      </c>
      <c r="AB52" s="162"/>
      <c r="AC52" s="100">
        <v>0.3</v>
      </c>
      <c r="AD52" s="100">
        <v>0.2</v>
      </c>
      <c r="AE52" s="100">
        <v>0.2</v>
      </c>
      <c r="AF52" s="100">
        <v>0.25</v>
      </c>
      <c r="AG52" s="162"/>
      <c r="AH52" s="100">
        <v>0.3</v>
      </c>
      <c r="AI52" s="100">
        <v>0.2</v>
      </c>
      <c r="AJ52" s="100">
        <v>0.2</v>
      </c>
      <c r="AK52" s="100">
        <v>0.25</v>
      </c>
      <c r="AL52" s="162"/>
      <c r="AM52" s="100">
        <v>0.3</v>
      </c>
      <c r="AN52" s="100">
        <v>0.2</v>
      </c>
      <c r="AO52" s="100">
        <v>0.2</v>
      </c>
      <c r="AP52" s="100">
        <v>0.25</v>
      </c>
      <c r="AQ52" s="162"/>
    </row>
    <row r="53" spans="2:43" s="75" customFormat="1" outlineLevel="1" x14ac:dyDescent="0.3">
      <c r="B53" s="217" t="s">
        <v>133</v>
      </c>
      <c r="C53" s="218"/>
      <c r="D53" s="168">
        <f>(D51+9.722)/2</f>
        <v>10.7385</v>
      </c>
      <c r="E53" s="168">
        <f>AVERAGE(D51,E51)</f>
        <v>12.331</v>
      </c>
      <c r="F53" s="168">
        <f t="shared" ref="F53:G53" si="136">AVERAGE(E51,F51)</f>
        <v>13.648</v>
      </c>
      <c r="G53" s="168">
        <f t="shared" si="136"/>
        <v>15.583499999999999</v>
      </c>
      <c r="H53" s="45"/>
      <c r="I53" s="168">
        <f>AVERAGE(G51,I51)</f>
        <v>18.040999999999997</v>
      </c>
      <c r="J53" s="168">
        <f t="shared" ref="J53" si="137">AVERAGE(I51,J51)</f>
        <v>20.476500000000001</v>
      </c>
      <c r="K53" s="168">
        <f t="shared" ref="K53:L53" si="138">AVERAGE(J51,K51)</f>
        <v>22.8</v>
      </c>
      <c r="L53" s="168">
        <f t="shared" si="138"/>
        <v>25.694499999999998</v>
      </c>
      <c r="M53" s="44"/>
      <c r="N53" s="168">
        <f>AVERAGE(L51,N51)</f>
        <v>29.715499999999999</v>
      </c>
      <c r="O53" s="168">
        <v>33.892000000000003</v>
      </c>
      <c r="P53" s="168">
        <v>36.798999999999999</v>
      </c>
      <c r="Q53" s="168">
        <f t="shared" ref="Q53" si="139">AVERAGE(P51,Q51)</f>
        <v>39.698</v>
      </c>
      <c r="R53" s="44"/>
      <c r="S53" s="167">
        <f>AVERAGE(Q51,S51)</f>
        <v>42.759749999999997</v>
      </c>
      <c r="T53" s="168">
        <f>AVERAGE(S51,T51)</f>
        <v>48.205093749999996</v>
      </c>
      <c r="U53" s="168">
        <f>AVERAGE(T51,U51)</f>
        <v>54.103128749999996</v>
      </c>
      <c r="V53" s="168">
        <f t="shared" ref="V53" si="140">AVERAGE(U51,V51)</f>
        <v>60.452590275000006</v>
      </c>
      <c r="W53" s="44"/>
      <c r="X53" s="167">
        <f>AVERAGE(V51,X51)</f>
        <v>73.300552132500002</v>
      </c>
      <c r="Y53" s="168">
        <f t="shared" ref="Y53" si="141">AVERAGE(X51,Y51)</f>
        <v>91.147643086500011</v>
      </c>
      <c r="Z53" s="168">
        <f t="shared" ref="Z53" si="142">AVERAGE(Y51,Z51)</f>
        <v>109.3771717038</v>
      </c>
      <c r="AA53" s="168">
        <f t="shared" ref="AA53" si="143">AVERAGE(Z51,AA51)</f>
        <v>134.23561981829999</v>
      </c>
      <c r="AB53" s="44"/>
      <c r="AC53" s="167">
        <f>AVERAGE(AA51,AC51)</f>
        <v>171.52329199005001</v>
      </c>
      <c r="AD53" s="168">
        <f t="shared" ref="AD53" si="144">AVERAGE(AC51,AD51)</f>
        <v>213.28548482241001</v>
      </c>
      <c r="AE53" s="168">
        <f t="shared" ref="AE53" si="145">AVERAGE(AD51,AE51)</f>
        <v>255.94258178689202</v>
      </c>
      <c r="AF53" s="168">
        <f t="shared" ref="AF53" si="146">AVERAGE(AE51,AF51)</f>
        <v>314.111350374822</v>
      </c>
      <c r="AG53" s="44"/>
      <c r="AH53" s="167">
        <f>AVERAGE(AF51,AH51)</f>
        <v>401.36450325671706</v>
      </c>
      <c r="AI53" s="168">
        <f t="shared" ref="AI53" si="147">AVERAGE(AH51,AI51)</f>
        <v>499.08803448443939</v>
      </c>
      <c r="AJ53" s="168">
        <f t="shared" ref="AJ53" si="148">AVERAGE(AI51,AJ51)</f>
        <v>598.90564138132731</v>
      </c>
      <c r="AK53" s="168">
        <f t="shared" ref="AK53" si="149">AVERAGE(AJ51,AK51)</f>
        <v>735.02055987708343</v>
      </c>
      <c r="AL53" s="44"/>
      <c r="AM53" s="167">
        <f>AVERAGE(AK51,AM51)</f>
        <v>939.19293762071777</v>
      </c>
      <c r="AN53" s="168">
        <f t="shared" ref="AN53" si="150">AVERAGE(AM51,AN51)</f>
        <v>1167.8660006935884</v>
      </c>
      <c r="AO53" s="168">
        <f t="shared" ref="AO53" si="151">AVERAGE(AN51,AO51)</f>
        <v>1401.4392008323059</v>
      </c>
      <c r="AP53" s="168">
        <f t="shared" ref="AP53" si="152">AVERAGE(AO51,AP51)</f>
        <v>1719.9481101123754</v>
      </c>
      <c r="AQ53" s="44"/>
    </row>
    <row r="54" spans="2:43" s="47" customFormat="1" outlineLevel="1" x14ac:dyDescent="0.3">
      <c r="B54" s="347" t="s">
        <v>141</v>
      </c>
      <c r="C54" s="348"/>
      <c r="D54" s="168">
        <v>267.11799999999999</v>
      </c>
      <c r="E54" s="168">
        <v>307.46100000000001</v>
      </c>
      <c r="F54" s="168">
        <v>345.685</v>
      </c>
      <c r="G54" s="168">
        <v>387.79700000000003</v>
      </c>
      <c r="H54" s="45"/>
      <c r="I54" s="168">
        <v>415.39699999999999</v>
      </c>
      <c r="J54" s="168">
        <v>454.76299999999998</v>
      </c>
      <c r="K54" s="168">
        <v>516.87</v>
      </c>
      <c r="L54" s="168">
        <v>566.40499999999997</v>
      </c>
      <c r="M54" s="44"/>
      <c r="N54" s="168">
        <v>651.74800000000005</v>
      </c>
      <c r="O54" s="168">
        <v>758.20100000000002</v>
      </c>
      <c r="P54" s="168">
        <v>853.48</v>
      </c>
      <c r="Q54" s="232">
        <f t="shared" ref="Q54" si="153">Q53*Q55</f>
        <v>947</v>
      </c>
      <c r="R54" s="44"/>
      <c r="S54" s="168">
        <f>S53*S55</f>
        <v>967.20055630719344</v>
      </c>
      <c r="T54" s="168">
        <f>T53*T55</f>
        <v>1141.2864295349557</v>
      </c>
      <c r="U54" s="168">
        <f t="shared" ref="U54" si="154">U53*U55</f>
        <v>1242.4050290376629</v>
      </c>
      <c r="V54" s="168">
        <f t="shared" ref="V54" si="155">V53*V55</f>
        <v>1450.8621666000001</v>
      </c>
      <c r="W54" s="44"/>
      <c r="X54" s="168">
        <f>X53*X55</f>
        <v>1832.5138033124999</v>
      </c>
      <c r="Y54" s="168">
        <f>Y53*Y55</f>
        <v>2324.2648987057501</v>
      </c>
      <c r="Z54" s="168">
        <f t="shared" ref="Z54:AA54" si="156">Z53*Z55</f>
        <v>2843.8064642988002</v>
      </c>
      <c r="AA54" s="168">
        <f t="shared" si="156"/>
        <v>3624.3617350940999</v>
      </c>
      <c r="AB54" s="44"/>
      <c r="AC54" s="168">
        <f>AC53*AC55</f>
        <v>4802.6521757214005</v>
      </c>
      <c r="AD54" s="168">
        <f>AD53*AD55</f>
        <v>5971.9935750274799</v>
      </c>
      <c r="AE54" s="168">
        <f t="shared" ref="AE54:AF54" si="157">AE53*AE55</f>
        <v>7166.3922900329762</v>
      </c>
      <c r="AF54" s="168">
        <f t="shared" si="157"/>
        <v>8795.1178104950159</v>
      </c>
      <c r="AG54" s="44"/>
      <c r="AH54" s="168">
        <f>AH53*AH55</f>
        <v>11238.206091188078</v>
      </c>
      <c r="AI54" s="168">
        <f>AI53*AI55</f>
        <v>13974.464965564302</v>
      </c>
      <c r="AJ54" s="168">
        <f t="shared" ref="AJ54:AK54" si="158">AJ53*AJ55</f>
        <v>16769.357958677167</v>
      </c>
      <c r="AK54" s="168">
        <f t="shared" si="158"/>
        <v>20580.575676558336</v>
      </c>
      <c r="AL54" s="44"/>
      <c r="AM54" s="168">
        <f>AM53*AM55</f>
        <v>27236.595191000815</v>
      </c>
      <c r="AN54" s="168">
        <f>AN53*AN55</f>
        <v>35035.980020807649</v>
      </c>
      <c r="AO54" s="168">
        <f t="shared" ref="AO54:AP54" si="159">AO53*AO55</f>
        <v>44846.054426633789</v>
      </c>
      <c r="AP54" s="168">
        <f t="shared" si="159"/>
        <v>55038.339523596012</v>
      </c>
      <c r="AQ54" s="44"/>
    </row>
    <row r="55" spans="2:43" s="47" customFormat="1" outlineLevel="1" x14ac:dyDescent="0.3">
      <c r="B55" s="347" t="s">
        <v>142</v>
      </c>
      <c r="C55" s="348"/>
      <c r="D55" s="168">
        <f>D54/D53</f>
        <v>24.874796293709547</v>
      </c>
      <c r="E55" s="168">
        <f t="shared" ref="E55" si="160">E54/E53</f>
        <v>24.933987511150761</v>
      </c>
      <c r="F55" s="168">
        <f t="shared" ref="F55" si="161">F54/F53</f>
        <v>25.32861957796014</v>
      </c>
      <c r="G55" s="168">
        <f t="shared" ref="G55" si="162">G54/G53</f>
        <v>24.885102833124783</v>
      </c>
      <c r="H55" s="45"/>
      <c r="I55" s="168">
        <f t="shared" ref="I55:P55" si="163">I54/I53</f>
        <v>23.02516490216729</v>
      </c>
      <c r="J55" s="168">
        <f t="shared" si="163"/>
        <v>22.209020096207844</v>
      </c>
      <c r="K55" s="168">
        <f t="shared" si="163"/>
        <v>22.669736842105262</v>
      </c>
      <c r="L55" s="168">
        <f t="shared" si="163"/>
        <v>22.043822607951117</v>
      </c>
      <c r="M55" s="44"/>
      <c r="N55" s="168">
        <f t="shared" si="163"/>
        <v>21.932930625431176</v>
      </c>
      <c r="O55" s="168">
        <f t="shared" si="163"/>
        <v>22.371090522837246</v>
      </c>
      <c r="P55" s="168">
        <f t="shared" si="163"/>
        <v>23.193021549498628</v>
      </c>
      <c r="Q55" s="166">
        <v>23.855106050682654</v>
      </c>
      <c r="R55" s="44"/>
      <c r="S55" s="166">
        <v>22.619415602457767</v>
      </c>
      <c r="T55" s="166">
        <v>23.675639662768123</v>
      </c>
      <c r="U55" s="166">
        <v>22.963644760334919</v>
      </c>
      <c r="V55" s="166">
        <v>24</v>
      </c>
      <c r="W55" s="44"/>
      <c r="X55" s="166">
        <v>25</v>
      </c>
      <c r="Y55" s="166">
        <v>25.5</v>
      </c>
      <c r="Z55" s="166">
        <v>26</v>
      </c>
      <c r="AA55" s="166">
        <v>27</v>
      </c>
      <c r="AB55" s="44"/>
      <c r="AC55" s="166">
        <v>28</v>
      </c>
      <c r="AD55" s="166">
        <v>28</v>
      </c>
      <c r="AE55" s="166">
        <v>28</v>
      </c>
      <c r="AF55" s="166">
        <v>28</v>
      </c>
      <c r="AG55" s="44"/>
      <c r="AH55" s="166">
        <v>28</v>
      </c>
      <c r="AI55" s="166">
        <v>28</v>
      </c>
      <c r="AJ55" s="166">
        <v>28</v>
      </c>
      <c r="AK55" s="166">
        <v>28</v>
      </c>
      <c r="AL55" s="44"/>
      <c r="AM55" s="166">
        <v>29</v>
      </c>
      <c r="AN55" s="166">
        <v>30</v>
      </c>
      <c r="AO55" s="166">
        <v>32</v>
      </c>
      <c r="AP55" s="166">
        <v>32</v>
      </c>
      <c r="AQ55" s="44"/>
    </row>
    <row r="56" spans="2:43" s="47" customFormat="1" outlineLevel="1" x14ac:dyDescent="0.3">
      <c r="B56" s="217" t="s">
        <v>152</v>
      </c>
      <c r="C56" s="218"/>
      <c r="D56" s="168">
        <v>245.267</v>
      </c>
      <c r="E56" s="168">
        <v>266.697</v>
      </c>
      <c r="F56" s="168">
        <v>291.94200000000001</v>
      </c>
      <c r="G56" s="168">
        <v>350.21100000000001</v>
      </c>
      <c r="H56" s="45"/>
      <c r="I56" s="168">
        <v>375.27800000000002</v>
      </c>
      <c r="J56" s="168">
        <v>422.96600000000001</v>
      </c>
      <c r="K56" s="168">
        <v>451.25099999999998</v>
      </c>
      <c r="L56" s="168">
        <v>530.88</v>
      </c>
      <c r="M56" s="44"/>
      <c r="N56" s="168">
        <v>629.899</v>
      </c>
      <c r="O56" s="168">
        <v>698.16200000000003</v>
      </c>
      <c r="P56" s="168">
        <v>748.51499999999999</v>
      </c>
      <c r="Q56" s="168">
        <f t="shared" ref="Q56" si="164">Q54*(1-Q57)</f>
        <v>828.625</v>
      </c>
      <c r="R56" s="44"/>
      <c r="S56" s="168">
        <f>S54*(1-S57)</f>
        <v>838.4741957440682</v>
      </c>
      <c r="T56" s="168">
        <f>T54*(1-T57)</f>
        <v>954.36857792849332</v>
      </c>
      <c r="U56" s="168">
        <f t="shared" ref="U56" si="165">U54*(1-U57)</f>
        <v>1011.0933498779759</v>
      </c>
      <c r="V56" s="168">
        <f t="shared" ref="V56" si="166">V54*(1-V57)</f>
        <v>1175.1983549460001</v>
      </c>
      <c r="W56" s="44"/>
      <c r="X56" s="168">
        <f>X54*(1-X57)</f>
        <v>1466.01104265</v>
      </c>
      <c r="Y56" s="168">
        <f>Y54*(1-Y57)</f>
        <v>1859.4119189646001</v>
      </c>
      <c r="Z56" s="168">
        <f t="shared" ref="Z56:AA56" si="167">Z54*(1-Z57)</f>
        <v>2275.0451714390401</v>
      </c>
      <c r="AA56" s="168">
        <f t="shared" si="167"/>
        <v>2899.4893880752802</v>
      </c>
      <c r="AB56" s="44"/>
      <c r="AC56" s="168">
        <f>AC54*(1-AC57)</f>
        <v>3746.0686970626925</v>
      </c>
      <c r="AD56" s="168">
        <f>AD54*(1-AD57)</f>
        <v>4598.4350527711595</v>
      </c>
      <c r="AE56" s="168">
        <f t="shared" ref="AE56:AF56" si="168">AE54*(1-AE57)</f>
        <v>5446.4581404250621</v>
      </c>
      <c r="AF56" s="168">
        <f t="shared" si="168"/>
        <v>6596.3383578712619</v>
      </c>
      <c r="AG56" s="44"/>
      <c r="AH56" s="168">
        <f>AH54*(1-AH57)</f>
        <v>7866.7442638316543</v>
      </c>
      <c r="AI56" s="168">
        <f>AI54*(1-AI57)</f>
        <v>9502.6361765837246</v>
      </c>
      <c r="AJ56" s="168">
        <f t="shared" ref="AJ56:AK56" si="169">AJ54*(1-AJ57)</f>
        <v>11403.163411900472</v>
      </c>
      <c r="AK56" s="168">
        <f t="shared" si="169"/>
        <v>12759.956919466167</v>
      </c>
      <c r="AL56" s="44"/>
      <c r="AM56" s="168">
        <f>AM54*(1-AM57)</f>
        <v>16341.957114600489</v>
      </c>
      <c r="AN56" s="168">
        <f>AN54*(1-AN57)</f>
        <v>20320.868412068437</v>
      </c>
      <c r="AO56" s="168">
        <f t="shared" ref="AO56:AP56" si="170">AO54*(1-AO57)</f>
        <v>25562.251023181263</v>
      </c>
      <c r="AP56" s="168">
        <f t="shared" si="170"/>
        <v>31371.85352844973</v>
      </c>
      <c r="AQ56" s="44"/>
    </row>
    <row r="57" spans="2:43" s="47" customFormat="1" outlineLevel="1" x14ac:dyDescent="0.3">
      <c r="B57" s="217" t="s">
        <v>143</v>
      </c>
      <c r="C57" s="218"/>
      <c r="D57" s="134">
        <f>(D54-D56)/D54</f>
        <v>8.1802798763093459E-2</v>
      </c>
      <c r="E57" s="134">
        <f t="shared" ref="E57" si="171">(E54-E56)/E54</f>
        <v>0.13258266902143689</v>
      </c>
      <c r="F57" s="134">
        <f t="shared" ref="F57" si="172">(F54-F56)/F54</f>
        <v>0.15546812849848848</v>
      </c>
      <c r="G57" s="134">
        <f t="shared" ref="G57" si="173">(G54-G56)/G54</f>
        <v>9.6921843129266105E-2</v>
      </c>
      <c r="H57" s="165"/>
      <c r="I57" s="134">
        <f>(I54-I56)/I54</f>
        <v>9.657989826599607E-2</v>
      </c>
      <c r="J57" s="134">
        <f t="shared" ref="J57:P57" si="174">(J54-J56)/J54</f>
        <v>6.9919936318477913E-2</v>
      </c>
      <c r="K57" s="134">
        <f t="shared" si="174"/>
        <v>0.12695455336931921</v>
      </c>
      <c r="L57" s="134">
        <f t="shared" si="174"/>
        <v>6.2720138416857155E-2</v>
      </c>
      <c r="M57" s="162"/>
      <c r="N57" s="134">
        <f t="shared" si="174"/>
        <v>3.3523693206576846E-2</v>
      </c>
      <c r="O57" s="134">
        <f t="shared" si="174"/>
        <v>7.9186126106401841E-2</v>
      </c>
      <c r="P57" s="134">
        <f t="shared" si="174"/>
        <v>0.12298472137601353</v>
      </c>
      <c r="Q57" s="100">
        <v>0.125</v>
      </c>
      <c r="R57" s="162"/>
      <c r="S57" s="100">
        <v>0.13309169408939042</v>
      </c>
      <c r="T57" s="100">
        <v>0.16377821269865317</v>
      </c>
      <c r="U57" s="100">
        <v>0.18618057215918984</v>
      </c>
      <c r="V57" s="100">
        <v>0.19</v>
      </c>
      <c r="W57" s="162"/>
      <c r="X57" s="100">
        <v>0.2</v>
      </c>
      <c r="Y57" s="100">
        <v>0.2</v>
      </c>
      <c r="Z57" s="100">
        <v>0.2</v>
      </c>
      <c r="AA57" s="100">
        <v>0.2</v>
      </c>
      <c r="AB57" s="162"/>
      <c r="AC57" s="100">
        <v>0.22</v>
      </c>
      <c r="AD57" s="100">
        <v>0.23</v>
      </c>
      <c r="AE57" s="100">
        <v>0.24</v>
      </c>
      <c r="AF57" s="100">
        <v>0.25</v>
      </c>
      <c r="AG57" s="162"/>
      <c r="AH57" s="100">
        <v>0.3</v>
      </c>
      <c r="AI57" s="100">
        <v>0.32</v>
      </c>
      <c r="AJ57" s="100">
        <v>0.32</v>
      </c>
      <c r="AK57" s="100">
        <v>0.38</v>
      </c>
      <c r="AL57" s="162"/>
      <c r="AM57" s="100">
        <v>0.4</v>
      </c>
      <c r="AN57" s="100">
        <v>0.42</v>
      </c>
      <c r="AO57" s="100">
        <v>0.43</v>
      </c>
      <c r="AP57" s="100">
        <v>0.43</v>
      </c>
      <c r="AQ57" s="162"/>
    </row>
    <row r="58" spans="2:43" s="211" customFormat="1" outlineLevel="1" x14ac:dyDescent="0.3">
      <c r="B58" s="217" t="s">
        <v>144</v>
      </c>
      <c r="C58" s="210"/>
      <c r="D58" s="168">
        <v>56.84</v>
      </c>
      <c r="E58" s="168">
        <v>56.036000000000001</v>
      </c>
      <c r="F58" s="168">
        <v>84.608999999999995</v>
      </c>
      <c r="G58" s="168">
        <v>116.248</v>
      </c>
      <c r="H58" s="45"/>
      <c r="I58" s="168">
        <v>105.126</v>
      </c>
      <c r="J58" s="168">
        <v>123.71299999999999</v>
      </c>
      <c r="K58" s="168">
        <v>133.267</v>
      </c>
      <c r="L58" s="168">
        <v>144.34</v>
      </c>
      <c r="M58" s="44"/>
      <c r="N58" s="168">
        <v>126.068</v>
      </c>
      <c r="O58" s="168">
        <v>129.22300000000001</v>
      </c>
      <c r="P58" s="168">
        <v>173.548</v>
      </c>
      <c r="Q58" s="168">
        <f>Q59*Q53</f>
        <v>193.18800000000002</v>
      </c>
      <c r="R58" s="44"/>
      <c r="S58" s="168">
        <f>S59*S53</f>
        <v>192.41887499999999</v>
      </c>
      <c r="T58" s="168">
        <f>T59*T53</f>
        <v>204.87164843749997</v>
      </c>
      <c r="U58" s="168">
        <f t="shared" ref="U58" si="175">U59*U53</f>
        <v>216.41251499999998</v>
      </c>
      <c r="V58" s="168">
        <f t="shared" ref="V58" si="176">V59*V53</f>
        <v>241.81036110000002</v>
      </c>
      <c r="W58" s="44"/>
      <c r="X58" s="168">
        <f>X59*X53</f>
        <v>293.20220853000001</v>
      </c>
      <c r="Y58" s="168">
        <f>Y59*Y53</f>
        <v>364.59057234600004</v>
      </c>
      <c r="Z58" s="168">
        <f t="shared" ref="Z58:AA58" si="177">Z59*Z53</f>
        <v>328.13151511140001</v>
      </c>
      <c r="AA58" s="168">
        <f t="shared" si="177"/>
        <v>402.70685945489998</v>
      </c>
      <c r="AB58" s="44"/>
      <c r="AC58" s="168">
        <f>AC59*AC53</f>
        <v>343.04658398010002</v>
      </c>
      <c r="AD58" s="168">
        <f>AD59*AD53</f>
        <v>426.57096964482002</v>
      </c>
      <c r="AE58" s="168">
        <f t="shared" ref="AE58:AF58" si="178">AE59*AE53</f>
        <v>511.88516357378404</v>
      </c>
      <c r="AF58" s="168">
        <f t="shared" si="178"/>
        <v>628.22270074964399</v>
      </c>
      <c r="AG58" s="44"/>
      <c r="AH58" s="168">
        <f>AH59*AH53</f>
        <v>802.72900651343411</v>
      </c>
      <c r="AI58" s="168">
        <f>AI59*AI53</f>
        <v>998.17606896887878</v>
      </c>
      <c r="AJ58" s="168">
        <f t="shared" ref="AJ58:AK58" si="179">AJ59*AJ53</f>
        <v>1197.8112827626546</v>
      </c>
      <c r="AK58" s="168">
        <f t="shared" si="179"/>
        <v>1470.0411197541669</v>
      </c>
      <c r="AL58" s="44"/>
      <c r="AM58" s="168">
        <f>AM59*AM53</f>
        <v>939.19293762071777</v>
      </c>
      <c r="AN58" s="168">
        <f>AN59*AN53</f>
        <v>1167.8660006935884</v>
      </c>
      <c r="AO58" s="168">
        <f t="shared" ref="AO58:AP58" si="180">AO59*AO53</f>
        <v>1401.4392008323059</v>
      </c>
      <c r="AP58" s="168">
        <f t="shared" si="180"/>
        <v>1719.9481101123754</v>
      </c>
      <c r="AQ58" s="44"/>
    </row>
    <row r="59" spans="2:43" s="211" customFormat="1" outlineLevel="1" x14ac:dyDescent="0.3">
      <c r="B59" s="217" t="s">
        <v>139</v>
      </c>
      <c r="C59" s="210"/>
      <c r="D59" s="168">
        <f>D58/D53</f>
        <v>5.2931042510592725</v>
      </c>
      <c r="E59" s="168">
        <f t="shared" ref="E59" si="181">E58/E53</f>
        <v>4.5443191955234781</v>
      </c>
      <c r="F59" s="168">
        <f t="shared" ref="F59" si="182">F58/F53</f>
        <v>6.199369871043376</v>
      </c>
      <c r="G59" s="168">
        <f t="shared" ref="G59" si="183">G58/G53</f>
        <v>7.459684923155903</v>
      </c>
      <c r="H59" s="45"/>
      <c r="I59" s="168">
        <f t="shared" ref="I59:K59" si="184">I58/I53</f>
        <v>5.8270605842248226</v>
      </c>
      <c r="J59" s="168">
        <f t="shared" si="184"/>
        <v>6.0417063462994154</v>
      </c>
      <c r="K59" s="168">
        <f t="shared" si="184"/>
        <v>5.8450438596491221</v>
      </c>
      <c r="L59" s="168">
        <f t="shared" ref="L59:P59" si="185">L58/L53</f>
        <v>5.6175446107143561</v>
      </c>
      <c r="M59" s="44"/>
      <c r="N59" s="168">
        <f t="shared" si="185"/>
        <v>4.2424997055408795</v>
      </c>
      <c r="O59" s="168">
        <f t="shared" si="185"/>
        <v>3.8127876785082027</v>
      </c>
      <c r="P59" s="168">
        <f t="shared" si="185"/>
        <v>4.716106415935216</v>
      </c>
      <c r="Q59" s="166">
        <v>4.866441634339262</v>
      </c>
      <c r="R59" s="44"/>
      <c r="S59" s="166">
        <v>4.5</v>
      </c>
      <c r="T59" s="166">
        <v>4.25</v>
      </c>
      <c r="U59" s="166">
        <v>4</v>
      </c>
      <c r="V59" s="166">
        <v>4</v>
      </c>
      <c r="W59" s="44"/>
      <c r="X59" s="166">
        <v>4</v>
      </c>
      <c r="Y59" s="166">
        <v>4</v>
      </c>
      <c r="Z59" s="166">
        <v>3</v>
      </c>
      <c r="AA59" s="166">
        <v>3</v>
      </c>
      <c r="AB59" s="44"/>
      <c r="AC59" s="166">
        <v>2</v>
      </c>
      <c r="AD59" s="166">
        <v>2</v>
      </c>
      <c r="AE59" s="166">
        <v>2</v>
      </c>
      <c r="AF59" s="166">
        <v>2</v>
      </c>
      <c r="AG59" s="44"/>
      <c r="AH59" s="166">
        <v>2</v>
      </c>
      <c r="AI59" s="166">
        <v>2</v>
      </c>
      <c r="AJ59" s="166">
        <v>2</v>
      </c>
      <c r="AK59" s="166">
        <v>2</v>
      </c>
      <c r="AL59" s="44"/>
      <c r="AM59" s="166">
        <v>1</v>
      </c>
      <c r="AN59" s="166">
        <v>1</v>
      </c>
      <c r="AO59" s="166">
        <v>1</v>
      </c>
      <c r="AP59" s="166">
        <v>1</v>
      </c>
      <c r="AQ59" s="44"/>
    </row>
    <row r="60" spans="2:43" s="47" customFormat="1" outlineLevel="1" x14ac:dyDescent="0.3">
      <c r="B60" s="315" t="s">
        <v>136</v>
      </c>
      <c r="C60" s="316"/>
      <c r="D60" s="317">
        <f>(D54-D56-D58)/D54</f>
        <v>-0.13098705441041039</v>
      </c>
      <c r="E60" s="317">
        <f>(E54-E56-E58)/E54</f>
        <v>-4.9671340430168347E-2</v>
      </c>
      <c r="F60" s="317">
        <f>(F54-F56-F58)/F54</f>
        <v>-8.9289381951776908E-2</v>
      </c>
      <c r="G60" s="317">
        <f>(G54-G56-G58)/G54</f>
        <v>-0.20284324014884073</v>
      </c>
      <c r="H60" s="318"/>
      <c r="I60" s="317">
        <f>(I54-I56-I58)/I54</f>
        <v>-0.1564936675036171</v>
      </c>
      <c r="J60" s="317">
        <f>(J54-J56-J58)/J54</f>
        <v>-0.20211846610212358</v>
      </c>
      <c r="K60" s="317">
        <f t="shared" ref="K60" si="186">(K54-K56-K58)/K54</f>
        <v>-0.13088010524890198</v>
      </c>
      <c r="L60" s="317">
        <f t="shared" ref="L60:N60" si="187">(L54-L56-L58)/L54</f>
        <v>-0.19211518259902371</v>
      </c>
      <c r="M60" s="319"/>
      <c r="N60" s="317">
        <f t="shared" si="187"/>
        <v>-0.15990689653056081</v>
      </c>
      <c r="O60" s="317">
        <f t="shared" ref="O60:Q60" si="188">(O54-O56-O58)/O54</f>
        <v>-9.1247571554244886E-2</v>
      </c>
      <c r="P60" s="317">
        <f t="shared" si="188"/>
        <v>-8.0356891784224546E-2</v>
      </c>
      <c r="Q60" s="320">
        <f t="shared" si="188"/>
        <v>-7.9000000000000015E-2</v>
      </c>
      <c r="R60" s="319"/>
      <c r="S60" s="321">
        <f>(S54-S56-S58)/S54</f>
        <v>-6.5852437761259222E-2</v>
      </c>
      <c r="T60" s="317">
        <f>(T54-T56-T58)/T54</f>
        <v>-1.5731192771961118E-2</v>
      </c>
      <c r="U60" s="317">
        <f t="shared" ref="U60:V60" si="189">(U54-U56-U58)/U54</f>
        <v>1.1992195629816065E-2</v>
      </c>
      <c r="V60" s="317">
        <f t="shared" si="189"/>
        <v>2.3333333333333334E-2</v>
      </c>
      <c r="W60" s="319"/>
      <c r="X60" s="321">
        <f>(X54-X56-X58)/X54</f>
        <v>3.9999999999999938E-2</v>
      </c>
      <c r="Y60" s="317">
        <f>(Y54-Y56-Y58)/Y54</f>
        <v>4.3137254901960749E-2</v>
      </c>
      <c r="Z60" s="317">
        <f t="shared" ref="Z60:AA60" si="190">(Z54-Z56-Z58)/Z54</f>
        <v>8.461538461538462E-2</v>
      </c>
      <c r="AA60" s="317">
        <f t="shared" si="190"/>
        <v>8.8888888888888809E-2</v>
      </c>
      <c r="AB60" s="319"/>
      <c r="AC60" s="321">
        <f>(AC54-AC56-AC58)/AC54</f>
        <v>0.14857142857142855</v>
      </c>
      <c r="AD60" s="317">
        <f>(AD54-AD56-AD58)/AD54</f>
        <v>0.15857142857142859</v>
      </c>
      <c r="AE60" s="317">
        <f t="shared" ref="AE60:AF60" si="191">(AE54-AE56-AE58)/AE54</f>
        <v>0.16857142857142857</v>
      </c>
      <c r="AF60" s="317">
        <f t="shared" si="191"/>
        <v>0.17857142857142858</v>
      </c>
      <c r="AG60" s="319"/>
      <c r="AH60" s="321">
        <f>(AH54-AH56-AH58)/AH54</f>
        <v>0.22857142857142862</v>
      </c>
      <c r="AI60" s="317">
        <f>(AI54-AI56-AI58)/AI54</f>
        <v>0.24857142857142864</v>
      </c>
      <c r="AJ60" s="317">
        <f t="shared" ref="AJ60:AK60" si="192">(AJ54-AJ56-AJ58)/AJ54</f>
        <v>0.24857142857142867</v>
      </c>
      <c r="AK60" s="317">
        <f t="shared" si="192"/>
        <v>0.30857142857142861</v>
      </c>
      <c r="AL60" s="319"/>
      <c r="AM60" s="321">
        <f>(AM54-AM56-AM58)/AM54</f>
        <v>0.36551724137931035</v>
      </c>
      <c r="AN60" s="317">
        <f>(AN54-AN56-AN58)/AN54</f>
        <v>0.38666666666666666</v>
      </c>
      <c r="AO60" s="317">
        <f t="shared" ref="AO60:AP60" si="193">(AO54-AO56-AO58)/AO54</f>
        <v>0.39874999999999994</v>
      </c>
      <c r="AP60" s="317">
        <f t="shared" si="193"/>
        <v>0.39874999999999994</v>
      </c>
      <c r="AQ60" s="319"/>
    </row>
    <row r="61" spans="2:43" s="47" customFormat="1" x14ac:dyDescent="0.3">
      <c r="B61" s="293" t="s">
        <v>145</v>
      </c>
      <c r="C61" s="294"/>
      <c r="D61" s="134"/>
      <c r="E61" s="134"/>
      <c r="F61" s="134"/>
      <c r="G61" s="134"/>
      <c r="H61" s="165"/>
      <c r="I61" s="134"/>
      <c r="J61" s="134"/>
      <c r="K61" s="134"/>
      <c r="L61" s="134"/>
      <c r="M61" s="162"/>
      <c r="N61" s="134"/>
      <c r="O61" s="134"/>
      <c r="P61" s="134"/>
      <c r="Q61" s="233"/>
      <c r="R61" s="162"/>
      <c r="S61" s="96"/>
      <c r="T61" s="134"/>
      <c r="U61" s="134"/>
      <c r="V61" s="134"/>
      <c r="W61" s="162"/>
      <c r="X61" s="96"/>
      <c r="Y61" s="134"/>
      <c r="Z61" s="134"/>
      <c r="AA61" s="134"/>
      <c r="AB61" s="162"/>
      <c r="AC61" s="96"/>
      <c r="AD61" s="134"/>
      <c r="AE61" s="134"/>
      <c r="AF61" s="134"/>
      <c r="AG61" s="162"/>
      <c r="AH61" s="96"/>
      <c r="AI61" s="134"/>
      <c r="AJ61" s="134"/>
      <c r="AK61" s="134"/>
      <c r="AL61" s="162"/>
      <c r="AM61" s="96"/>
      <c r="AN61" s="134"/>
      <c r="AO61" s="134"/>
      <c r="AP61" s="134"/>
      <c r="AQ61" s="162"/>
    </row>
    <row r="62" spans="2:43" s="75" customFormat="1" outlineLevel="1" x14ac:dyDescent="0.3">
      <c r="B62" s="347" t="s">
        <v>148</v>
      </c>
      <c r="C62" s="348"/>
      <c r="D62" s="168">
        <v>6.5090000000000003</v>
      </c>
      <c r="E62" s="168">
        <v>6.1669999999999998</v>
      </c>
      <c r="F62" s="168">
        <v>5.899</v>
      </c>
      <c r="G62" s="168">
        <v>5.6680000000000001</v>
      </c>
      <c r="H62" s="45"/>
      <c r="I62" s="168">
        <v>5.47</v>
      </c>
      <c r="J62" s="168">
        <v>5.2190000000000003</v>
      </c>
      <c r="K62" s="167">
        <v>4.9710000000000001</v>
      </c>
      <c r="L62" s="167">
        <v>4.7869999999999999</v>
      </c>
      <c r="M62" s="44"/>
      <c r="N62" s="167">
        <v>4.7409999999999997</v>
      </c>
      <c r="O62" s="168">
        <v>4.53</v>
      </c>
      <c r="P62" s="167">
        <v>4.2729999999999997</v>
      </c>
      <c r="Q62" s="167">
        <f>P62*(1+Q63)</f>
        <v>4.1234449999999994</v>
      </c>
      <c r="R62" s="44"/>
      <c r="S62" s="167">
        <f>Q62*(1+S63)</f>
        <v>3.9378899749999992</v>
      </c>
      <c r="T62" s="168">
        <f>S62*(1+T63)</f>
        <v>3.7606849261249988</v>
      </c>
      <c r="U62" s="167">
        <f t="shared" ref="U62" si="194">T62*(1+U63)</f>
        <v>3.9111123231699989</v>
      </c>
      <c r="V62" s="167">
        <f>U62*(1+V63)</f>
        <v>3.7546678302431986</v>
      </c>
      <c r="W62" s="44"/>
      <c r="X62" s="167">
        <f>V62*(1+X63)</f>
        <v>3.6232544561846867</v>
      </c>
      <c r="Y62" s="168">
        <f>X62*(1+Y63)</f>
        <v>3.4964405502182223</v>
      </c>
      <c r="Z62" s="167">
        <f t="shared" ref="Z62" si="195">Y62*(1+Z63)</f>
        <v>3.3740651309605845</v>
      </c>
      <c r="AA62" s="167">
        <f>Z62*(1+AA63)</f>
        <v>3.2559728513769639</v>
      </c>
      <c r="AB62" s="44"/>
      <c r="AC62" s="167">
        <f>AA62*(1+AC63)</f>
        <v>3.14201380157877</v>
      </c>
      <c r="AD62" s="168">
        <f>AC62*(1+AD63)</f>
        <v>3.0320433185235127</v>
      </c>
      <c r="AE62" s="167">
        <f t="shared" ref="AE62" si="196">AD62*(1+AE63)</f>
        <v>2.9259218023751896</v>
      </c>
      <c r="AF62" s="167">
        <f>AE62*(1+AF63)</f>
        <v>2.823514539292058</v>
      </c>
      <c r="AG62" s="44"/>
      <c r="AH62" s="167">
        <f>AF62*(1+AH63)</f>
        <v>2.7246915304168358</v>
      </c>
      <c r="AI62" s="168">
        <f>AH62*(1+AI63)</f>
        <v>2.6293273268522466</v>
      </c>
      <c r="AJ62" s="167">
        <f t="shared" ref="AJ62" si="197">AI62*(1+AJ63)</f>
        <v>2.5373008704124178</v>
      </c>
      <c r="AK62" s="167">
        <f>AJ62*(1+AK63)</f>
        <v>2.448495339947983</v>
      </c>
      <c r="AL62" s="44"/>
      <c r="AM62" s="167">
        <f>AK62*(1+AM63)</f>
        <v>2.3627980030498037</v>
      </c>
      <c r="AN62" s="168">
        <f>AM62*(1+AN63)</f>
        <v>2.2801000729430605</v>
      </c>
      <c r="AO62" s="167">
        <f t="shared" ref="AO62" si="198">AN62*(1+AO63)</f>
        <v>2.2002965703900532</v>
      </c>
      <c r="AP62" s="167">
        <f>AO62*(1+AP63)</f>
        <v>2.1232861904264011</v>
      </c>
      <c r="AQ62" s="44"/>
    </row>
    <row r="63" spans="2:43" s="98" customFormat="1" outlineLevel="1" x14ac:dyDescent="0.3">
      <c r="B63" s="221" t="s">
        <v>134</v>
      </c>
      <c r="C63" s="222"/>
      <c r="D63" s="134">
        <f>D62/6.765-1</f>
        <v>-3.7841832963784072E-2</v>
      </c>
      <c r="E63" s="134">
        <f>E62/D62-1</f>
        <v>-5.2542633277001149E-2</v>
      </c>
      <c r="F63" s="134">
        <f t="shared" ref="F63" si="199">F62/E62-1</f>
        <v>-4.3457110426463386E-2</v>
      </c>
      <c r="G63" s="134">
        <f t="shared" ref="G63" si="200">G62/F62-1</f>
        <v>-3.9159179521952803E-2</v>
      </c>
      <c r="H63" s="165"/>
      <c r="I63" s="134">
        <f>I62/G62-1</f>
        <v>-3.4932956951305605E-2</v>
      </c>
      <c r="J63" s="134">
        <f t="shared" ref="J63:L63" si="201">J62/I62-1</f>
        <v>-4.5886654478976108E-2</v>
      </c>
      <c r="K63" s="134">
        <f t="shared" si="201"/>
        <v>-4.7518681739796897E-2</v>
      </c>
      <c r="L63" s="134">
        <f t="shared" si="201"/>
        <v>-3.7014685174009299E-2</v>
      </c>
      <c r="M63" s="162"/>
      <c r="N63" s="134">
        <f>N62/L62-1</f>
        <v>-9.6093586797577624E-3</v>
      </c>
      <c r="O63" s="134">
        <f>O62/N62-1</f>
        <v>-4.4505378612107016E-2</v>
      </c>
      <c r="P63" s="134">
        <f>P62/O62-1</f>
        <v>-5.6732891832229737E-2</v>
      </c>
      <c r="Q63" s="100">
        <v>-3.5000000000000003E-2</v>
      </c>
      <c r="R63" s="162"/>
      <c r="S63" s="100">
        <v>-4.4999999999999998E-2</v>
      </c>
      <c r="T63" s="100">
        <v>-4.4999999999999998E-2</v>
      </c>
      <c r="U63" s="100">
        <v>0.04</v>
      </c>
      <c r="V63" s="100">
        <v>-0.04</v>
      </c>
      <c r="W63" s="162"/>
      <c r="X63" s="100">
        <v>-3.5000000000000003E-2</v>
      </c>
      <c r="Y63" s="100">
        <v>-3.5000000000000003E-2</v>
      </c>
      <c r="Z63" s="100">
        <v>-3.5000000000000003E-2</v>
      </c>
      <c r="AA63" s="100">
        <v>-3.5000000000000003E-2</v>
      </c>
      <c r="AB63" s="162"/>
      <c r="AC63" s="100">
        <v>-3.5000000000000003E-2</v>
      </c>
      <c r="AD63" s="100">
        <v>-3.5000000000000003E-2</v>
      </c>
      <c r="AE63" s="100">
        <v>-3.5000000000000003E-2</v>
      </c>
      <c r="AF63" s="100">
        <v>-3.5000000000000003E-2</v>
      </c>
      <c r="AG63" s="162"/>
      <c r="AH63" s="100">
        <v>-3.5000000000000003E-2</v>
      </c>
      <c r="AI63" s="100">
        <v>-3.5000000000000003E-2</v>
      </c>
      <c r="AJ63" s="100">
        <v>-3.5000000000000003E-2</v>
      </c>
      <c r="AK63" s="100">
        <v>-3.5000000000000003E-2</v>
      </c>
      <c r="AL63" s="162"/>
      <c r="AM63" s="100">
        <v>-3.5000000000000003E-2</v>
      </c>
      <c r="AN63" s="100">
        <v>-3.5000000000000003E-2</v>
      </c>
      <c r="AO63" s="100">
        <v>-3.5000000000000003E-2</v>
      </c>
      <c r="AP63" s="100">
        <v>-3.5000000000000003E-2</v>
      </c>
      <c r="AQ63" s="162"/>
    </row>
    <row r="64" spans="2:43" s="75" customFormat="1" outlineLevel="1" x14ac:dyDescent="0.3">
      <c r="B64" s="217" t="s">
        <v>133</v>
      </c>
      <c r="C64" s="218"/>
      <c r="D64" s="168">
        <f>(D62+6.765)/2</f>
        <v>6.6370000000000005</v>
      </c>
      <c r="E64" s="168">
        <f>AVERAGE(D62,E62)</f>
        <v>6.3380000000000001</v>
      </c>
      <c r="F64" s="168">
        <f t="shared" ref="F64:G64" si="202">AVERAGE(E62,F62)</f>
        <v>6.0329999999999995</v>
      </c>
      <c r="G64" s="168">
        <f t="shared" si="202"/>
        <v>5.7835000000000001</v>
      </c>
      <c r="H64" s="45"/>
      <c r="I64" s="168">
        <f>AVERAGE(G62,I62)</f>
        <v>5.569</v>
      </c>
      <c r="J64" s="168">
        <f t="shared" ref="J64" si="203">AVERAGE(I62,J62)</f>
        <v>5.3445</v>
      </c>
      <c r="K64" s="168">
        <f t="shared" ref="K64:L64" si="204">AVERAGE(J62,K62)</f>
        <v>5.0950000000000006</v>
      </c>
      <c r="L64" s="168">
        <f t="shared" si="204"/>
        <v>4.8789999999999996</v>
      </c>
      <c r="M64" s="44"/>
      <c r="N64" s="167">
        <f>AVERAGE(L62,N62)</f>
        <v>4.7639999999999993</v>
      </c>
      <c r="O64" s="168">
        <f t="shared" ref="O64:Q64" si="205">AVERAGE(N62,O62)</f>
        <v>4.6355000000000004</v>
      </c>
      <c r="P64" s="168">
        <f t="shared" si="205"/>
        <v>4.4015000000000004</v>
      </c>
      <c r="Q64" s="168">
        <f t="shared" si="205"/>
        <v>4.1982225</v>
      </c>
      <c r="R64" s="44"/>
      <c r="S64" s="167">
        <f>AVERAGE(Q62,S62)</f>
        <v>4.0306674874999988</v>
      </c>
      <c r="T64" s="168">
        <f t="shared" ref="T64:V64" si="206">AVERAGE(S62,T62)</f>
        <v>3.8492874505624988</v>
      </c>
      <c r="U64" s="168">
        <f t="shared" si="206"/>
        <v>3.8358986246474989</v>
      </c>
      <c r="V64" s="168">
        <f t="shared" si="206"/>
        <v>3.8328900767065988</v>
      </c>
      <c r="W64" s="44"/>
      <c r="X64" s="167">
        <f>AVERAGE(V62,X62)</f>
        <v>3.6889611432139429</v>
      </c>
      <c r="Y64" s="168">
        <f t="shared" ref="Y64" si="207">AVERAGE(X62,Y62)</f>
        <v>3.5598475032014543</v>
      </c>
      <c r="Z64" s="168">
        <f t="shared" ref="Z64" si="208">AVERAGE(Y62,Z62)</f>
        <v>3.4352528405894036</v>
      </c>
      <c r="AA64" s="168">
        <f t="shared" ref="AA64" si="209">AVERAGE(Z62,AA62)</f>
        <v>3.315018991168774</v>
      </c>
      <c r="AB64" s="44"/>
      <c r="AC64" s="167">
        <f>AVERAGE(AA62,AC62)</f>
        <v>3.1989933264778667</v>
      </c>
      <c r="AD64" s="168">
        <f t="shared" ref="AD64" si="210">AVERAGE(AC62,AD62)</f>
        <v>3.0870285600511416</v>
      </c>
      <c r="AE64" s="168">
        <f t="shared" ref="AE64" si="211">AVERAGE(AD62,AE62)</f>
        <v>2.9789825604493512</v>
      </c>
      <c r="AF64" s="168">
        <f t="shared" ref="AF64" si="212">AVERAGE(AE62,AF62)</f>
        <v>2.8747181708336238</v>
      </c>
      <c r="AG64" s="44"/>
      <c r="AH64" s="167">
        <f>AVERAGE(AF62,AH62)</f>
        <v>2.7741030348544466</v>
      </c>
      <c r="AI64" s="168">
        <f t="shared" ref="AI64" si="213">AVERAGE(AH62,AI62)</f>
        <v>2.6770094286345412</v>
      </c>
      <c r="AJ64" s="168">
        <f t="shared" ref="AJ64" si="214">AVERAGE(AI62,AJ62)</f>
        <v>2.5833140986323322</v>
      </c>
      <c r="AK64" s="168">
        <f t="shared" ref="AK64" si="215">AVERAGE(AJ62,AK62)</f>
        <v>2.4928981051802004</v>
      </c>
      <c r="AL64" s="44"/>
      <c r="AM64" s="167">
        <f>AVERAGE(AK62,AM62)</f>
        <v>2.4056466714988933</v>
      </c>
      <c r="AN64" s="168">
        <f t="shared" ref="AN64" si="216">AVERAGE(AM62,AN62)</f>
        <v>2.3214490379964321</v>
      </c>
      <c r="AO64" s="168">
        <f t="shared" ref="AO64" si="217">AVERAGE(AN62,AO62)</f>
        <v>2.2401983216665569</v>
      </c>
      <c r="AP64" s="168">
        <f t="shared" ref="AP64" si="218">AVERAGE(AO62,AP62)</f>
        <v>2.1617913804082272</v>
      </c>
      <c r="AQ64" s="44"/>
    </row>
    <row r="65" spans="2:43" s="47" customFormat="1" outlineLevel="1" x14ac:dyDescent="0.3">
      <c r="B65" s="347" t="s">
        <v>149</v>
      </c>
      <c r="C65" s="348"/>
      <c r="D65" s="168">
        <v>204.35400000000001</v>
      </c>
      <c r="E65" s="168">
        <v>194.721</v>
      </c>
      <c r="F65" s="168">
        <v>186.59700000000001</v>
      </c>
      <c r="G65" s="168">
        <v>179.489</v>
      </c>
      <c r="H65" s="45"/>
      <c r="I65" s="168">
        <v>173.2</v>
      </c>
      <c r="J65" s="168">
        <v>164.018</v>
      </c>
      <c r="K65" s="168">
        <v>157.524</v>
      </c>
      <c r="L65" s="168">
        <v>150.995</v>
      </c>
      <c r="M65" s="44"/>
      <c r="N65" s="168">
        <v>144.74700000000001</v>
      </c>
      <c r="O65" s="168">
        <v>138.732</v>
      </c>
      <c r="P65" s="168">
        <v>132.375</v>
      </c>
      <c r="Q65" s="168">
        <f t="shared" ref="Q65" si="219">Q64*Q66</f>
        <v>125.99999999999987</v>
      </c>
      <c r="R65" s="44"/>
      <c r="S65" s="168">
        <f>S64*S66</f>
        <v>120.92002462499997</v>
      </c>
      <c r="T65" s="168">
        <f>T64*T66</f>
        <v>115.47862351687496</v>
      </c>
      <c r="U65" s="168">
        <f t="shared" ref="U65" si="220">U64*U66</f>
        <v>115.07695873942497</v>
      </c>
      <c r="V65" s="168">
        <f t="shared" ref="V65" si="221">V64*V66</f>
        <v>114.98670230119797</v>
      </c>
      <c r="W65" s="44"/>
      <c r="X65" s="168">
        <f>X64*X66</f>
        <v>110.66883429641828</v>
      </c>
      <c r="Y65" s="168">
        <f>Y64*Y66</f>
        <v>106.79542509604363</v>
      </c>
      <c r="Z65" s="168">
        <f t="shared" ref="Z65:AA65" si="222">Z64*Z66</f>
        <v>103.0575852176821</v>
      </c>
      <c r="AA65" s="168">
        <f t="shared" si="222"/>
        <v>99.450569735063226</v>
      </c>
      <c r="AB65" s="44"/>
      <c r="AC65" s="168">
        <f>AC64*AC66</f>
        <v>95.969799794335998</v>
      </c>
      <c r="AD65" s="168">
        <f>AD64*AD66</f>
        <v>92.610856801534254</v>
      </c>
      <c r="AE65" s="168">
        <f t="shared" ref="AE65:AF65" si="223">AE64*AE66</f>
        <v>89.369476813480532</v>
      </c>
      <c r="AF65" s="168">
        <f t="shared" si="223"/>
        <v>86.241545125008713</v>
      </c>
      <c r="AG65" s="44"/>
      <c r="AH65" s="168">
        <f>AH64*AH66</f>
        <v>83.223091045633396</v>
      </c>
      <c r="AI65" s="168">
        <f>AI64*AI66</f>
        <v>80.310282859036235</v>
      </c>
      <c r="AJ65" s="168">
        <f t="shared" ref="AJ65:AK65" si="224">AJ64*AJ66</f>
        <v>77.499422958969973</v>
      </c>
      <c r="AK65" s="168">
        <f t="shared" si="224"/>
        <v>74.786943155406007</v>
      </c>
      <c r="AL65" s="44"/>
      <c r="AM65" s="168">
        <f>AM64*AM66</f>
        <v>72.169400144966801</v>
      </c>
      <c r="AN65" s="168">
        <f>AN64*AN66</f>
        <v>69.643471139892966</v>
      </c>
      <c r="AO65" s="168">
        <f t="shared" ref="AO65:AP65" si="225">AO64*AO66</f>
        <v>67.205949649996711</v>
      </c>
      <c r="AP65" s="168">
        <f t="shared" si="225"/>
        <v>64.853741412246819</v>
      </c>
      <c r="AQ65" s="44"/>
    </row>
    <row r="66" spans="2:43" s="47" customFormat="1" outlineLevel="1" x14ac:dyDescent="0.3">
      <c r="B66" s="347" t="s">
        <v>150</v>
      </c>
      <c r="C66" s="348"/>
      <c r="D66" s="168">
        <f>D65/D64</f>
        <v>30.790116016272414</v>
      </c>
      <c r="E66" s="168">
        <f t="shared" ref="E66" si="226">E65/E64</f>
        <v>30.722783212369833</v>
      </c>
      <c r="F66" s="168">
        <f t="shared" ref="F66" si="227">F65/F64</f>
        <v>30.929388363998015</v>
      </c>
      <c r="G66" s="168">
        <f t="shared" ref="G66" si="228">G65/G64</f>
        <v>31.034667588830292</v>
      </c>
      <c r="H66" s="45"/>
      <c r="I66" s="168">
        <f t="shared" ref="I66:P66" si="229">I65/I64</f>
        <v>31.100736218351589</v>
      </c>
      <c r="J66" s="168">
        <f t="shared" si="229"/>
        <v>30.689119655720834</v>
      </c>
      <c r="K66" s="168">
        <f t="shared" si="229"/>
        <v>30.917369970559367</v>
      </c>
      <c r="L66" s="168">
        <f t="shared" si="229"/>
        <v>30.947940151670426</v>
      </c>
      <c r="M66" s="44"/>
      <c r="N66" s="168">
        <f t="shared" si="229"/>
        <v>30.38350125944585</v>
      </c>
      <c r="O66" s="168">
        <f t="shared" si="229"/>
        <v>29.928163089202886</v>
      </c>
      <c r="P66" s="168">
        <f t="shared" si="229"/>
        <v>30.074974440531633</v>
      </c>
      <c r="Q66" s="166">
        <v>30.012701804156372</v>
      </c>
      <c r="R66" s="44"/>
      <c r="S66" s="166">
        <v>30</v>
      </c>
      <c r="T66" s="166">
        <v>30</v>
      </c>
      <c r="U66" s="166">
        <v>30</v>
      </c>
      <c r="V66" s="166">
        <v>30</v>
      </c>
      <c r="W66" s="44"/>
      <c r="X66" s="166">
        <v>30</v>
      </c>
      <c r="Y66" s="166">
        <v>30</v>
      </c>
      <c r="Z66" s="166">
        <v>30</v>
      </c>
      <c r="AA66" s="166">
        <v>30</v>
      </c>
      <c r="AB66" s="44"/>
      <c r="AC66" s="166">
        <v>30</v>
      </c>
      <c r="AD66" s="166">
        <v>30</v>
      </c>
      <c r="AE66" s="166">
        <v>30</v>
      </c>
      <c r="AF66" s="166">
        <v>30</v>
      </c>
      <c r="AG66" s="44"/>
      <c r="AH66" s="166">
        <v>30</v>
      </c>
      <c r="AI66" s="166">
        <v>30</v>
      </c>
      <c r="AJ66" s="166">
        <v>30</v>
      </c>
      <c r="AK66" s="166">
        <v>30</v>
      </c>
      <c r="AL66" s="44"/>
      <c r="AM66" s="166">
        <v>30</v>
      </c>
      <c r="AN66" s="166">
        <v>30</v>
      </c>
      <c r="AO66" s="166">
        <v>30</v>
      </c>
      <c r="AP66" s="166">
        <v>30</v>
      </c>
      <c r="AQ66" s="44"/>
    </row>
    <row r="67" spans="2:43" s="47" customFormat="1" outlineLevel="1" x14ac:dyDescent="0.3">
      <c r="B67" s="217" t="s">
        <v>151</v>
      </c>
      <c r="C67" s="218"/>
      <c r="D67" s="168">
        <v>106.825</v>
      </c>
      <c r="E67" s="168">
        <v>101.928</v>
      </c>
      <c r="F67" s="168">
        <v>97.200999999999993</v>
      </c>
      <c r="G67" s="168">
        <v>90.927999999999997</v>
      </c>
      <c r="H67" s="45"/>
      <c r="I67" s="168">
        <v>88.593999999999994</v>
      </c>
      <c r="J67" s="168">
        <v>86.094999999999999</v>
      </c>
      <c r="K67" s="168">
        <v>77.793000000000006</v>
      </c>
      <c r="L67" s="168">
        <v>71.426000000000002</v>
      </c>
      <c r="M67" s="44"/>
      <c r="N67" s="168">
        <v>73.094999999999999</v>
      </c>
      <c r="O67" s="168">
        <v>67.83</v>
      </c>
      <c r="P67" s="168">
        <v>63.670999999999999</v>
      </c>
      <c r="Q67" s="168">
        <f t="shared" ref="Q67" si="230">Q65*(1-Q68)</f>
        <v>61.739999999999938</v>
      </c>
      <c r="R67" s="44"/>
      <c r="S67" s="168">
        <f>S65*(1-S68)</f>
        <v>59.250812066249985</v>
      </c>
      <c r="T67" s="168">
        <f>T65*(1-T68)</f>
        <v>56.584525523268731</v>
      </c>
      <c r="U67" s="168">
        <f t="shared" ref="U67" si="231">U65*(1-U68)</f>
        <v>56.387709782318232</v>
      </c>
      <c r="V67" s="168">
        <f t="shared" ref="V67" si="232">V65*(1-V68)</f>
        <v>56.343484127587004</v>
      </c>
      <c r="W67" s="44"/>
      <c r="X67" s="168">
        <f>X65*(1-X68)</f>
        <v>54.227728805244958</v>
      </c>
      <c r="Y67" s="168">
        <f>Y65*(1-Y68)</f>
        <v>52.329758297061375</v>
      </c>
      <c r="Z67" s="168">
        <f t="shared" ref="Z67:AA67" si="233">Z65*(1-Z68)</f>
        <v>50.498216756664227</v>
      </c>
      <c r="AA67" s="168">
        <f t="shared" si="233"/>
        <v>48.73077917018098</v>
      </c>
      <c r="AB67" s="44"/>
      <c r="AC67" s="168">
        <f>AC65*(1-AC68)</f>
        <v>47.025201899224641</v>
      </c>
      <c r="AD67" s="168">
        <f>AD65*(1-AD68)</f>
        <v>45.379319832751783</v>
      </c>
      <c r="AE67" s="168">
        <f t="shared" ref="AE67:AF67" si="234">AE65*(1-AE68)</f>
        <v>43.791043638605458</v>
      </c>
      <c r="AF67" s="168">
        <f t="shared" si="234"/>
        <v>42.25835711125427</v>
      </c>
      <c r="AG67" s="44"/>
      <c r="AH67" s="168">
        <f>AH65*(1-AH68)</f>
        <v>40.779314612360366</v>
      </c>
      <c r="AI67" s="168">
        <f>AI65*(1-AI68)</f>
        <v>39.352038600927756</v>
      </c>
      <c r="AJ67" s="168">
        <f t="shared" ref="AJ67:AK67" si="235">AJ65*(1-AJ68)</f>
        <v>37.974717249895285</v>
      </c>
      <c r="AK67" s="168">
        <f t="shared" si="235"/>
        <v>36.645602146148946</v>
      </c>
      <c r="AL67" s="44"/>
      <c r="AM67" s="168">
        <f>AM65*(1-AM68)</f>
        <v>35.36300607103373</v>
      </c>
      <c r="AN67" s="168">
        <f>AN65*(1-AN68)</f>
        <v>34.125300858547554</v>
      </c>
      <c r="AO67" s="168">
        <f t="shared" ref="AO67:AP67" si="236">AO65*(1-AO68)</f>
        <v>32.930915328498386</v>
      </c>
      <c r="AP67" s="168">
        <f t="shared" si="236"/>
        <v>31.778333292000941</v>
      </c>
      <c r="AQ67" s="44"/>
    </row>
    <row r="68" spans="2:43" s="47" customFormat="1" outlineLevel="1" x14ac:dyDescent="0.3">
      <c r="B68" s="217" t="s">
        <v>153</v>
      </c>
      <c r="C68" s="218"/>
      <c r="D68" s="134">
        <f>(D65-D67)/D65</f>
        <v>0.47725515526977697</v>
      </c>
      <c r="E68" s="134">
        <f>(E65-E67)/E65</f>
        <v>0.47654336204107417</v>
      </c>
      <c r="F68" s="134">
        <f t="shared" ref="F68" si="237">(F65-F67)/F65</f>
        <v>0.47908594457574349</v>
      </c>
      <c r="G68" s="134">
        <f t="shared" ref="G68" si="238">(G65-G67)/G65</f>
        <v>0.49340628116486251</v>
      </c>
      <c r="H68" s="165"/>
      <c r="I68" s="134">
        <f>(I65-I67)/I65</f>
        <v>0.48848729792147805</v>
      </c>
      <c r="J68" s="134">
        <f t="shared" ref="J68:P68" si="239">(J65-J67)/J65</f>
        <v>0.47508810008657587</v>
      </c>
      <c r="K68" s="134">
        <f t="shared" si="239"/>
        <v>0.50615144358954822</v>
      </c>
      <c r="L68" s="134">
        <f t="shared" si="239"/>
        <v>0.5269644690221531</v>
      </c>
      <c r="M68" s="162"/>
      <c r="N68" s="134">
        <f t="shared" si="239"/>
        <v>0.49501544073452303</v>
      </c>
      <c r="O68" s="134">
        <f t="shared" si="239"/>
        <v>0.51107170659977508</v>
      </c>
      <c r="P68" s="134">
        <f t="shared" si="239"/>
        <v>0.51901038715769598</v>
      </c>
      <c r="Q68" s="100">
        <v>0.51</v>
      </c>
      <c r="R68" s="162"/>
      <c r="S68" s="100">
        <v>0.51</v>
      </c>
      <c r="T68" s="100">
        <v>0.51</v>
      </c>
      <c r="U68" s="100">
        <v>0.51</v>
      </c>
      <c r="V68" s="100">
        <v>0.51</v>
      </c>
      <c r="W68" s="162"/>
      <c r="X68" s="100">
        <v>0.51</v>
      </c>
      <c r="Y68" s="100">
        <v>0.51</v>
      </c>
      <c r="Z68" s="100">
        <v>0.51</v>
      </c>
      <c r="AA68" s="100">
        <v>0.51</v>
      </c>
      <c r="AB68" s="162"/>
      <c r="AC68" s="100">
        <v>0.51</v>
      </c>
      <c r="AD68" s="100">
        <v>0.51</v>
      </c>
      <c r="AE68" s="100">
        <v>0.51</v>
      </c>
      <c r="AF68" s="100">
        <v>0.51</v>
      </c>
      <c r="AG68" s="162"/>
      <c r="AH68" s="100">
        <v>0.51</v>
      </c>
      <c r="AI68" s="100">
        <v>0.51</v>
      </c>
      <c r="AJ68" s="100">
        <v>0.51</v>
      </c>
      <c r="AK68" s="100">
        <v>0.51</v>
      </c>
      <c r="AL68" s="162"/>
      <c r="AM68" s="100">
        <v>0.51</v>
      </c>
      <c r="AN68" s="100">
        <v>0.51</v>
      </c>
      <c r="AO68" s="100">
        <v>0.51</v>
      </c>
      <c r="AP68" s="100">
        <v>0.51</v>
      </c>
      <c r="AQ68" s="162"/>
    </row>
    <row r="69" spans="2:43" s="211" customFormat="1" outlineLevel="1" x14ac:dyDescent="0.3">
      <c r="B69" s="217" t="s">
        <v>154</v>
      </c>
      <c r="C69" s="210"/>
      <c r="D69" s="168">
        <v>0</v>
      </c>
      <c r="E69" s="168">
        <v>0</v>
      </c>
      <c r="F69" s="168">
        <v>0</v>
      </c>
      <c r="G69" s="168">
        <v>0</v>
      </c>
      <c r="H69" s="45"/>
      <c r="I69" s="168">
        <v>0</v>
      </c>
      <c r="J69" s="168">
        <v>0</v>
      </c>
      <c r="K69" s="168">
        <v>0</v>
      </c>
      <c r="L69" s="168">
        <f t="shared" ref="L69" si="240">L70*L64</f>
        <v>0</v>
      </c>
      <c r="M69" s="44"/>
      <c r="N69" s="168">
        <f>N70*N64</f>
        <v>0</v>
      </c>
      <c r="O69" s="168">
        <f>O70*O64</f>
        <v>0</v>
      </c>
      <c r="P69" s="168">
        <f t="shared" ref="P69" si="241">P70*P64</f>
        <v>0</v>
      </c>
      <c r="Q69" s="168">
        <f t="shared" ref="Q69" si="242">Q70*Q64</f>
        <v>0</v>
      </c>
      <c r="R69" s="44"/>
      <c r="S69" s="168">
        <f>S70*S64</f>
        <v>0</v>
      </c>
      <c r="T69" s="168">
        <f>T70*T64</f>
        <v>0</v>
      </c>
      <c r="U69" s="168">
        <f t="shared" ref="U69" si="243">U70*U64</f>
        <v>0</v>
      </c>
      <c r="V69" s="168">
        <f t="shared" ref="V69" si="244">V70*V64</f>
        <v>0</v>
      </c>
      <c r="W69" s="44"/>
      <c r="X69" s="168">
        <f>X70*X64</f>
        <v>0</v>
      </c>
      <c r="Y69" s="168">
        <f>Y70*Y64</f>
        <v>0</v>
      </c>
      <c r="Z69" s="168">
        <f t="shared" ref="Z69:AA69" si="245">Z70*Z64</f>
        <v>0</v>
      </c>
      <c r="AA69" s="168">
        <f t="shared" si="245"/>
        <v>0</v>
      </c>
      <c r="AB69" s="44"/>
      <c r="AC69" s="168">
        <f>AC70*AC64</f>
        <v>0</v>
      </c>
      <c r="AD69" s="168">
        <f>AD70*AD64</f>
        <v>0</v>
      </c>
      <c r="AE69" s="168">
        <f t="shared" ref="AE69:AF69" si="246">AE70*AE64</f>
        <v>0</v>
      </c>
      <c r="AF69" s="168">
        <f t="shared" si="246"/>
        <v>0</v>
      </c>
      <c r="AG69" s="44"/>
      <c r="AH69" s="168">
        <f>AH70*AH64</f>
        <v>0</v>
      </c>
      <c r="AI69" s="168">
        <f>AI70*AI64</f>
        <v>0</v>
      </c>
      <c r="AJ69" s="168">
        <f t="shared" ref="AJ69:AK69" si="247">AJ70*AJ64</f>
        <v>0</v>
      </c>
      <c r="AK69" s="168">
        <f t="shared" si="247"/>
        <v>0</v>
      </c>
      <c r="AL69" s="44"/>
      <c r="AM69" s="168">
        <f>AM70*AM64</f>
        <v>0</v>
      </c>
      <c r="AN69" s="168">
        <f>AN70*AN64</f>
        <v>0</v>
      </c>
      <c r="AO69" s="168">
        <f t="shared" ref="AO69:AP69" si="248">AO70*AO64</f>
        <v>0</v>
      </c>
      <c r="AP69" s="168">
        <f t="shared" si="248"/>
        <v>0</v>
      </c>
      <c r="AQ69" s="44"/>
    </row>
    <row r="70" spans="2:43" s="211" customFormat="1" outlineLevel="1" x14ac:dyDescent="0.3">
      <c r="B70" s="217" t="s">
        <v>139</v>
      </c>
      <c r="C70" s="210"/>
      <c r="D70" s="168">
        <f>D69/D64</f>
        <v>0</v>
      </c>
      <c r="E70" s="168">
        <f t="shared" ref="E70" si="249">E69/E64</f>
        <v>0</v>
      </c>
      <c r="F70" s="168">
        <f t="shared" ref="F70" si="250">F69/F64</f>
        <v>0</v>
      </c>
      <c r="G70" s="168">
        <f t="shared" ref="G70" si="251">G69/G64</f>
        <v>0</v>
      </c>
      <c r="H70" s="45"/>
      <c r="I70" s="168">
        <f t="shared" ref="I70:J70" si="252">I69/I64</f>
        <v>0</v>
      </c>
      <c r="J70" s="168">
        <f t="shared" si="252"/>
        <v>0</v>
      </c>
      <c r="K70" s="168">
        <v>0</v>
      </c>
      <c r="L70" s="168">
        <v>0</v>
      </c>
      <c r="M70" s="44"/>
      <c r="N70" s="168">
        <v>0</v>
      </c>
      <c r="O70" s="168">
        <v>0</v>
      </c>
      <c r="P70" s="168">
        <v>0</v>
      </c>
      <c r="Q70" s="166">
        <v>0</v>
      </c>
      <c r="R70" s="44"/>
      <c r="S70" s="166">
        <v>0</v>
      </c>
      <c r="T70" s="166">
        <v>0</v>
      </c>
      <c r="U70" s="166">
        <v>0</v>
      </c>
      <c r="V70" s="166">
        <v>0</v>
      </c>
      <c r="W70" s="44"/>
      <c r="X70" s="166">
        <v>0</v>
      </c>
      <c r="Y70" s="166">
        <v>0</v>
      </c>
      <c r="Z70" s="166">
        <v>0</v>
      </c>
      <c r="AA70" s="166">
        <v>0</v>
      </c>
      <c r="AB70" s="44"/>
      <c r="AC70" s="166">
        <v>0</v>
      </c>
      <c r="AD70" s="166">
        <v>0</v>
      </c>
      <c r="AE70" s="166">
        <v>0</v>
      </c>
      <c r="AF70" s="166">
        <v>0</v>
      </c>
      <c r="AG70" s="44"/>
      <c r="AH70" s="166">
        <v>0</v>
      </c>
      <c r="AI70" s="166">
        <v>0</v>
      </c>
      <c r="AJ70" s="166">
        <v>0</v>
      </c>
      <c r="AK70" s="166">
        <v>0</v>
      </c>
      <c r="AL70" s="44"/>
      <c r="AM70" s="166">
        <v>0</v>
      </c>
      <c r="AN70" s="166">
        <v>0</v>
      </c>
      <c r="AO70" s="166">
        <v>0</v>
      </c>
      <c r="AP70" s="166">
        <v>0</v>
      </c>
      <c r="AQ70" s="44"/>
    </row>
    <row r="71" spans="2:43" s="47" customFormat="1" outlineLevel="1" x14ac:dyDescent="0.3">
      <c r="B71" s="315" t="s">
        <v>136</v>
      </c>
      <c r="C71" s="316"/>
      <c r="D71" s="317">
        <f>(D65-D67-D69)/D65</f>
        <v>0.47725515526977697</v>
      </c>
      <c r="E71" s="317">
        <f>(E65-E67-E69)/E65</f>
        <v>0.47654336204107417</v>
      </c>
      <c r="F71" s="317">
        <f>(F65-F67-F69)/F65</f>
        <v>0.47908594457574349</v>
      </c>
      <c r="G71" s="317">
        <f>(G65-G67-G69)/G65</f>
        <v>0.49340628116486251</v>
      </c>
      <c r="H71" s="318"/>
      <c r="I71" s="317">
        <f>(I65-I67-I69)/I65</f>
        <v>0.48848729792147805</v>
      </c>
      <c r="J71" s="317">
        <f>(J65-J67-J69)/J65</f>
        <v>0.47508810008657587</v>
      </c>
      <c r="K71" s="317">
        <f t="shared" ref="K71:L71" si="253">(K65-K67-K69)/K65</f>
        <v>0.50615144358954822</v>
      </c>
      <c r="L71" s="317">
        <f t="shared" si="253"/>
        <v>0.5269644690221531</v>
      </c>
      <c r="M71" s="319"/>
      <c r="N71" s="321">
        <f>(N65-N67-N69)/N65</f>
        <v>0.49501544073452303</v>
      </c>
      <c r="O71" s="317">
        <f>(O65-O67-O69)/O65</f>
        <v>0.51107170659977508</v>
      </c>
      <c r="P71" s="317">
        <f t="shared" ref="P71:Q71" si="254">(P65-P67-P69)/P65</f>
        <v>0.51901038715769598</v>
      </c>
      <c r="Q71" s="317">
        <f t="shared" si="254"/>
        <v>0.51</v>
      </c>
      <c r="R71" s="319"/>
      <c r="S71" s="321">
        <f>(S65-S67-S69)/S65</f>
        <v>0.51</v>
      </c>
      <c r="T71" s="317">
        <f>(T65-T67-T69)/T65</f>
        <v>0.51</v>
      </c>
      <c r="U71" s="317">
        <f t="shared" ref="U71:V71" si="255">(U65-U67-U69)/U65</f>
        <v>0.51</v>
      </c>
      <c r="V71" s="317">
        <f t="shared" si="255"/>
        <v>0.51</v>
      </c>
      <c r="W71" s="319"/>
      <c r="X71" s="321">
        <f>(X65-X67-X69)/X65</f>
        <v>0.51</v>
      </c>
      <c r="Y71" s="317">
        <f>(Y65-Y67-Y69)/Y65</f>
        <v>0.51</v>
      </c>
      <c r="Z71" s="317">
        <f t="shared" ref="Z71:AA71" si="256">(Z65-Z67-Z69)/Z65</f>
        <v>0.51</v>
      </c>
      <c r="AA71" s="317">
        <f t="shared" si="256"/>
        <v>0.51</v>
      </c>
      <c r="AB71" s="319"/>
      <c r="AC71" s="321">
        <f>(AC65-AC67-AC69)/AC65</f>
        <v>0.51</v>
      </c>
      <c r="AD71" s="317">
        <f>(AD65-AD67-AD69)/AD65</f>
        <v>0.51</v>
      </c>
      <c r="AE71" s="317">
        <f t="shared" ref="AE71:AF71" si="257">(AE65-AE67-AE69)/AE65</f>
        <v>0.51</v>
      </c>
      <c r="AF71" s="317">
        <f t="shared" si="257"/>
        <v>0.51</v>
      </c>
      <c r="AG71" s="319"/>
      <c r="AH71" s="321">
        <f>(AH65-AH67-AH69)/AH65</f>
        <v>0.51</v>
      </c>
      <c r="AI71" s="317">
        <f>(AI65-AI67-AI69)/AI65</f>
        <v>0.51</v>
      </c>
      <c r="AJ71" s="317">
        <f t="shared" ref="AJ71:AK71" si="258">(AJ65-AJ67-AJ69)/AJ65</f>
        <v>0.51</v>
      </c>
      <c r="AK71" s="317">
        <f t="shared" si="258"/>
        <v>0.51</v>
      </c>
      <c r="AL71" s="319"/>
      <c r="AM71" s="321">
        <f>(AM65-AM67-AM69)/AM65</f>
        <v>0.51</v>
      </c>
      <c r="AN71" s="317">
        <f>(AN65-AN67-AN69)/AN65</f>
        <v>0.51</v>
      </c>
      <c r="AO71" s="317">
        <f t="shared" ref="AO71:AP71" si="259">(AO65-AO67-AO69)/AO65</f>
        <v>0.51</v>
      </c>
      <c r="AP71" s="317">
        <f t="shared" si="259"/>
        <v>0.51000000000000012</v>
      </c>
      <c r="AQ71" s="319"/>
    </row>
    <row r="72" spans="2:43" s="47" customFormat="1" x14ac:dyDescent="0.3">
      <c r="B72" s="293" t="s">
        <v>110</v>
      </c>
      <c r="C72" s="294"/>
      <c r="D72" s="134"/>
      <c r="E72" s="134"/>
      <c r="F72" s="134"/>
      <c r="G72" s="134"/>
      <c r="H72" s="165"/>
      <c r="I72" s="134"/>
      <c r="J72" s="134"/>
      <c r="K72" s="134"/>
      <c r="L72" s="134"/>
      <c r="M72" s="162"/>
      <c r="N72" s="96"/>
      <c r="O72" s="134"/>
      <c r="P72" s="134"/>
      <c r="Q72" s="134"/>
      <c r="R72" s="162"/>
      <c r="S72" s="96"/>
      <c r="T72" s="134"/>
      <c r="U72" s="134"/>
      <c r="V72" s="134"/>
      <c r="W72" s="162"/>
      <c r="X72" s="96"/>
      <c r="Y72" s="134"/>
      <c r="Z72" s="134"/>
      <c r="AA72" s="134"/>
      <c r="AB72" s="162"/>
      <c r="AC72" s="96"/>
      <c r="AD72" s="134"/>
      <c r="AE72" s="134"/>
      <c r="AF72" s="134"/>
      <c r="AG72" s="162"/>
      <c r="AH72" s="96"/>
      <c r="AI72" s="134"/>
      <c r="AJ72" s="134"/>
      <c r="AK72" s="134"/>
      <c r="AL72" s="162"/>
      <c r="AM72" s="96"/>
      <c r="AN72" s="134"/>
      <c r="AO72" s="134"/>
      <c r="AP72" s="134"/>
      <c r="AQ72" s="162"/>
    </row>
    <row r="73" spans="2:43" s="98" customFormat="1" outlineLevel="1" x14ac:dyDescent="0.3">
      <c r="B73" s="341" t="s">
        <v>155</v>
      </c>
      <c r="C73" s="342"/>
      <c r="D73" s="134">
        <f t="shared" ref="D73:AQ73" si="260">D13/D11</f>
        <v>0.31564953322168754</v>
      </c>
      <c r="E73" s="134">
        <f t="shared" si="260"/>
        <v>0.31748491316443439</v>
      </c>
      <c r="F73" s="134">
        <f t="shared" si="260"/>
        <v>0.32285204252493205</v>
      </c>
      <c r="G73" s="134">
        <f t="shared" si="260"/>
        <v>0.3168230140470174</v>
      </c>
      <c r="H73" s="97">
        <f t="shared" si="260"/>
        <v>0.31825712633087339</v>
      </c>
      <c r="I73" s="134">
        <f t="shared" si="260"/>
        <v>0.33482823086981417</v>
      </c>
      <c r="J73" s="134">
        <f t="shared" si="260"/>
        <v>0.31795701814440863</v>
      </c>
      <c r="K73" s="134">
        <f t="shared" si="260"/>
        <v>0.32467303859108176</v>
      </c>
      <c r="L73" s="134">
        <f t="shared" si="260"/>
        <v>0.31479055115000937</v>
      </c>
      <c r="M73" s="97">
        <f t="shared" si="260"/>
        <v>0.32274230398033127</v>
      </c>
      <c r="N73" s="134">
        <f t="shared" si="260"/>
        <v>0.3004470469971437</v>
      </c>
      <c r="O73" s="134">
        <f t="shared" si="260"/>
        <v>0.3002587872719224</v>
      </c>
      <c r="P73" s="134">
        <f t="shared" si="260"/>
        <v>0.33069075551876093</v>
      </c>
      <c r="Q73" s="134">
        <f t="shared" si="260"/>
        <v>0.32279959514170031</v>
      </c>
      <c r="R73" s="97">
        <f t="shared" si="260"/>
        <v>0.31450988810317609</v>
      </c>
      <c r="S73" s="134">
        <f t="shared" si="260"/>
        <v>0.32482970141452866</v>
      </c>
      <c r="T73" s="134">
        <f t="shared" si="260"/>
        <v>0.32743819795026641</v>
      </c>
      <c r="U73" s="134">
        <f t="shared" si="260"/>
        <v>0.33306900433600412</v>
      </c>
      <c r="V73" s="134">
        <f t="shared" si="260"/>
        <v>0.32660062570640036</v>
      </c>
      <c r="W73" s="97">
        <f t="shared" si="260"/>
        <v>0.32806400543109149</v>
      </c>
      <c r="X73" s="134">
        <f t="shared" si="260"/>
        <v>0.31434180935023781</v>
      </c>
      <c r="Y73" s="134">
        <f t="shared" si="260"/>
        <v>0.3020651889446932</v>
      </c>
      <c r="Z73" s="134">
        <f t="shared" si="260"/>
        <v>0.29144471220987139</v>
      </c>
      <c r="AA73" s="134">
        <f t="shared" si="260"/>
        <v>0.27936384950957355</v>
      </c>
      <c r="AB73" s="97">
        <f t="shared" si="260"/>
        <v>0.29476320746107348</v>
      </c>
      <c r="AC73" s="134">
        <f t="shared" si="260"/>
        <v>0.28120196638372602</v>
      </c>
      <c r="AD73" s="134">
        <f t="shared" si="260"/>
        <v>0.28080036988695367</v>
      </c>
      <c r="AE73" s="134">
        <f t="shared" si="260"/>
        <v>0.28253022209545392</v>
      </c>
      <c r="AF73" s="134">
        <f t="shared" si="260"/>
        <v>0.28484130732997781</v>
      </c>
      <c r="AG73" s="97">
        <f t="shared" si="260"/>
        <v>0.2825992938352419</v>
      </c>
      <c r="AH73" s="134">
        <f t="shared" si="260"/>
        <v>0.32129152314582837</v>
      </c>
      <c r="AI73" s="134">
        <f t="shared" si="260"/>
        <v>0.33540688345118796</v>
      </c>
      <c r="AJ73" s="134">
        <f t="shared" si="260"/>
        <v>0.33332847252172326</v>
      </c>
      <c r="AK73" s="134">
        <f t="shared" si="260"/>
        <v>0.38528675628900438</v>
      </c>
      <c r="AL73" s="97">
        <f t="shared" si="260"/>
        <v>0.34818215637500599</v>
      </c>
      <c r="AM73" s="134">
        <f t="shared" si="260"/>
        <v>0.40339275102311906</v>
      </c>
      <c r="AN73" s="134">
        <f t="shared" si="260"/>
        <v>0.42148484954734278</v>
      </c>
      <c r="AO73" s="134">
        <f t="shared" si="260"/>
        <v>0.43124500055892334</v>
      </c>
      <c r="AP73" s="134">
        <f t="shared" si="260"/>
        <v>0.43104438640982173</v>
      </c>
      <c r="AQ73" s="97">
        <f t="shared" si="260"/>
        <v>0.42427551480611631</v>
      </c>
    </row>
    <row r="74" spans="2:43" s="98" customFormat="1" outlineLevel="1" x14ac:dyDescent="0.3">
      <c r="B74" s="341" t="s">
        <v>256</v>
      </c>
      <c r="C74" s="342"/>
      <c r="D74" s="134">
        <f t="shared" ref="D74:AQ74" si="261">D18/D11</f>
        <v>7.6841071767411506E-2</v>
      </c>
      <c r="E74" s="134">
        <f t="shared" si="261"/>
        <v>9.6687051022562531E-2</v>
      </c>
      <c r="F74" s="134">
        <f t="shared" si="261"/>
        <v>7.8334392861805352E-2</v>
      </c>
      <c r="G74" s="134">
        <f t="shared" si="261"/>
        <v>4.3810044668114327E-2</v>
      </c>
      <c r="H74" s="97">
        <f t="shared" si="261"/>
        <v>7.3146805177289942E-2</v>
      </c>
      <c r="I74" s="134">
        <f t="shared" si="261"/>
        <v>6.1950418560715488E-2</v>
      </c>
      <c r="J74" s="134">
        <f t="shared" si="261"/>
        <v>4.5500865206536886E-2</v>
      </c>
      <c r="K74" s="134">
        <f t="shared" si="261"/>
        <v>4.2362463363352081E-2</v>
      </c>
      <c r="L74" s="134">
        <f t="shared" si="261"/>
        <v>3.2848634890061228E-2</v>
      </c>
      <c r="M74" s="97">
        <f t="shared" si="261"/>
        <v>4.5110333178897351E-2</v>
      </c>
      <c r="N74" s="134">
        <f t="shared" si="261"/>
        <v>2.5260300673839622E-2</v>
      </c>
      <c r="O74" s="134">
        <f t="shared" si="261"/>
        <v>3.3426689289969155E-2</v>
      </c>
      <c r="P74" s="134">
        <f t="shared" si="261"/>
        <v>4.6300129072373124E-2</v>
      </c>
      <c r="Q74" s="233">
        <f t="shared" si="261"/>
        <v>5.0607287449392482E-2</v>
      </c>
      <c r="R74" s="97">
        <f t="shared" si="261"/>
        <v>3.976582908011761E-2</v>
      </c>
      <c r="S74" s="134">
        <f t="shared" si="261"/>
        <v>5.3987300307776834E-2</v>
      </c>
      <c r="T74" s="134">
        <f t="shared" si="261"/>
        <v>6.0158448524306199E-2</v>
      </c>
      <c r="U74" s="134">
        <f t="shared" si="261"/>
        <v>6.6374026370096456E-2</v>
      </c>
      <c r="V74" s="134">
        <f t="shared" si="261"/>
        <v>5.9847886263987612E-2</v>
      </c>
      <c r="W74" s="97">
        <f t="shared" si="261"/>
        <v>6.0286498481135167E-2</v>
      </c>
      <c r="X74" s="134">
        <f t="shared" si="261"/>
        <v>4.5755637995005836E-2</v>
      </c>
      <c r="Y74" s="134">
        <f t="shared" si="261"/>
        <v>3.0205042771186564E-2</v>
      </c>
      <c r="Z74" s="134">
        <f t="shared" si="261"/>
        <v>4.0683499183986165E-2</v>
      </c>
      <c r="AA74" s="134">
        <f t="shared" si="261"/>
        <v>2.8780857752261652E-2</v>
      </c>
      <c r="AB74" s="97">
        <f t="shared" si="261"/>
        <v>3.5620627066121228E-2</v>
      </c>
      <c r="AC74" s="134">
        <f t="shared" si="261"/>
        <v>5.6461805441551084E-2</v>
      </c>
      <c r="AD74" s="134">
        <f t="shared" si="261"/>
        <v>5.5788763468187556E-2</v>
      </c>
      <c r="AE74" s="134">
        <f t="shared" si="261"/>
        <v>5.731395020629193E-2</v>
      </c>
      <c r="AF74" s="134">
        <f t="shared" si="261"/>
        <v>5.9428537034518003E-2</v>
      </c>
      <c r="AG74" s="97">
        <f t="shared" si="261"/>
        <v>5.7460690821630696E-2</v>
      </c>
      <c r="AH74" s="134">
        <f t="shared" si="261"/>
        <v>9.5685948920692571E-2</v>
      </c>
      <c r="AI74" s="134">
        <f t="shared" si="261"/>
        <v>0.10965666205904051</v>
      </c>
      <c r="AJ74" s="134">
        <f t="shared" si="261"/>
        <v>0.10747209332750622</v>
      </c>
      <c r="AK74" s="134">
        <f t="shared" si="261"/>
        <v>0.15933115820499369</v>
      </c>
      <c r="AL74" s="97">
        <f t="shared" si="261"/>
        <v>0.12236500371583595</v>
      </c>
      <c r="AM74" s="134">
        <f t="shared" si="261"/>
        <v>0.22899400180496129</v>
      </c>
      <c r="AN74" s="134">
        <f t="shared" si="261"/>
        <v>0.24821328572524198</v>
      </c>
      <c r="AO74" s="134">
        <f t="shared" si="261"/>
        <v>0.27503911466237974</v>
      </c>
      <c r="AP74" s="134">
        <f t="shared" si="261"/>
        <v>0.27482941039351827</v>
      </c>
      <c r="AQ74" s="97">
        <f t="shared" si="261"/>
        <v>0.26123138031605464</v>
      </c>
    </row>
    <row r="75" spans="2:43" s="98" customFormat="1" outlineLevel="1" x14ac:dyDescent="0.3">
      <c r="B75" s="341" t="s">
        <v>201</v>
      </c>
      <c r="C75" s="342"/>
      <c r="D75" s="134">
        <f t="shared" ref="D75:AQ75" si="262">D20/D11</f>
        <v>9.8446644290281965E-2</v>
      </c>
      <c r="E75" s="134">
        <f t="shared" si="262"/>
        <v>0.11853489276018402</v>
      </c>
      <c r="F75" s="134">
        <f t="shared" si="262"/>
        <v>9.9533003365894934E-2</v>
      </c>
      <c r="G75" s="134">
        <f t="shared" si="262"/>
        <v>6.4184820384609195E-2</v>
      </c>
      <c r="H75" s="97">
        <f t="shared" si="262"/>
        <v>9.4375198014190198E-2</v>
      </c>
      <c r="I75" s="134">
        <f t="shared" si="262"/>
        <v>7.9393997567904342E-2</v>
      </c>
      <c r="J75" s="134">
        <f t="shared" si="262"/>
        <v>6.2884038003421905E-2</v>
      </c>
      <c r="K75" s="134">
        <f t="shared" si="262"/>
        <v>6.1250435037722394E-2</v>
      </c>
      <c r="L75" s="134">
        <f t="shared" si="262"/>
        <v>5.2515914536730261E-2</v>
      </c>
      <c r="M75" s="97">
        <f t="shared" si="262"/>
        <v>6.3507677766139706E-2</v>
      </c>
      <c r="N75" s="134">
        <f t="shared" si="262"/>
        <v>4.6929208023962415E-2</v>
      </c>
      <c r="O75" s="134">
        <f t="shared" si="262"/>
        <v>5.4380478091434474E-2</v>
      </c>
      <c r="P75" s="134">
        <f t="shared" si="262"/>
        <v>6.5292019694453057E-2</v>
      </c>
      <c r="Q75" s="134">
        <f t="shared" si="262"/>
        <v>6.9607287449392485E-2</v>
      </c>
      <c r="R75" s="97">
        <f t="shared" si="262"/>
        <v>5.9822094839834576E-2</v>
      </c>
      <c r="S75" s="134">
        <f t="shared" si="262"/>
        <v>7.3987300307776824E-2</v>
      </c>
      <c r="T75" s="134">
        <f t="shared" si="262"/>
        <v>8.0158448524306203E-2</v>
      </c>
      <c r="U75" s="134">
        <f t="shared" si="262"/>
        <v>8.637402637009646E-2</v>
      </c>
      <c r="V75" s="134">
        <f t="shared" si="262"/>
        <v>7.9847886263987602E-2</v>
      </c>
      <c r="W75" s="97">
        <f t="shared" si="262"/>
        <v>8.0286498481135171E-2</v>
      </c>
      <c r="X75" s="134">
        <f t="shared" si="262"/>
        <v>6.5755637995005833E-2</v>
      </c>
      <c r="Y75" s="134">
        <f t="shared" si="262"/>
        <v>5.0205042771186564E-2</v>
      </c>
      <c r="Z75" s="134">
        <f t="shared" si="262"/>
        <v>6.0683499183986161E-2</v>
      </c>
      <c r="AA75" s="134">
        <f t="shared" si="262"/>
        <v>4.8780857752261653E-2</v>
      </c>
      <c r="AB75" s="97">
        <f t="shared" si="262"/>
        <v>5.5620627066121225E-2</v>
      </c>
      <c r="AC75" s="134">
        <f t="shared" si="262"/>
        <v>7.6461805441551095E-2</v>
      </c>
      <c r="AD75" s="134">
        <f t="shared" si="262"/>
        <v>7.5788763468187553E-2</v>
      </c>
      <c r="AE75" s="134">
        <f t="shared" si="262"/>
        <v>7.7313950206291934E-2</v>
      </c>
      <c r="AF75" s="134">
        <f t="shared" si="262"/>
        <v>7.9428537034518007E-2</v>
      </c>
      <c r="AG75" s="97">
        <f t="shared" si="262"/>
        <v>7.7460690821630707E-2</v>
      </c>
      <c r="AH75" s="134">
        <f t="shared" si="262"/>
        <v>0.11568594892069257</v>
      </c>
      <c r="AI75" s="134">
        <f t="shared" si="262"/>
        <v>0.1296566620590405</v>
      </c>
      <c r="AJ75" s="134">
        <f t="shared" si="262"/>
        <v>0.1274720933275062</v>
      </c>
      <c r="AK75" s="134">
        <f t="shared" si="262"/>
        <v>0.17933115820499368</v>
      </c>
      <c r="AL75" s="97">
        <f t="shared" si="262"/>
        <v>0.14236500371583594</v>
      </c>
      <c r="AM75" s="134">
        <f t="shared" si="262"/>
        <v>0.24899400180496128</v>
      </c>
      <c r="AN75" s="134">
        <f t="shared" si="262"/>
        <v>0.268213285725242</v>
      </c>
      <c r="AO75" s="134">
        <f t="shared" si="262"/>
        <v>0.29503911466237975</v>
      </c>
      <c r="AP75" s="134">
        <f t="shared" si="262"/>
        <v>0.29482941039351829</v>
      </c>
      <c r="AQ75" s="97">
        <f t="shared" si="262"/>
        <v>0.28123138031605466</v>
      </c>
    </row>
    <row r="76" spans="2:43" s="98" customFormat="1" outlineLevel="1" x14ac:dyDescent="0.3">
      <c r="B76" s="347" t="s">
        <v>156</v>
      </c>
      <c r="C76" s="348"/>
      <c r="D76" s="134">
        <f t="shared" ref="D76:L76" si="263">D15/D11</f>
        <v>8.6852181225095249E-2</v>
      </c>
      <c r="E76" s="134">
        <f t="shared" si="263"/>
        <v>8.5930616596302467E-2</v>
      </c>
      <c r="F76" s="134">
        <f t="shared" si="263"/>
        <v>8.5816839691450181E-2</v>
      </c>
      <c r="G76" s="134">
        <f t="shared" si="263"/>
        <v>8.4780511986033799E-2</v>
      </c>
      <c r="H76" s="97">
        <f t="shared" si="263"/>
        <v>8.5803908545783791E-2</v>
      </c>
      <c r="I76" s="134">
        <f t="shared" si="263"/>
        <v>9.0969017798286089E-2</v>
      </c>
      <c r="J76" s="134">
        <f t="shared" si="263"/>
        <v>9.4279543793556742E-2</v>
      </c>
      <c r="K76" s="134">
        <f t="shared" si="263"/>
        <v>9.8807205662824915E-2</v>
      </c>
      <c r="L76" s="134">
        <f t="shared" si="263"/>
        <v>9.9191425811960846E-2</v>
      </c>
      <c r="M76" s="97"/>
      <c r="N76" s="134">
        <f>N15/N11</f>
        <v>0.10395068589431875</v>
      </c>
      <c r="O76" s="134">
        <f>O15/O11</f>
        <v>9.8470267014503107E-2</v>
      </c>
      <c r="P76" s="134">
        <f>P15/P11</f>
        <v>9.4358629073246381E-2</v>
      </c>
      <c r="Q76" s="100">
        <v>8.8821862348178293E-2</v>
      </c>
      <c r="R76" s="97"/>
      <c r="S76" s="100">
        <v>0.09</v>
      </c>
      <c r="T76" s="100">
        <v>0.09</v>
      </c>
      <c r="U76" s="100">
        <v>0.09</v>
      </c>
      <c r="V76" s="100">
        <v>0.09</v>
      </c>
      <c r="W76" s="97"/>
      <c r="X76" s="100">
        <v>0.09</v>
      </c>
      <c r="Y76" s="100">
        <v>0.09</v>
      </c>
      <c r="Z76" s="100">
        <v>0.09</v>
      </c>
      <c r="AA76" s="100">
        <v>0.09</v>
      </c>
      <c r="AB76" s="97"/>
      <c r="AC76" s="100">
        <v>0.09</v>
      </c>
      <c r="AD76" s="100">
        <v>0.09</v>
      </c>
      <c r="AE76" s="100">
        <v>0.09</v>
      </c>
      <c r="AF76" s="100">
        <v>0.09</v>
      </c>
      <c r="AG76" s="97"/>
      <c r="AH76" s="100">
        <v>0.09</v>
      </c>
      <c r="AI76" s="100">
        <v>0.09</v>
      </c>
      <c r="AJ76" s="100">
        <v>0.09</v>
      </c>
      <c r="AK76" s="100">
        <v>0.09</v>
      </c>
      <c r="AL76" s="97"/>
      <c r="AM76" s="100">
        <v>0.08</v>
      </c>
      <c r="AN76" s="100">
        <v>0.08</v>
      </c>
      <c r="AO76" s="100">
        <v>7.0000000000000007E-2</v>
      </c>
      <c r="AP76" s="100">
        <v>7.0000000000000007E-2</v>
      </c>
      <c r="AQ76" s="97"/>
    </row>
    <row r="77" spans="2:43" s="98" customFormat="1" outlineLevel="1" x14ac:dyDescent="0.3">
      <c r="B77" s="347" t="s">
        <v>157</v>
      </c>
      <c r="C77" s="348"/>
      <c r="D77" s="134">
        <f t="shared" ref="D77:L77" si="264">D16/D11</f>
        <v>4.4012663679474429E-2</v>
      </c>
      <c r="E77" s="134">
        <f t="shared" si="264"/>
        <v>4.4772968210401769E-2</v>
      </c>
      <c r="F77" s="134">
        <f t="shared" si="264"/>
        <v>5.5358470646331287E-2</v>
      </c>
      <c r="G77" s="134">
        <f t="shared" si="264"/>
        <v>5.1055142760155395E-2</v>
      </c>
      <c r="H77" s="97">
        <f t="shared" si="264"/>
        <v>4.9002335477457623E-2</v>
      </c>
      <c r="I77" s="134">
        <f t="shared" si="264"/>
        <v>5.8157341197066489E-2</v>
      </c>
      <c r="J77" s="134">
        <f t="shared" si="264"/>
        <v>5.831236692053355E-2</v>
      </c>
      <c r="K77" s="134">
        <f t="shared" si="264"/>
        <v>6.3791342965044531E-2</v>
      </c>
      <c r="L77" s="134">
        <f t="shared" si="264"/>
        <v>5.9803667240158544E-2</v>
      </c>
      <c r="M77" s="97"/>
      <c r="N77" s="134">
        <f>N16/N11</f>
        <v>6.4985779492229792E-2</v>
      </c>
      <c r="O77" s="134">
        <f>O16/O11</f>
        <v>6.5745172439345551E-2</v>
      </c>
      <c r="P77" s="134">
        <f>P16/P11</f>
        <v>6.6879225635624664E-2</v>
      </c>
      <c r="Q77" s="100">
        <v>6.5000000000000002E-2</v>
      </c>
      <c r="R77" s="97"/>
      <c r="S77" s="100">
        <v>6.5000000000000002E-2</v>
      </c>
      <c r="T77" s="100">
        <v>6.5000000000000002E-2</v>
      </c>
      <c r="U77" s="100">
        <v>6.5000000000000002E-2</v>
      </c>
      <c r="V77" s="100">
        <v>6.5000000000000002E-2</v>
      </c>
      <c r="W77" s="97"/>
      <c r="X77" s="100">
        <v>6.5000000000000002E-2</v>
      </c>
      <c r="Y77" s="100">
        <v>6.5000000000000002E-2</v>
      </c>
      <c r="Z77" s="100">
        <v>6.5000000000000002E-2</v>
      </c>
      <c r="AA77" s="100">
        <v>6.5000000000000002E-2</v>
      </c>
      <c r="AB77" s="97"/>
      <c r="AC77" s="100">
        <v>6.5000000000000002E-2</v>
      </c>
      <c r="AD77" s="100">
        <v>6.5000000000000002E-2</v>
      </c>
      <c r="AE77" s="100">
        <v>6.5000000000000002E-2</v>
      </c>
      <c r="AF77" s="100">
        <v>6.5000000000000002E-2</v>
      </c>
      <c r="AG77" s="97"/>
      <c r="AH77" s="100">
        <v>6.5000000000000002E-2</v>
      </c>
      <c r="AI77" s="100">
        <v>6.5000000000000002E-2</v>
      </c>
      <c r="AJ77" s="100">
        <v>6.5000000000000002E-2</v>
      </c>
      <c r="AK77" s="100">
        <v>6.5000000000000002E-2</v>
      </c>
      <c r="AL77" s="97"/>
      <c r="AM77" s="100">
        <v>0.06</v>
      </c>
      <c r="AN77" s="100">
        <v>0.06</v>
      </c>
      <c r="AO77" s="100">
        <v>5.5E-2</v>
      </c>
      <c r="AP77" s="100">
        <v>5.5E-2</v>
      </c>
      <c r="AQ77" s="97"/>
    </row>
    <row r="78" spans="2:43" s="98" customFormat="1" outlineLevel="1" x14ac:dyDescent="0.3">
      <c r="B78" s="347" t="s">
        <v>158</v>
      </c>
      <c r="C78" s="348"/>
      <c r="D78" s="134"/>
      <c r="E78" s="134"/>
      <c r="F78" s="134">
        <f>F21/((F117+E117)/2)</f>
        <v>-1.4984444444444444E-2</v>
      </c>
      <c r="G78" s="134">
        <f>G21/((G117+F117)/2)</f>
        <v>-1.4836666666666666E-2</v>
      </c>
      <c r="H78" s="97"/>
      <c r="I78" s="134">
        <f>I21/((I117+H117)/2)</f>
        <v>-1.6204242424242423E-2</v>
      </c>
      <c r="J78" s="134">
        <f>J21/((J117+I117)/2)</f>
        <v>-1.4673749999999999E-2</v>
      </c>
      <c r="K78" s="134">
        <f>K21/((K117+J117)/2)</f>
        <v>-1.4722083333333332E-2</v>
      </c>
      <c r="L78" s="134">
        <f>L21/((L117+K117)/2)</f>
        <v>-1.485068624011341E-2</v>
      </c>
      <c r="M78" s="97"/>
      <c r="N78" s="134">
        <f>N21/((N117+M117)/2)</f>
        <v>-1.4983198343866869E-2</v>
      </c>
      <c r="O78" s="134">
        <f>O21/((O117+N117)/2)</f>
        <v>-1.4943197515522191E-2</v>
      </c>
      <c r="P78" s="134">
        <f>P21/((P117+O117)/2)</f>
        <v>-1.4971821452939944E-2</v>
      </c>
      <c r="Q78" s="100">
        <v>-1.4999999999999999E-2</v>
      </c>
      <c r="R78" s="97"/>
      <c r="S78" s="100">
        <v>-1.4999999999999999E-2</v>
      </c>
      <c r="T78" s="100">
        <v>-1.4999999999999999E-2</v>
      </c>
      <c r="U78" s="100">
        <v>-1.4999999999999999E-2</v>
      </c>
      <c r="V78" s="100">
        <v>-1.4999999999999999E-2</v>
      </c>
      <c r="W78" s="97"/>
      <c r="X78" s="100">
        <v>-1.4999999999999999E-2</v>
      </c>
      <c r="Y78" s="100">
        <v>-1.4999999999999999E-2</v>
      </c>
      <c r="Z78" s="100">
        <v>-1.4999999999999999E-2</v>
      </c>
      <c r="AA78" s="100">
        <v>-1.4999999999999999E-2</v>
      </c>
      <c r="AB78" s="97"/>
      <c r="AC78" s="100">
        <v>-1.4999999999999999E-2</v>
      </c>
      <c r="AD78" s="100">
        <v>-1.4999999999999999E-2</v>
      </c>
      <c r="AE78" s="100">
        <v>-1.4999999999999999E-2</v>
      </c>
      <c r="AF78" s="100">
        <v>-1.4999999999999999E-2</v>
      </c>
      <c r="AG78" s="97"/>
      <c r="AH78" s="100">
        <v>-1.4999999999999999E-2</v>
      </c>
      <c r="AI78" s="100">
        <v>-1.4999999999999999E-2</v>
      </c>
      <c r="AJ78" s="100">
        <v>-1.4999999999999999E-2</v>
      </c>
      <c r="AK78" s="100">
        <v>-1.4999999999999999E-2</v>
      </c>
      <c r="AL78" s="97"/>
      <c r="AM78" s="100">
        <v>-1.4999999999999999E-2</v>
      </c>
      <c r="AN78" s="100">
        <v>-1.4999999999999999E-2</v>
      </c>
      <c r="AO78" s="100">
        <v>-1.4999999999999999E-2</v>
      </c>
      <c r="AP78" s="100">
        <v>-1.4999999999999999E-2</v>
      </c>
      <c r="AQ78" s="97"/>
    </row>
    <row r="79" spans="2:43" s="98" customFormat="1" outlineLevel="1" x14ac:dyDescent="0.3">
      <c r="B79" s="347" t="s">
        <v>109</v>
      </c>
      <c r="C79" s="348"/>
      <c r="D79" s="134">
        <f>D22/D11</f>
        <v>1.1030723043818189E-3</v>
      </c>
      <c r="E79" s="134">
        <f>E22/E11</f>
        <v>8.2064626639520696E-4</v>
      </c>
      <c r="F79" s="134">
        <f>F22/F11</f>
        <v>4.370554946957356E-4</v>
      </c>
      <c r="G79" s="134">
        <f>G22/G11</f>
        <v>-4.1603579914974318E-3</v>
      </c>
      <c r="H79" s="97"/>
      <c r="I79" s="134">
        <f>I22/I11</f>
        <v>-2.0527877879055054E-2</v>
      </c>
      <c r="J79" s="134">
        <f>J22/J11</f>
        <v>5.3018981038418091E-4</v>
      </c>
      <c r="K79" s="134">
        <f>K22/K11</f>
        <v>2.2607580154801522E-3</v>
      </c>
      <c r="L79" s="134">
        <f>L22/L11</f>
        <v>-2.0478979977875682E-3</v>
      </c>
      <c r="M79" s="97"/>
      <c r="N79" s="134">
        <f>N22/N11</f>
        <v>1.3261747242733444E-2</v>
      </c>
      <c r="O79" s="134">
        <f>O22/O11</f>
        <v>7.7507927972776027E-3</v>
      </c>
      <c r="P79" s="134">
        <f>P22/P11</f>
        <v>3.7669396573556408E-3</v>
      </c>
      <c r="Q79" s="100">
        <v>-1.3103902211146939E-3</v>
      </c>
      <c r="R79" s="97"/>
      <c r="S79" s="100">
        <v>5.0000000000000001E-3</v>
      </c>
      <c r="T79" s="100">
        <v>5.0000000000000001E-3</v>
      </c>
      <c r="U79" s="100">
        <v>5.0000000000000001E-3</v>
      </c>
      <c r="V79" s="100">
        <v>5.0000000000000001E-3</v>
      </c>
      <c r="W79" s="97"/>
      <c r="X79" s="100">
        <v>5.0000000000000001E-3</v>
      </c>
      <c r="Y79" s="100">
        <v>5.0000000000000001E-3</v>
      </c>
      <c r="Z79" s="100">
        <v>5.0000000000000001E-3</v>
      </c>
      <c r="AA79" s="100">
        <v>5.0000000000000001E-3</v>
      </c>
      <c r="AB79" s="97"/>
      <c r="AC79" s="100">
        <v>5.0000000000000001E-3</v>
      </c>
      <c r="AD79" s="100">
        <v>5.0000000000000001E-3</v>
      </c>
      <c r="AE79" s="100">
        <v>5.0000000000000001E-3</v>
      </c>
      <c r="AF79" s="100">
        <v>5.0000000000000001E-3</v>
      </c>
      <c r="AG79" s="97"/>
      <c r="AH79" s="100">
        <v>5.0000000000000001E-3</v>
      </c>
      <c r="AI79" s="100">
        <v>5.0000000000000001E-3</v>
      </c>
      <c r="AJ79" s="100">
        <v>5.0000000000000001E-3</v>
      </c>
      <c r="AK79" s="100">
        <v>5.0000000000000001E-3</v>
      </c>
      <c r="AL79" s="97"/>
      <c r="AM79" s="100">
        <v>5.0000000000000001E-3</v>
      </c>
      <c r="AN79" s="100">
        <v>5.0000000000000001E-3</v>
      </c>
      <c r="AO79" s="100">
        <v>5.0000000000000001E-3</v>
      </c>
      <c r="AP79" s="100">
        <v>5.0000000000000001E-3</v>
      </c>
      <c r="AQ79" s="97"/>
    </row>
    <row r="80" spans="2:43" s="98" customFormat="1" outlineLevel="1" x14ac:dyDescent="0.3">
      <c r="B80" s="315" t="s">
        <v>111</v>
      </c>
      <c r="C80" s="316"/>
      <c r="D80" s="317">
        <f t="shared" ref="D80:P80" si="265">D24/D23</f>
        <v>0.40282649757150607</v>
      </c>
      <c r="E80" s="317">
        <f t="shared" si="265"/>
        <v>0.39493235183859876</v>
      </c>
      <c r="F80" s="317">
        <f t="shared" si="265"/>
        <v>0.39207685288659672</v>
      </c>
      <c r="G80" s="317">
        <f t="shared" si="265"/>
        <v>-0.83168556112136294</v>
      </c>
      <c r="H80" s="322">
        <f t="shared" si="265"/>
        <v>0.23634037364505711</v>
      </c>
      <c r="I80" s="317">
        <f t="shared" si="265"/>
        <v>0.38333420080154268</v>
      </c>
      <c r="J80" s="317">
        <f t="shared" si="265"/>
        <v>0.34959249197332692</v>
      </c>
      <c r="K80" s="317">
        <f t="shared" si="265"/>
        <v>0.30318670391590574</v>
      </c>
      <c r="L80" s="317">
        <f t="shared" si="265"/>
        <v>-1.0827745887800877</v>
      </c>
      <c r="M80" s="322">
        <f t="shared" si="265"/>
        <v>0.13563096874229169</v>
      </c>
      <c r="N80" s="317">
        <f t="shared" si="265"/>
        <v>0.30645201735249061</v>
      </c>
      <c r="O80" s="317">
        <f t="shared" si="265"/>
        <v>0.20450109306683231</v>
      </c>
      <c r="P80" s="317">
        <f t="shared" si="265"/>
        <v>0.34893272839865003</v>
      </c>
      <c r="Q80" s="323">
        <v>0.35</v>
      </c>
      <c r="R80" s="322"/>
      <c r="S80" s="323">
        <v>0.3</v>
      </c>
      <c r="T80" s="323">
        <v>0.3</v>
      </c>
      <c r="U80" s="323">
        <v>0.3</v>
      </c>
      <c r="V80" s="323">
        <v>0.3</v>
      </c>
      <c r="W80" s="322"/>
      <c r="X80" s="323">
        <v>0.3</v>
      </c>
      <c r="Y80" s="323">
        <v>0.3</v>
      </c>
      <c r="Z80" s="323">
        <v>0.3</v>
      </c>
      <c r="AA80" s="323">
        <v>0.3</v>
      </c>
      <c r="AB80" s="322"/>
      <c r="AC80" s="323">
        <v>0.3</v>
      </c>
      <c r="AD80" s="323">
        <v>0.3</v>
      </c>
      <c r="AE80" s="323">
        <v>0.3</v>
      </c>
      <c r="AF80" s="323">
        <v>0.3</v>
      </c>
      <c r="AG80" s="322"/>
      <c r="AH80" s="323">
        <v>0.3</v>
      </c>
      <c r="AI80" s="323">
        <v>0.3</v>
      </c>
      <c r="AJ80" s="323">
        <v>0.3</v>
      </c>
      <c r="AK80" s="323">
        <v>0.3</v>
      </c>
      <c r="AL80" s="322"/>
      <c r="AM80" s="323">
        <v>0.3</v>
      </c>
      <c r="AN80" s="323">
        <v>0.3</v>
      </c>
      <c r="AO80" s="323">
        <v>0.3</v>
      </c>
      <c r="AP80" s="323">
        <v>0.3</v>
      </c>
      <c r="AQ80" s="322"/>
    </row>
    <row r="81" spans="2:43" s="98" customFormat="1" x14ac:dyDescent="0.3">
      <c r="B81" s="293" t="s">
        <v>251</v>
      </c>
      <c r="C81" s="292"/>
      <c r="D81" s="134"/>
      <c r="E81" s="134"/>
      <c r="F81" s="134"/>
      <c r="G81" s="134"/>
      <c r="H81" s="97"/>
      <c r="I81" s="134"/>
      <c r="J81" s="134"/>
      <c r="K81" s="134"/>
      <c r="L81" s="134"/>
      <c r="M81" s="97"/>
      <c r="N81" s="134"/>
      <c r="O81" s="134"/>
      <c r="P81" s="134"/>
      <c r="Q81" s="134"/>
      <c r="R81" s="97"/>
      <c r="S81" s="134"/>
      <c r="T81" s="134"/>
      <c r="U81" s="134"/>
      <c r="V81" s="134"/>
      <c r="W81" s="97"/>
      <c r="X81" s="134"/>
      <c r="Y81" s="134"/>
      <c r="Z81" s="134"/>
      <c r="AA81" s="134"/>
      <c r="AB81" s="97"/>
      <c r="AC81" s="134"/>
      <c r="AD81" s="134"/>
      <c r="AE81" s="134"/>
      <c r="AF81" s="134"/>
      <c r="AG81" s="97"/>
      <c r="AH81" s="134"/>
      <c r="AI81" s="134"/>
      <c r="AJ81" s="134"/>
      <c r="AK81" s="134"/>
      <c r="AL81" s="97"/>
      <c r="AM81" s="134"/>
      <c r="AN81" s="134"/>
      <c r="AO81" s="134"/>
      <c r="AP81" s="134"/>
      <c r="AQ81" s="97"/>
    </row>
    <row r="82" spans="2:43" s="286" customFormat="1" ht="15" customHeight="1" outlineLevel="1" x14ac:dyDescent="0.3">
      <c r="B82" s="282" t="s">
        <v>249</v>
      </c>
      <c r="C82" s="283"/>
      <c r="D82" s="284"/>
      <c r="E82" s="284">
        <f t="shared" ref="E82:G83" si="266">E29/D29-1</f>
        <v>3.0020276224753673E-3</v>
      </c>
      <c r="F82" s="284">
        <f t="shared" si="266"/>
        <v>2.9049417344884088E-3</v>
      </c>
      <c r="G82" s="284">
        <f t="shared" si="266"/>
        <v>2.4929130044588632E-3</v>
      </c>
      <c r="H82" s="285"/>
      <c r="I82" s="284">
        <f>I29/G29-1</f>
        <v>3.2682524796090462E-3</v>
      </c>
      <c r="J82" s="284">
        <f t="shared" ref="J82:L83" si="267">J29/I29-1</f>
        <v>4.0507619964873509E-3</v>
      </c>
      <c r="K82" s="284">
        <f t="shared" si="267"/>
        <v>3.5947712418302746E-3</v>
      </c>
      <c r="L82" s="284">
        <f t="shared" si="267"/>
        <v>1.8717686222236019E-3</v>
      </c>
      <c r="M82" s="285"/>
      <c r="N82" s="284">
        <f t="shared" ref="N82:P83" si="268">N29/L29-1</f>
        <v>1.0498798133131704E-3</v>
      </c>
      <c r="O82" s="284">
        <f t="shared" si="268"/>
        <v>6.1232720145159014E-3</v>
      </c>
      <c r="P82" s="284">
        <f t="shared" si="268"/>
        <v>1.9153642579015084E-3</v>
      </c>
      <c r="Q82" s="287">
        <v>2.5000000000000001E-3</v>
      </c>
      <c r="R82" s="285"/>
      <c r="S82" s="287">
        <v>2.5000000000000001E-3</v>
      </c>
      <c r="T82" s="287">
        <v>2.5000000000000001E-3</v>
      </c>
      <c r="U82" s="287">
        <v>2.5000000000000001E-3</v>
      </c>
      <c r="V82" s="287">
        <v>2.5000000000000001E-3</v>
      </c>
      <c r="W82" s="285"/>
      <c r="X82" s="287">
        <v>2.5000000000000001E-3</v>
      </c>
      <c r="Y82" s="287">
        <v>2.5000000000000001E-3</v>
      </c>
      <c r="Z82" s="287">
        <v>2.5000000000000001E-3</v>
      </c>
      <c r="AA82" s="287">
        <v>2.5000000000000001E-3</v>
      </c>
      <c r="AB82" s="285"/>
      <c r="AC82" s="287">
        <v>2.5000000000000001E-3</v>
      </c>
      <c r="AD82" s="287">
        <v>2.5000000000000001E-3</v>
      </c>
      <c r="AE82" s="287">
        <v>2.5000000000000001E-3</v>
      </c>
      <c r="AF82" s="287">
        <v>2.5000000000000001E-3</v>
      </c>
      <c r="AG82" s="285"/>
      <c r="AH82" s="287">
        <v>2.5000000000000001E-3</v>
      </c>
      <c r="AI82" s="287">
        <v>2.5000000000000001E-3</v>
      </c>
      <c r="AJ82" s="287">
        <v>2.5000000000000001E-3</v>
      </c>
      <c r="AK82" s="287">
        <v>2.5000000000000001E-3</v>
      </c>
      <c r="AL82" s="285"/>
      <c r="AM82" s="287">
        <v>2.5000000000000001E-3</v>
      </c>
      <c r="AN82" s="287">
        <v>2.5000000000000001E-3</v>
      </c>
      <c r="AO82" s="287">
        <v>2.5000000000000001E-3</v>
      </c>
      <c r="AP82" s="287">
        <v>2.5000000000000001E-3</v>
      </c>
      <c r="AQ82" s="285"/>
    </row>
    <row r="83" spans="2:43" s="286" customFormat="1" ht="15" customHeight="1" outlineLevel="1" x14ac:dyDescent="0.3">
      <c r="B83" s="324" t="s">
        <v>250</v>
      </c>
      <c r="C83" s="325"/>
      <c r="D83" s="326"/>
      <c r="E83" s="326">
        <f t="shared" si="266"/>
        <v>1.4065709610406874E-3</v>
      </c>
      <c r="F83" s="326">
        <f t="shared" si="266"/>
        <v>3.0154760442333561E-3</v>
      </c>
      <c r="G83" s="326">
        <f t="shared" si="266"/>
        <v>-5.2687282491648002E-4</v>
      </c>
      <c r="H83" s="327"/>
      <c r="I83" s="326">
        <f>I30/G30-1</f>
        <v>2.9941227335994469E-3</v>
      </c>
      <c r="J83" s="326">
        <f t="shared" si="267"/>
        <v>5.2742105396612615E-3</v>
      </c>
      <c r="K83" s="326">
        <f t="shared" si="267"/>
        <v>3.4602393504197249E-3</v>
      </c>
      <c r="L83" s="326">
        <f t="shared" si="267"/>
        <v>1.4876395661851394E-3</v>
      </c>
      <c r="M83" s="327"/>
      <c r="N83" s="326">
        <f t="shared" si="268"/>
        <v>-6.0238627106923293E-4</v>
      </c>
      <c r="O83" s="326">
        <f t="shared" si="268"/>
        <v>3.9220538341555589E-3</v>
      </c>
      <c r="P83" s="326">
        <f t="shared" si="268"/>
        <v>9.0412403851214407E-4</v>
      </c>
      <c r="Q83" s="328">
        <v>2.5000000000000001E-3</v>
      </c>
      <c r="R83" s="327"/>
      <c r="S83" s="328">
        <v>2.5000000000000001E-3</v>
      </c>
      <c r="T83" s="328">
        <v>2.5000000000000001E-3</v>
      </c>
      <c r="U83" s="328">
        <v>2.5000000000000001E-3</v>
      </c>
      <c r="V83" s="328">
        <v>2.5000000000000001E-3</v>
      </c>
      <c r="W83" s="327"/>
      <c r="X83" s="328">
        <v>2.5000000000000001E-3</v>
      </c>
      <c r="Y83" s="328">
        <v>2.5000000000000001E-3</v>
      </c>
      <c r="Z83" s="328">
        <v>2.5000000000000001E-3</v>
      </c>
      <c r="AA83" s="328">
        <v>2.5000000000000001E-3</v>
      </c>
      <c r="AB83" s="327"/>
      <c r="AC83" s="328">
        <v>2.5000000000000001E-3</v>
      </c>
      <c r="AD83" s="328">
        <v>2.5000000000000001E-3</v>
      </c>
      <c r="AE83" s="328">
        <v>2.5000000000000001E-3</v>
      </c>
      <c r="AF83" s="328">
        <v>2.5000000000000001E-3</v>
      </c>
      <c r="AG83" s="327"/>
      <c r="AH83" s="328">
        <v>2.5000000000000001E-3</v>
      </c>
      <c r="AI83" s="328">
        <v>2.5000000000000001E-3</v>
      </c>
      <c r="AJ83" s="328">
        <v>2.5000000000000001E-3</v>
      </c>
      <c r="AK83" s="328">
        <v>2.5000000000000001E-3</v>
      </c>
      <c r="AL83" s="327"/>
      <c r="AM83" s="328">
        <v>2.5000000000000001E-3</v>
      </c>
      <c r="AN83" s="328">
        <v>2.5000000000000001E-3</v>
      </c>
      <c r="AO83" s="328">
        <v>2.5000000000000001E-3</v>
      </c>
      <c r="AP83" s="328">
        <v>2.5000000000000001E-3</v>
      </c>
      <c r="AQ83" s="327"/>
    </row>
    <row r="84" spans="2:43" s="286" customFormat="1" ht="15" customHeight="1" x14ac:dyDescent="0.3">
      <c r="B84" s="329" t="s">
        <v>267</v>
      </c>
      <c r="C84" s="283"/>
      <c r="D84" s="284"/>
      <c r="E84" s="284"/>
      <c r="F84" s="284"/>
      <c r="G84" s="284"/>
      <c r="H84" s="285"/>
      <c r="I84" s="284"/>
      <c r="J84" s="284"/>
      <c r="K84" s="284"/>
      <c r="L84" s="284"/>
      <c r="M84" s="285"/>
      <c r="N84" s="284"/>
      <c r="O84" s="284"/>
      <c r="P84" s="284"/>
      <c r="Q84" s="284"/>
      <c r="R84" s="285"/>
      <c r="S84" s="284"/>
      <c r="T84" s="284"/>
      <c r="U84" s="284"/>
      <c r="V84" s="284"/>
      <c r="W84" s="285"/>
      <c r="X84" s="284"/>
      <c r="Y84" s="284"/>
      <c r="Z84" s="284"/>
      <c r="AA84" s="284"/>
      <c r="AB84" s="285"/>
      <c r="AC84" s="284"/>
      <c r="AD84" s="284"/>
      <c r="AE84" s="284"/>
      <c r="AF84" s="284"/>
      <c r="AG84" s="285"/>
      <c r="AH84" s="284"/>
      <c r="AI84" s="284"/>
      <c r="AJ84" s="284"/>
      <c r="AK84" s="284"/>
      <c r="AL84" s="285"/>
      <c r="AM84" s="284"/>
      <c r="AN84" s="284"/>
      <c r="AO84" s="284"/>
      <c r="AP84" s="284"/>
      <c r="AQ84" s="285"/>
    </row>
    <row r="85" spans="2:43" s="238" customFormat="1" ht="15" customHeight="1" outlineLevel="1" x14ac:dyDescent="0.3">
      <c r="B85" s="259" t="s">
        <v>218</v>
      </c>
      <c r="C85" s="262"/>
      <c r="D85" s="129">
        <f>D25</f>
        <v>53.114999999999917</v>
      </c>
      <c r="E85" s="129">
        <f>E25</f>
        <v>71.017999999999958</v>
      </c>
      <c r="F85" s="129">
        <f>F25</f>
        <v>59.295000000000037</v>
      </c>
      <c r="G85" s="129">
        <f>G25</f>
        <v>83.371000000000038</v>
      </c>
      <c r="H85" s="45">
        <f>SUM(D85:G85)</f>
        <v>266.79899999999998</v>
      </c>
      <c r="I85" s="129">
        <f>I25</f>
        <v>23.695999999999795</v>
      </c>
      <c r="J85" s="129">
        <f>J25</f>
        <v>26.33499999999998</v>
      </c>
      <c r="K85" s="129">
        <f>K25</f>
        <v>29.43199999999991</v>
      </c>
      <c r="L85" s="129">
        <f>L25</f>
        <v>43.177999999999997</v>
      </c>
      <c r="M85" s="45">
        <f t="shared" ref="M85:M90" si="269">SUM(I85:L85)</f>
        <v>122.64099999999968</v>
      </c>
      <c r="N85" s="129">
        <f>N25</f>
        <v>27.65800000000009</v>
      </c>
      <c r="O85" s="129">
        <f>O25</f>
        <v>40.755000000000237</v>
      </c>
      <c r="P85" s="129">
        <f>P25</f>
        <v>51.517000000000053</v>
      </c>
      <c r="Q85" s="129">
        <f>Q25</f>
        <v>56</v>
      </c>
      <c r="R85" s="45">
        <f t="shared" ref="R85:R90" si="270">SUM(N85:Q85)</f>
        <v>175.93000000000038</v>
      </c>
      <c r="S85" s="129">
        <f>S25</f>
        <v>78.463089937432102</v>
      </c>
      <c r="T85" s="129">
        <f>T25</f>
        <v>99.538861750855745</v>
      </c>
      <c r="U85" s="129">
        <f>U25</f>
        <v>118.65029070788611</v>
      </c>
      <c r="V85" s="129">
        <f>V25</f>
        <v>117.04556671470854</v>
      </c>
      <c r="W85" s="45">
        <f t="shared" ref="W85:W90" si="271">SUM(S85:V85)</f>
        <v>413.69780911088253</v>
      </c>
      <c r="X85" s="129">
        <f>X25</f>
        <v>101.82719701822646</v>
      </c>
      <c r="Y85" s="129">
        <f>Y25</f>
        <v>76.401648065233417</v>
      </c>
      <c r="Z85" s="129">
        <f>Z25</f>
        <v>124.13060673843319</v>
      </c>
      <c r="AA85" s="129">
        <f>AA25</f>
        <v>104.68200849851085</v>
      </c>
      <c r="AB85" s="45">
        <f t="shared" ref="AB85:AB90" si="272">SUM(X85:AA85)</f>
        <v>407.04146032040393</v>
      </c>
      <c r="AC85" s="129">
        <f>AC25</f>
        <v>264.46627608365395</v>
      </c>
      <c r="AD85" s="129">
        <f>AD25</f>
        <v>313.60604285657109</v>
      </c>
      <c r="AE85" s="129">
        <f>AE25</f>
        <v>375.70760918969387</v>
      </c>
      <c r="AF85" s="129">
        <f>AF25</f>
        <v>464.79648438806186</v>
      </c>
      <c r="AG85" s="45">
        <f t="shared" ref="AG85:AG90" si="273">SUM(AC85:AF85)</f>
        <v>1418.5764125179808</v>
      </c>
      <c r="AH85" s="129">
        <f>AH25</f>
        <v>917.96149453754526</v>
      </c>
      <c r="AI85" s="129">
        <f>AI25</f>
        <v>1273.8865732314512</v>
      </c>
      <c r="AJ85" s="129">
        <f>AJ25</f>
        <v>1472.3125919079614</v>
      </c>
      <c r="AK85" s="129">
        <f>AK25</f>
        <v>2607.0187124355189</v>
      </c>
      <c r="AL85" s="45">
        <f t="shared" ref="AL85:AL90" si="274">SUM(AH85:AK85)</f>
        <v>6271.1793721124768</v>
      </c>
      <c r="AM85" s="129">
        <f>AM25</f>
        <v>4827.1758545541979</v>
      </c>
      <c r="AN85" s="129">
        <f>AN25</f>
        <v>6636.5347928718638</v>
      </c>
      <c r="AO85" s="129">
        <f>AO25</f>
        <v>9307.5523828360874</v>
      </c>
      <c r="AP85" s="129">
        <f>AP25</f>
        <v>11309.79639361025</v>
      </c>
      <c r="AQ85" s="45">
        <f t="shared" ref="AQ85:AQ90" si="275">SUM(AM85:AP85)</f>
        <v>32081.059423872397</v>
      </c>
    </row>
    <row r="86" spans="2:43" s="47" customFormat="1" ht="15" customHeight="1" outlineLevel="1" x14ac:dyDescent="0.3">
      <c r="B86" s="259" t="s">
        <v>219</v>
      </c>
      <c r="C86" s="260"/>
      <c r="D86" s="168">
        <f t="shared" ref="D86:L86" si="276">-D21-D22</f>
        <v>8.6509999999999998</v>
      </c>
      <c r="E86" s="168">
        <f t="shared" si="276"/>
        <v>12.228</v>
      </c>
      <c r="F86" s="168">
        <f t="shared" si="276"/>
        <v>12.870000000000001</v>
      </c>
      <c r="G86" s="168">
        <f t="shared" si="276"/>
        <v>19.53</v>
      </c>
      <c r="H86" s="266">
        <f t="shared" si="276"/>
        <v>53.279000000000003</v>
      </c>
      <c r="I86" s="168">
        <f t="shared" si="276"/>
        <v>59.03</v>
      </c>
      <c r="J86" s="168">
        <f t="shared" si="276"/>
        <v>34.344999999999999</v>
      </c>
      <c r="K86" s="168">
        <f t="shared" si="276"/>
        <v>31.402999999999999</v>
      </c>
      <c r="L86" s="168">
        <f t="shared" si="276"/>
        <v>39.163000000000004</v>
      </c>
      <c r="M86" s="266">
        <f t="shared" si="269"/>
        <v>163.941</v>
      </c>
      <c r="N86" s="168">
        <f>-N21-N22</f>
        <v>9.5739999999999981</v>
      </c>
      <c r="O86" s="168">
        <f>-O21-O22</f>
        <v>19.137999999999998</v>
      </c>
      <c r="P86" s="168">
        <f>-P21-P22</f>
        <v>26.908999999999999</v>
      </c>
      <c r="Q86" s="168">
        <f>-Q21-Q22</f>
        <v>38.846153846153285</v>
      </c>
      <c r="R86" s="266">
        <f t="shared" si="270"/>
        <v>94.46715384615328</v>
      </c>
      <c r="S86" s="168">
        <f>-S21-S22</f>
        <v>23.089878345339027</v>
      </c>
      <c r="T86" s="168">
        <f>-T21-T22</f>
        <v>21.96522222224084</v>
      </c>
      <c r="U86" s="168">
        <f>-U21-U22</f>
        <v>21.240824273239554</v>
      </c>
      <c r="V86" s="168">
        <f>-V21-V22</f>
        <v>19.971552193982752</v>
      </c>
      <c r="W86" s="266">
        <f t="shared" si="271"/>
        <v>86.26747703480217</v>
      </c>
      <c r="X86" s="168">
        <f>-X21-X22</f>
        <v>17.771381617876084</v>
      </c>
      <c r="Y86" s="168">
        <f>-Y21-Y22</f>
        <v>15.050687889946037</v>
      </c>
      <c r="Z86" s="168">
        <f>-Z21-Z22</f>
        <v>12.303599251551699</v>
      </c>
      <c r="AA86" s="168">
        <f>-AA21-AA22</f>
        <v>8.2041443772933285</v>
      </c>
      <c r="AB86" s="266">
        <f t="shared" si="272"/>
        <v>53.329813136667156</v>
      </c>
      <c r="AC86" s="168">
        <f>-AC21-AC22</f>
        <v>1.9773461942876978</v>
      </c>
      <c r="AD86" s="168">
        <f>-AD21-AD22</f>
        <v>-4.1690887257652705</v>
      </c>
      <c r="AE86" s="168">
        <f>-AE21-AE22</f>
        <v>-10.313986532184884</v>
      </c>
      <c r="AF86" s="168">
        <f>-AF21-AF22</f>
        <v>-18.68356862729847</v>
      </c>
      <c r="AG86" s="266">
        <f t="shared" si="273"/>
        <v>-31.189297690960927</v>
      </c>
      <c r="AH86" s="168">
        <f>-AH21-AH22</f>
        <v>-31.280829258253434</v>
      </c>
      <c r="AI86" s="168">
        <f>-AI21-AI22</f>
        <v>-45.303708519759155</v>
      </c>
      <c r="AJ86" s="168">
        <f>-AJ21-AJ22</f>
        <v>-59.476905631375971</v>
      </c>
      <c r="AK86" s="168">
        <f>-AK21-AK22</f>
        <v>-78.791271772949003</v>
      </c>
      <c r="AL86" s="266">
        <f t="shared" si="274"/>
        <v>-214.85271518233759</v>
      </c>
      <c r="AM86" s="168">
        <f>-AM21-AM22</f>
        <v>-112.50488351038604</v>
      </c>
      <c r="AN86" s="168">
        <f>-AN21-AN22</f>
        <v>-152.30271714506713</v>
      </c>
      <c r="AO86" s="168">
        <f>-AO21-AO22</f>
        <v>-202.43070145905733</v>
      </c>
      <c r="AP86" s="168">
        <f>-AP21-AP22</f>
        <v>-253.71788016635719</v>
      </c>
      <c r="AQ86" s="266">
        <f t="shared" si="275"/>
        <v>-720.95618228086767</v>
      </c>
    </row>
    <row r="87" spans="2:43" s="47" customFormat="1" ht="15" customHeight="1" outlineLevel="1" x14ac:dyDescent="0.3">
      <c r="B87" s="259" t="s">
        <v>220</v>
      </c>
      <c r="C87" s="260"/>
      <c r="D87" s="168">
        <f>D24</f>
        <v>35.829000000000001</v>
      </c>
      <c r="E87" s="168">
        <f>E24</f>
        <v>46.353999999999999</v>
      </c>
      <c r="F87" s="168">
        <f>F24</f>
        <v>38.241999999999997</v>
      </c>
      <c r="G87" s="168">
        <f>G24</f>
        <v>-37.854999999999997</v>
      </c>
      <c r="H87" s="266">
        <f>SUM(D87:G87)</f>
        <v>82.57</v>
      </c>
      <c r="I87" s="168">
        <f>I24</f>
        <v>14.73</v>
      </c>
      <c r="J87" s="168">
        <f>J24</f>
        <v>14.154999999999999</v>
      </c>
      <c r="K87" s="168">
        <f>K24</f>
        <v>12.805999999999999</v>
      </c>
      <c r="L87" s="168">
        <f>L24</f>
        <v>-22.446999999999999</v>
      </c>
      <c r="M87" s="266">
        <f t="shared" si="269"/>
        <v>19.243999999999996</v>
      </c>
      <c r="N87" s="168">
        <f>N24</f>
        <v>12.221</v>
      </c>
      <c r="O87" s="168">
        <f>O24</f>
        <v>10.477</v>
      </c>
      <c r="P87" s="168">
        <f>P24</f>
        <v>27.61</v>
      </c>
      <c r="Q87" s="168">
        <f>Q24</f>
        <v>30.15384615384615</v>
      </c>
      <c r="R87" s="266">
        <f t="shared" si="270"/>
        <v>80.461846153846153</v>
      </c>
      <c r="S87" s="168">
        <f>S24</f>
        <v>33.627038544613754</v>
      </c>
      <c r="T87" s="168">
        <f>T24</f>
        <v>42.659512178938172</v>
      </c>
      <c r="U87" s="168">
        <f>U24</f>
        <v>50.850124589094044</v>
      </c>
      <c r="V87" s="168">
        <f>V24</f>
        <v>50.16238573487508</v>
      </c>
      <c r="W87" s="266">
        <f t="shared" si="271"/>
        <v>177.29906104752104</v>
      </c>
      <c r="X87" s="168">
        <f>X24</f>
        <v>43.640227293525619</v>
      </c>
      <c r="Y87" s="168">
        <f>Y24</f>
        <v>32.743563456528612</v>
      </c>
      <c r="Z87" s="168">
        <f>Z24</f>
        <v>53.19883145932851</v>
      </c>
      <c r="AA87" s="168">
        <f>AA24</f>
        <v>44.863717927933223</v>
      </c>
      <c r="AB87" s="266">
        <f t="shared" si="272"/>
        <v>174.44634013731599</v>
      </c>
      <c r="AC87" s="168">
        <f>AC24</f>
        <v>113.3426897501374</v>
      </c>
      <c r="AD87" s="168">
        <f>AD24</f>
        <v>134.40258979567332</v>
      </c>
      <c r="AE87" s="168">
        <f>AE24</f>
        <v>161.01754679558309</v>
      </c>
      <c r="AF87" s="168">
        <f>AF24</f>
        <v>199.19849330916935</v>
      </c>
      <c r="AG87" s="266">
        <f t="shared" si="273"/>
        <v>607.96131965056315</v>
      </c>
      <c r="AH87" s="168">
        <f>AH24</f>
        <v>393.4120690875194</v>
      </c>
      <c r="AI87" s="168">
        <f>AI24</f>
        <v>545.95138852776483</v>
      </c>
      <c r="AJ87" s="168">
        <f>AJ24</f>
        <v>630.99111081769775</v>
      </c>
      <c r="AK87" s="168">
        <f>AK24</f>
        <v>1117.2937339009366</v>
      </c>
      <c r="AL87" s="266">
        <f t="shared" si="274"/>
        <v>2687.6483023339188</v>
      </c>
      <c r="AM87" s="168">
        <f>AM24</f>
        <v>2068.7896519517985</v>
      </c>
      <c r="AN87" s="168">
        <f>AN24</f>
        <v>2844.2291969450839</v>
      </c>
      <c r="AO87" s="168">
        <f>AO24</f>
        <v>3988.9510212154655</v>
      </c>
      <c r="AP87" s="168">
        <f>AP24</f>
        <v>4847.0555972615348</v>
      </c>
      <c r="AQ87" s="266">
        <f t="shared" si="275"/>
        <v>13749.025467373884</v>
      </c>
    </row>
    <row r="88" spans="2:43" s="47" customFormat="1" ht="15" customHeight="1" outlineLevel="1" x14ac:dyDescent="0.3">
      <c r="B88" s="259" t="s">
        <v>221</v>
      </c>
      <c r="C88" s="260"/>
      <c r="D88" s="168">
        <f t="shared" ref="D88:J88" si="277">D145</f>
        <v>12.382</v>
      </c>
      <c r="E88" s="168">
        <v>12.977</v>
      </c>
      <c r="F88" s="168">
        <f t="shared" si="277"/>
        <v>14.356999999999999</v>
      </c>
      <c r="G88" s="168">
        <f t="shared" si="277"/>
        <v>14.311999999999999</v>
      </c>
      <c r="H88" s="266">
        <f>SUM(D88:G88)</f>
        <v>54.027999999999999</v>
      </c>
      <c r="I88" s="168">
        <f t="shared" si="277"/>
        <v>15.167</v>
      </c>
      <c r="J88" s="168">
        <f t="shared" si="277"/>
        <v>15.581</v>
      </c>
      <c r="K88" s="168">
        <f>K145</f>
        <v>16.047000000000001</v>
      </c>
      <c r="L88" s="168">
        <f t="shared" ref="L88:Q88" si="278">L145</f>
        <v>15.488</v>
      </c>
      <c r="M88" s="266">
        <f t="shared" si="269"/>
        <v>62.283000000000001</v>
      </c>
      <c r="N88" s="168">
        <f t="shared" si="278"/>
        <v>14.798</v>
      </c>
      <c r="O88" s="168">
        <f t="shared" si="278"/>
        <v>14.131</v>
      </c>
      <c r="P88" s="168">
        <f t="shared" si="278"/>
        <v>14.41</v>
      </c>
      <c r="Q88" s="168">
        <f t="shared" si="278"/>
        <v>15.076450000000001</v>
      </c>
      <c r="R88" s="266">
        <f t="shared" si="270"/>
        <v>58.41545</v>
      </c>
      <c r="S88" s="168">
        <f t="shared" ref="S88:V88" si="279">S145</f>
        <v>16.843396425000002</v>
      </c>
      <c r="T88" s="168">
        <f t="shared" si="279"/>
        <v>18.012376884437501</v>
      </c>
      <c r="U88" s="168">
        <f t="shared" si="279"/>
        <v>19.435416541161405</v>
      </c>
      <c r="V88" s="168">
        <f t="shared" si="279"/>
        <v>21.183956846304699</v>
      </c>
      <c r="W88" s="266">
        <f t="shared" si="271"/>
        <v>75.475146696903607</v>
      </c>
      <c r="X88" s="168">
        <f t="shared" ref="X88:AA88" si="280">X145</f>
        <v>23.298715731928329</v>
      </c>
      <c r="Y88" s="168">
        <f t="shared" si="280"/>
        <v>25.825446740133</v>
      </c>
      <c r="Z88" s="168">
        <f t="shared" si="280"/>
        <v>28.817501116766909</v>
      </c>
      <c r="AA88" s="168">
        <f t="shared" si="280"/>
        <v>32.336981806799649</v>
      </c>
      <c r="AB88" s="266">
        <f t="shared" si="272"/>
        <v>110.27864539562788</v>
      </c>
      <c r="AC88" s="168">
        <f t="shared" ref="AC88:AF88" si="281">AC145</f>
        <v>36.455993152591709</v>
      </c>
      <c r="AD88" s="168">
        <f t="shared" si="281"/>
        <v>41.258080117367754</v>
      </c>
      <c r="AE88" s="168">
        <f t="shared" si="281"/>
        <v>46.839888664027178</v>
      </c>
      <c r="AF88" s="168">
        <f t="shared" si="281"/>
        <v>53.313080150545517</v>
      </c>
      <c r="AG88" s="266">
        <f t="shared" si="273"/>
        <v>177.86704208453216</v>
      </c>
      <c r="AH88" s="168">
        <f t="shared" ref="AH88:AK88" si="282">AH145</f>
        <v>60.806537409612936</v>
      </c>
      <c r="AI88" s="168">
        <f t="shared" si="282"/>
        <v>69.468905862045972</v>
      </c>
      <c r="AJ88" s="168">
        <f t="shared" si="282"/>
        <v>79.471519551551197</v>
      </c>
      <c r="AK88" s="168">
        <f t="shared" si="282"/>
        <v>91.011769504306656</v>
      </c>
      <c r="AL88" s="266">
        <f t="shared" si="274"/>
        <v>300.75873232751673</v>
      </c>
      <c r="AM88" s="168">
        <f t="shared" ref="AM88:AP88" si="283">AM145</f>
        <v>104.31698045719104</v>
      </c>
      <c r="AN88" s="168">
        <f t="shared" si="283"/>
        <v>119.64887193224946</v>
      </c>
      <c r="AO88" s="168">
        <f t="shared" si="283"/>
        <v>137.30869105638362</v>
      </c>
      <c r="AP88" s="168">
        <f t="shared" si="283"/>
        <v>157.64311765765493</v>
      </c>
      <c r="AQ88" s="266">
        <f t="shared" si="275"/>
        <v>518.91766110347908</v>
      </c>
    </row>
    <row r="89" spans="2:43" s="47" customFormat="1" ht="15" customHeight="1" outlineLevel="1" x14ac:dyDescent="0.45">
      <c r="B89" s="259" t="s">
        <v>173</v>
      </c>
      <c r="C89" s="265"/>
      <c r="D89" s="263">
        <v>29.878</v>
      </c>
      <c r="E89" s="263">
        <v>29.285</v>
      </c>
      <c r="F89" s="263">
        <v>29.878</v>
      </c>
      <c r="G89" s="263">
        <v>30.251000000000001</v>
      </c>
      <c r="H89" s="264">
        <f>SUM(D89:G89)</f>
        <v>119.292</v>
      </c>
      <c r="I89" s="263">
        <v>27.440999999999999</v>
      </c>
      <c r="J89" s="263">
        <v>28.59</v>
      </c>
      <c r="K89" s="263">
        <v>32.834000000000003</v>
      </c>
      <c r="L89" s="263">
        <v>35.86</v>
      </c>
      <c r="M89" s="264">
        <f t="shared" si="269"/>
        <v>124.72500000000001</v>
      </c>
      <c r="N89" s="263">
        <f>N19</f>
        <v>42.421999999999997</v>
      </c>
      <c r="O89" s="263">
        <f>O19</f>
        <v>44.112000000000002</v>
      </c>
      <c r="P89" s="263">
        <f>P19</f>
        <v>43.494999999999997</v>
      </c>
      <c r="Q89" s="263">
        <f>Q19</f>
        <v>46.93</v>
      </c>
      <c r="R89" s="264">
        <f t="shared" si="270"/>
        <v>176.959</v>
      </c>
      <c r="S89" s="263">
        <f>S19</f>
        <v>50.078446618643866</v>
      </c>
      <c r="T89" s="263">
        <f>T19</f>
        <v>54.577071111036616</v>
      </c>
      <c r="U89" s="263">
        <f>U19</f>
        <v>57.474662907041761</v>
      </c>
      <c r="V89" s="263">
        <f>V19</f>
        <v>62.551751224068965</v>
      </c>
      <c r="W89" s="264">
        <f t="shared" si="271"/>
        <v>224.6819318607912</v>
      </c>
      <c r="X89" s="263">
        <f>X19</f>
        <v>71.352433528495638</v>
      </c>
      <c r="Y89" s="263">
        <f>Y19</f>
        <v>82.235208440215828</v>
      </c>
      <c r="Z89" s="263">
        <f>Z19</f>
        <v>93.22356299379318</v>
      </c>
      <c r="AA89" s="263">
        <f>AA19</f>
        <v>109.62138249082666</v>
      </c>
      <c r="AB89" s="264">
        <f t="shared" si="272"/>
        <v>356.43258745333128</v>
      </c>
      <c r="AC89" s="263">
        <f>AC19</f>
        <v>134.52857522284918</v>
      </c>
      <c r="AD89" s="263">
        <f>AD19</f>
        <v>159.11431490306106</v>
      </c>
      <c r="AE89" s="263">
        <f>AE19</f>
        <v>183.69390612873951</v>
      </c>
      <c r="AF89" s="263">
        <f>AF19</f>
        <v>217.17223450919386</v>
      </c>
      <c r="AG89" s="264">
        <f t="shared" si="273"/>
        <v>694.50903076384361</v>
      </c>
      <c r="AH89" s="263">
        <f>AH19</f>
        <v>267.56127703301371</v>
      </c>
      <c r="AI89" s="263">
        <f>AI19</f>
        <v>323.6527940790366</v>
      </c>
      <c r="AJ89" s="263">
        <f>AJ19</f>
        <v>380.34558252550386</v>
      </c>
      <c r="AK89" s="263">
        <f>AK19</f>
        <v>457.60304709179599</v>
      </c>
      <c r="AL89" s="264">
        <f t="shared" si="274"/>
        <v>1429.1627007293503</v>
      </c>
      <c r="AM89" s="263">
        <f>AM19</f>
        <v>592.45749404154412</v>
      </c>
      <c r="AN89" s="263">
        <f>AN19</f>
        <v>751.64882858026851</v>
      </c>
      <c r="AO89" s="263">
        <f>AO19</f>
        <v>952.1607658362293</v>
      </c>
      <c r="AP89" s="263">
        <f>AP19</f>
        <v>1157.3094806654287</v>
      </c>
      <c r="AQ89" s="264">
        <f t="shared" si="275"/>
        <v>3453.576569123471</v>
      </c>
    </row>
    <row r="90" spans="2:43" s="238" customFormat="1" ht="15" customHeight="1" outlineLevel="1" x14ac:dyDescent="0.3">
      <c r="B90" s="261" t="s">
        <v>217</v>
      </c>
      <c r="C90" s="271"/>
      <c r="D90" s="255">
        <f>SUM(D85:D89)</f>
        <v>139.8549999999999</v>
      </c>
      <c r="E90" s="255">
        <f t="shared" ref="E90" si="284">SUM(E85:E89)</f>
        <v>171.86199999999997</v>
      </c>
      <c r="F90" s="255">
        <f t="shared" ref="F90" si="285">SUM(F85:F89)</f>
        <v>154.64200000000005</v>
      </c>
      <c r="G90" s="255">
        <f t="shared" ref="G90" si="286">SUM(G85:G89)</f>
        <v>109.60900000000005</v>
      </c>
      <c r="H90" s="272">
        <f>SUM(D90:G90)</f>
        <v>575.96799999999996</v>
      </c>
      <c r="I90" s="255">
        <f>SUM(I85:I89)</f>
        <v>140.06399999999979</v>
      </c>
      <c r="J90" s="255">
        <f t="shared" ref="J90:Q90" si="287">SUM(J85:J89)</f>
        <v>119.00599999999999</v>
      </c>
      <c r="K90" s="255">
        <f t="shared" si="287"/>
        <v>122.52199999999991</v>
      </c>
      <c r="L90" s="255">
        <f t="shared" si="287"/>
        <v>111.242</v>
      </c>
      <c r="M90" s="272">
        <f t="shared" si="269"/>
        <v>492.83399999999966</v>
      </c>
      <c r="N90" s="255">
        <f t="shared" si="287"/>
        <v>106.67300000000009</v>
      </c>
      <c r="O90" s="255">
        <f t="shared" si="287"/>
        <v>128.61300000000023</v>
      </c>
      <c r="P90" s="255">
        <f t="shared" si="287"/>
        <v>163.94100000000003</v>
      </c>
      <c r="Q90" s="255">
        <f t="shared" si="287"/>
        <v>187.00644999999943</v>
      </c>
      <c r="R90" s="272">
        <f t="shared" si="270"/>
        <v>586.23344999999972</v>
      </c>
      <c r="S90" s="255">
        <f t="shared" ref="S90" si="288">SUM(S85:S89)</f>
        <v>202.10184987102878</v>
      </c>
      <c r="T90" s="255">
        <f t="shared" ref="T90" si="289">SUM(T85:T89)</f>
        <v>236.75304414750889</v>
      </c>
      <c r="U90" s="255">
        <f t="shared" ref="U90" si="290">SUM(U85:U89)</f>
        <v>267.6513190184229</v>
      </c>
      <c r="V90" s="255">
        <f t="shared" ref="V90" si="291">SUM(V85:V89)</f>
        <v>270.91521271394004</v>
      </c>
      <c r="W90" s="272">
        <f t="shared" si="271"/>
        <v>977.42142575090065</v>
      </c>
      <c r="X90" s="255">
        <f t="shared" ref="X90:AA90" si="292">SUM(X85:X89)</f>
        <v>257.88995519005215</v>
      </c>
      <c r="Y90" s="255">
        <f t="shared" si="292"/>
        <v>232.25655459205689</v>
      </c>
      <c r="Z90" s="255">
        <f t="shared" si="292"/>
        <v>311.67410155987352</v>
      </c>
      <c r="AA90" s="255">
        <f t="shared" si="292"/>
        <v>299.7082351013637</v>
      </c>
      <c r="AB90" s="272">
        <f t="shared" si="272"/>
        <v>1101.5288464433463</v>
      </c>
      <c r="AC90" s="255">
        <f t="shared" ref="AC90:AF90" si="293">SUM(AC85:AC89)</f>
        <v>550.77088040351987</v>
      </c>
      <c r="AD90" s="255">
        <f t="shared" si="293"/>
        <v>644.21193894690794</v>
      </c>
      <c r="AE90" s="255">
        <f t="shared" si="293"/>
        <v>756.94496424585873</v>
      </c>
      <c r="AF90" s="255">
        <f t="shared" si="293"/>
        <v>915.79672372967207</v>
      </c>
      <c r="AG90" s="272">
        <f t="shared" si="273"/>
        <v>2867.7245073259583</v>
      </c>
      <c r="AH90" s="255">
        <f t="shared" ref="AH90:AK90" si="294">SUM(AH85:AH89)</f>
        <v>1608.460548809438</v>
      </c>
      <c r="AI90" s="255">
        <f t="shared" si="294"/>
        <v>2167.6559531805397</v>
      </c>
      <c r="AJ90" s="255">
        <f t="shared" si="294"/>
        <v>2503.643899171338</v>
      </c>
      <c r="AK90" s="255">
        <f t="shared" si="294"/>
        <v>4194.1359911596091</v>
      </c>
      <c r="AL90" s="272">
        <f t="shared" si="274"/>
        <v>10473.896392320925</v>
      </c>
      <c r="AM90" s="255">
        <f t="shared" ref="AM90:AP90" si="295">SUM(AM85:AM89)</f>
        <v>7480.2350974943447</v>
      </c>
      <c r="AN90" s="255">
        <f t="shared" si="295"/>
        <v>10199.758973184398</v>
      </c>
      <c r="AO90" s="255">
        <f t="shared" si="295"/>
        <v>14183.542159485109</v>
      </c>
      <c r="AP90" s="255">
        <f t="shared" si="295"/>
        <v>17218.08670902851</v>
      </c>
      <c r="AQ90" s="272">
        <f t="shared" si="275"/>
        <v>49081.622939192363</v>
      </c>
    </row>
    <row r="91" spans="2:43" s="238" customFormat="1" ht="15" customHeight="1" x14ac:dyDescent="0.3">
      <c r="B91" s="293" t="s">
        <v>216</v>
      </c>
      <c r="C91" s="294"/>
      <c r="D91" s="68"/>
      <c r="E91" s="68"/>
      <c r="F91" s="68"/>
      <c r="G91" s="68"/>
      <c r="H91" s="77"/>
      <c r="I91" s="68"/>
      <c r="J91" s="68"/>
      <c r="K91" s="68"/>
      <c r="L91" s="68"/>
      <c r="M91" s="77"/>
      <c r="N91" s="68"/>
      <c r="O91" s="68"/>
      <c r="P91" s="68"/>
      <c r="Q91" s="68"/>
      <c r="R91" s="77"/>
      <c r="S91" s="68"/>
      <c r="T91" s="68"/>
      <c r="U91" s="68"/>
      <c r="V91" s="68"/>
      <c r="W91" s="77"/>
      <c r="X91" s="68"/>
      <c r="Y91" s="68"/>
      <c r="Z91" s="68"/>
      <c r="AA91" s="68"/>
      <c r="AB91" s="77"/>
      <c r="AC91" s="68"/>
      <c r="AD91" s="68"/>
      <c r="AE91" s="68"/>
      <c r="AF91" s="68"/>
      <c r="AG91" s="77"/>
      <c r="AH91" s="68"/>
      <c r="AI91" s="68"/>
      <c r="AJ91" s="68"/>
      <c r="AK91" s="68"/>
      <c r="AL91" s="77"/>
      <c r="AM91" s="68"/>
      <c r="AN91" s="68"/>
      <c r="AO91" s="68"/>
      <c r="AP91" s="68"/>
      <c r="AQ91" s="77"/>
    </row>
    <row r="92" spans="2:43" s="47" customFormat="1" ht="15" customHeight="1" outlineLevel="1" x14ac:dyDescent="0.3">
      <c r="B92" s="279" t="s">
        <v>242</v>
      </c>
      <c r="C92" s="265"/>
      <c r="D92" s="129">
        <v>27.440999999999999</v>
      </c>
      <c r="E92" s="129">
        <v>29.285</v>
      </c>
      <c r="F92" s="129">
        <v>29.878</v>
      </c>
      <c r="G92" s="129">
        <v>30.251000000000001</v>
      </c>
      <c r="H92" s="45"/>
      <c r="I92" s="129">
        <v>27.440999999999999</v>
      </c>
      <c r="J92" s="129">
        <v>28.59</v>
      </c>
      <c r="K92" s="129">
        <v>32.834000000000003</v>
      </c>
      <c r="L92" s="129">
        <v>35.86</v>
      </c>
      <c r="M92" s="45"/>
      <c r="N92" s="129">
        <v>42.421999999999997</v>
      </c>
      <c r="O92" s="129">
        <v>44.112000000000002</v>
      </c>
      <c r="P92" s="129">
        <v>43.494999999999997</v>
      </c>
      <c r="Q92" s="129">
        <f>Q93*Q11</f>
        <v>46.93</v>
      </c>
      <c r="R92" s="45"/>
      <c r="S92" s="129">
        <f>S93*S11</f>
        <v>50.078446618643866</v>
      </c>
      <c r="T92" s="129">
        <f>T93*T11</f>
        <v>54.577071111036616</v>
      </c>
      <c r="U92" s="129">
        <f>U93*U11</f>
        <v>57.474662907041761</v>
      </c>
      <c r="V92" s="129">
        <f>V93*V11</f>
        <v>62.551751224068965</v>
      </c>
      <c r="W92" s="45"/>
      <c r="X92" s="129">
        <f>X93*X11</f>
        <v>71.352433528495638</v>
      </c>
      <c r="Y92" s="129">
        <f>Y93*Y11</f>
        <v>82.235208440215828</v>
      </c>
      <c r="Z92" s="129">
        <f>Z93*Z11</f>
        <v>93.22356299379318</v>
      </c>
      <c r="AA92" s="129">
        <f>AA93*AA11</f>
        <v>109.62138249082666</v>
      </c>
      <c r="AB92" s="45"/>
      <c r="AC92" s="129">
        <f>AC93*AC11</f>
        <v>134.52857522284918</v>
      </c>
      <c r="AD92" s="129">
        <f>AD93*AD11</f>
        <v>159.11431490306106</v>
      </c>
      <c r="AE92" s="129">
        <f>AE93*AE11</f>
        <v>183.69390612873951</v>
      </c>
      <c r="AF92" s="129">
        <f>AF93*AF11</f>
        <v>217.17223450919386</v>
      </c>
      <c r="AG92" s="45"/>
      <c r="AH92" s="129">
        <f>AH93*AH11</f>
        <v>267.56127703301371</v>
      </c>
      <c r="AI92" s="129">
        <f>AI93*AI11</f>
        <v>323.6527940790366</v>
      </c>
      <c r="AJ92" s="129">
        <f>AJ93*AJ11</f>
        <v>380.34558252550386</v>
      </c>
      <c r="AK92" s="129">
        <f>AK93*AK11</f>
        <v>457.60304709179599</v>
      </c>
      <c r="AL92" s="45"/>
      <c r="AM92" s="129">
        <f>AM93*AM11</f>
        <v>592.45749404154412</v>
      </c>
      <c r="AN92" s="129">
        <f>AN93*AN11</f>
        <v>751.64882858026851</v>
      </c>
      <c r="AO92" s="129">
        <f>AO93*AO11</f>
        <v>952.1607658362293</v>
      </c>
      <c r="AP92" s="129">
        <f>AP93*AP11</f>
        <v>1157.3094806654287</v>
      </c>
      <c r="AQ92" s="45"/>
    </row>
    <row r="93" spans="2:43" s="98" customFormat="1" outlineLevel="1" x14ac:dyDescent="0.3">
      <c r="B93" s="347" t="s">
        <v>202</v>
      </c>
      <c r="C93" s="348"/>
      <c r="D93" s="267">
        <f>D92/D11</f>
        <v>2.1605572522870445E-2</v>
      </c>
      <c r="E93" s="134">
        <f>E92/E11</f>
        <v>2.1847841737621485E-2</v>
      </c>
      <c r="F93" s="134">
        <f>F92/F11</f>
        <v>2.1198610504089589E-2</v>
      </c>
      <c r="G93" s="268">
        <f>G92/G11</f>
        <v>2.0374775716494872E-2</v>
      </c>
      <c r="H93" s="97">
        <f>H19/H11</f>
        <v>2.1228392836900253E-2</v>
      </c>
      <c r="I93" s="267">
        <f>I92/I11</f>
        <v>1.7443579007188858E-2</v>
      </c>
      <c r="J93" s="134">
        <f>J92/J11</f>
        <v>1.7383172796885015E-2</v>
      </c>
      <c r="K93" s="134">
        <f>K92/K11</f>
        <v>1.8887971674370313E-2</v>
      </c>
      <c r="L93" s="268">
        <f>L92/L11</f>
        <v>1.9667279646669037E-2</v>
      </c>
      <c r="M93" s="97"/>
      <c r="N93" s="267">
        <f>N92/N11</f>
        <v>2.1668907350122793E-2</v>
      </c>
      <c r="O93" s="134">
        <f>O92/O11</f>
        <v>2.0953788801465319E-2</v>
      </c>
      <c r="P93" s="134">
        <f>P92/P11</f>
        <v>1.8991890622079934E-2</v>
      </c>
      <c r="Q93" s="269">
        <v>1.9E-2</v>
      </c>
      <c r="R93" s="97"/>
      <c r="S93" s="270">
        <v>0.02</v>
      </c>
      <c r="T93" s="100">
        <v>0.02</v>
      </c>
      <c r="U93" s="100">
        <v>0.02</v>
      </c>
      <c r="V93" s="269">
        <v>0.02</v>
      </c>
      <c r="W93" s="97"/>
      <c r="X93" s="270">
        <v>0.02</v>
      </c>
      <c r="Y93" s="100">
        <v>0.02</v>
      </c>
      <c r="Z93" s="100">
        <v>0.02</v>
      </c>
      <c r="AA93" s="269">
        <v>0.02</v>
      </c>
      <c r="AB93" s="97"/>
      <c r="AC93" s="270">
        <v>0.02</v>
      </c>
      <c r="AD93" s="100">
        <v>0.02</v>
      </c>
      <c r="AE93" s="100">
        <v>0.02</v>
      </c>
      <c r="AF93" s="269">
        <v>0.02</v>
      </c>
      <c r="AG93" s="97"/>
      <c r="AH93" s="270">
        <v>0.02</v>
      </c>
      <c r="AI93" s="100">
        <v>0.02</v>
      </c>
      <c r="AJ93" s="100">
        <v>0.02</v>
      </c>
      <c r="AK93" s="269">
        <v>0.02</v>
      </c>
      <c r="AL93" s="97"/>
      <c r="AM93" s="270">
        <v>0.02</v>
      </c>
      <c r="AN93" s="100">
        <v>0.02</v>
      </c>
      <c r="AO93" s="100">
        <v>0.02</v>
      </c>
      <c r="AP93" s="269">
        <v>0.02</v>
      </c>
      <c r="AQ93" s="97"/>
    </row>
    <row r="94" spans="2:43" s="98" customFormat="1" outlineLevel="1" x14ac:dyDescent="0.3">
      <c r="B94" s="364" t="s">
        <v>243</v>
      </c>
      <c r="C94" s="365"/>
      <c r="D94" s="330"/>
      <c r="E94" s="331"/>
      <c r="F94" s="331"/>
      <c r="G94" s="332">
        <v>-38.612000000000002</v>
      </c>
      <c r="H94" s="333"/>
      <c r="I94" s="330"/>
      <c r="J94" s="331"/>
      <c r="K94" s="331"/>
      <c r="L94" s="331">
        <v>-13.438000000000001</v>
      </c>
      <c r="M94" s="334"/>
      <c r="N94" s="335">
        <v>0</v>
      </c>
      <c r="O94" s="336"/>
      <c r="P94" s="336"/>
      <c r="Q94" s="337"/>
      <c r="R94" s="334"/>
      <c r="S94" s="338"/>
      <c r="T94" s="339"/>
      <c r="U94" s="339"/>
      <c r="V94" s="337"/>
      <c r="W94" s="334"/>
      <c r="X94" s="338"/>
      <c r="Y94" s="339"/>
      <c r="Z94" s="339"/>
      <c r="AA94" s="337"/>
      <c r="AB94" s="334"/>
      <c r="AC94" s="338"/>
      <c r="AD94" s="339"/>
      <c r="AE94" s="339"/>
      <c r="AF94" s="337"/>
      <c r="AG94" s="334"/>
      <c r="AH94" s="338"/>
      <c r="AI94" s="339"/>
      <c r="AJ94" s="339"/>
      <c r="AK94" s="337"/>
      <c r="AL94" s="334"/>
      <c r="AM94" s="338"/>
      <c r="AN94" s="339"/>
      <c r="AO94" s="339"/>
      <c r="AP94" s="337"/>
      <c r="AQ94" s="334"/>
    </row>
    <row r="95" spans="2:43" x14ac:dyDescent="0.3">
      <c r="B95" s="106"/>
      <c r="C95" s="107"/>
      <c r="D95" s="99"/>
      <c r="E95" s="227"/>
      <c r="F95" s="227"/>
      <c r="G95" s="227"/>
      <c r="H95" s="227"/>
      <c r="I95" s="227"/>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row>
    <row r="96" spans="2:43" s="126" customFormat="1" ht="15.6" x14ac:dyDescent="0.3">
      <c r="B96" s="362" t="s">
        <v>106</v>
      </c>
      <c r="C96" s="366"/>
      <c r="D96" s="99"/>
      <c r="E96" s="227"/>
      <c r="F96" s="227"/>
      <c r="G96" s="227"/>
      <c r="H96" s="227"/>
      <c r="I96" s="227"/>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row>
    <row r="97" spans="2:43" ht="15.6" outlineLevel="1" x14ac:dyDescent="0.3">
      <c r="B97" s="362" t="s">
        <v>118</v>
      </c>
      <c r="C97" s="363"/>
      <c r="D97" s="132" t="s">
        <v>43</v>
      </c>
      <c r="E97" s="132" t="s">
        <v>42</v>
      </c>
      <c r="F97" s="132" t="s">
        <v>41</v>
      </c>
      <c r="G97" s="132" t="s">
        <v>44</v>
      </c>
      <c r="H97" s="132" t="s">
        <v>44</v>
      </c>
      <c r="I97" s="132" t="s">
        <v>45</v>
      </c>
      <c r="J97" s="132" t="s">
        <v>46</v>
      </c>
      <c r="K97" s="132" t="s">
        <v>47</v>
      </c>
      <c r="L97" s="132" t="s">
        <v>49</v>
      </c>
      <c r="M97" s="132" t="s">
        <v>49</v>
      </c>
      <c r="N97" s="132" t="s">
        <v>50</v>
      </c>
      <c r="O97" s="132" t="s">
        <v>51</v>
      </c>
      <c r="P97" s="132" t="s">
        <v>52</v>
      </c>
      <c r="Q97" s="142" t="s">
        <v>48</v>
      </c>
      <c r="R97" s="142" t="s">
        <v>48</v>
      </c>
      <c r="S97" s="142" t="s">
        <v>53</v>
      </c>
      <c r="T97" s="142" t="s">
        <v>54</v>
      </c>
      <c r="U97" s="142" t="s">
        <v>55</v>
      </c>
      <c r="V97" s="142" t="s">
        <v>56</v>
      </c>
      <c r="W97" s="142" t="s">
        <v>56</v>
      </c>
      <c r="X97" s="142" t="s">
        <v>57</v>
      </c>
      <c r="Y97" s="142" t="s">
        <v>58</v>
      </c>
      <c r="Z97" s="142" t="s">
        <v>59</v>
      </c>
      <c r="AA97" s="142" t="s">
        <v>60</v>
      </c>
      <c r="AB97" s="142" t="s">
        <v>60</v>
      </c>
      <c r="AC97" s="142" t="s">
        <v>61</v>
      </c>
      <c r="AD97" s="142" t="s">
        <v>62</v>
      </c>
      <c r="AE97" s="142" t="s">
        <v>63</v>
      </c>
      <c r="AF97" s="142" t="s">
        <v>78</v>
      </c>
      <c r="AG97" s="142" t="s">
        <v>78</v>
      </c>
      <c r="AH97" s="142" t="s">
        <v>229</v>
      </c>
      <c r="AI97" s="142" t="s">
        <v>230</v>
      </c>
      <c r="AJ97" s="142" t="s">
        <v>231</v>
      </c>
      <c r="AK97" s="142" t="s">
        <v>232</v>
      </c>
      <c r="AL97" s="158" t="s">
        <v>232</v>
      </c>
      <c r="AM97" s="142" t="s">
        <v>258</v>
      </c>
      <c r="AN97" s="142" t="s">
        <v>259</v>
      </c>
      <c r="AO97" s="142" t="s">
        <v>260</v>
      </c>
      <c r="AP97" s="142" t="s">
        <v>261</v>
      </c>
      <c r="AQ97" s="158" t="s">
        <v>261</v>
      </c>
    </row>
    <row r="98" spans="2:43" ht="16.2" outlineLevel="1" x14ac:dyDescent="0.45">
      <c r="B98" s="360" t="s">
        <v>1</v>
      </c>
      <c r="C98" s="361"/>
      <c r="D98" s="133" t="s">
        <v>79</v>
      </c>
      <c r="E98" s="133" t="s">
        <v>80</v>
      </c>
      <c r="F98" s="133" t="s">
        <v>81</v>
      </c>
      <c r="G98" s="133" t="s">
        <v>82</v>
      </c>
      <c r="H98" s="135" t="s">
        <v>193</v>
      </c>
      <c r="I98" s="133" t="s">
        <v>83</v>
      </c>
      <c r="J98" s="133" t="s">
        <v>203</v>
      </c>
      <c r="K98" s="133" t="s">
        <v>204</v>
      </c>
      <c r="L98" s="133" t="s">
        <v>223</v>
      </c>
      <c r="M98" s="133" t="s">
        <v>224</v>
      </c>
      <c r="N98" s="133" t="s">
        <v>252</v>
      </c>
      <c r="O98" s="133" t="s">
        <v>253</v>
      </c>
      <c r="P98" s="133" t="s">
        <v>254</v>
      </c>
      <c r="Q98" s="143" t="s">
        <v>90</v>
      </c>
      <c r="R98" s="144" t="s">
        <v>91</v>
      </c>
      <c r="S98" s="143" t="s">
        <v>92</v>
      </c>
      <c r="T98" s="143" t="s">
        <v>93</v>
      </c>
      <c r="U98" s="143" t="s">
        <v>94</v>
      </c>
      <c r="V98" s="143" t="s">
        <v>95</v>
      </c>
      <c r="W98" s="144" t="s">
        <v>96</v>
      </c>
      <c r="X98" s="143" t="s">
        <v>97</v>
      </c>
      <c r="Y98" s="143" t="s">
        <v>98</v>
      </c>
      <c r="Z98" s="143" t="s">
        <v>99</v>
      </c>
      <c r="AA98" s="143" t="s">
        <v>100</v>
      </c>
      <c r="AB98" s="144" t="s">
        <v>101</v>
      </c>
      <c r="AC98" s="143" t="s">
        <v>102</v>
      </c>
      <c r="AD98" s="143" t="s">
        <v>103</v>
      </c>
      <c r="AE98" s="143" t="s">
        <v>104</v>
      </c>
      <c r="AF98" s="143" t="s">
        <v>105</v>
      </c>
      <c r="AG98" s="144" t="s">
        <v>198</v>
      </c>
      <c r="AH98" s="143" t="s">
        <v>233</v>
      </c>
      <c r="AI98" s="143" t="s">
        <v>234</v>
      </c>
      <c r="AJ98" s="143" t="s">
        <v>235</v>
      </c>
      <c r="AK98" s="143" t="s">
        <v>236</v>
      </c>
      <c r="AL98" s="159" t="s">
        <v>237</v>
      </c>
      <c r="AM98" s="143" t="s">
        <v>262</v>
      </c>
      <c r="AN98" s="143" t="s">
        <v>263</v>
      </c>
      <c r="AO98" s="143" t="s">
        <v>264</v>
      </c>
      <c r="AP98" s="143" t="s">
        <v>265</v>
      </c>
      <c r="AQ98" s="159" t="s">
        <v>266</v>
      </c>
    </row>
    <row r="99" spans="2:43" outlineLevel="1" x14ac:dyDescent="0.3">
      <c r="B99" s="358" t="s">
        <v>5</v>
      </c>
      <c r="C99" s="388"/>
      <c r="D99" s="141"/>
      <c r="E99" s="88"/>
      <c r="F99" s="88"/>
      <c r="G99" s="89"/>
      <c r="H99" s="87"/>
      <c r="I99" s="17"/>
      <c r="J99" s="145"/>
      <c r="K99" s="16"/>
      <c r="L99" s="16"/>
      <c r="M99" s="21"/>
      <c r="N99" s="17"/>
      <c r="O99" s="20"/>
      <c r="P99" s="16"/>
      <c r="Q99" s="16"/>
      <c r="R99" s="21"/>
      <c r="S99" s="17"/>
      <c r="T99" s="20"/>
      <c r="U99" s="16"/>
      <c r="V99" s="16"/>
      <c r="W99" s="21"/>
      <c r="X99" s="17"/>
      <c r="Y99" s="20"/>
      <c r="Z99" s="16"/>
      <c r="AA99" s="16"/>
      <c r="AB99" s="21"/>
      <c r="AC99" s="17"/>
      <c r="AD99" s="20"/>
      <c r="AE99" s="16"/>
      <c r="AF99" s="16"/>
      <c r="AG99" s="21"/>
      <c r="AH99" s="17"/>
      <c r="AI99" s="20"/>
      <c r="AJ99" s="16"/>
      <c r="AK99" s="16"/>
      <c r="AL99" s="21"/>
      <c r="AM99" s="17"/>
      <c r="AN99" s="20"/>
      <c r="AO99" s="16"/>
      <c r="AP99" s="16"/>
      <c r="AQ99" s="21"/>
    </row>
    <row r="100" spans="2:43" s="75" customFormat="1" outlineLevel="1" x14ac:dyDescent="0.3">
      <c r="B100" s="349" t="s">
        <v>64</v>
      </c>
      <c r="C100" s="350"/>
      <c r="D100" s="54">
        <v>1157.45</v>
      </c>
      <c r="E100" s="5">
        <v>1214.2439999999999</v>
      </c>
      <c r="F100" s="5">
        <v>1183.2170000000001</v>
      </c>
      <c r="G100" s="31">
        <v>1113.6079999999999</v>
      </c>
      <c r="H100" s="4">
        <f>G100</f>
        <v>1113.6079999999999</v>
      </c>
      <c r="I100" s="39">
        <v>2454.777</v>
      </c>
      <c r="J100" s="39">
        <v>2293.8719999999998</v>
      </c>
      <c r="K100" s="36">
        <f>K176</f>
        <v>2115.4370000000004</v>
      </c>
      <c r="L100" s="36">
        <f>L176</f>
        <v>1809.3300000000002</v>
      </c>
      <c r="M100" s="4">
        <f>L100</f>
        <v>1809.3300000000002</v>
      </c>
      <c r="N100" s="39">
        <f>N176</f>
        <v>1605.2439999999986</v>
      </c>
      <c r="O100" s="39">
        <f>O176</f>
        <v>1390.924999999999</v>
      </c>
      <c r="P100" s="39">
        <f>P176</f>
        <v>969.15799999999876</v>
      </c>
      <c r="Q100" s="36">
        <f>Q176</f>
        <v>855.55486999999903</v>
      </c>
      <c r="R100" s="4">
        <f>Q100</f>
        <v>855.55486999999903</v>
      </c>
      <c r="S100" s="36">
        <f>S176</f>
        <v>881.56233009548043</v>
      </c>
      <c r="T100" s="36">
        <f>T176</f>
        <v>1056.3063418026347</v>
      </c>
      <c r="U100" s="36">
        <f>U176</f>
        <v>1094.8292551773854</v>
      </c>
      <c r="V100" s="36">
        <f>V176</f>
        <v>1305.7067705851607</v>
      </c>
      <c r="W100" s="4">
        <f>V100</f>
        <v>1305.7067705851607</v>
      </c>
      <c r="X100" s="36">
        <f>X176</f>
        <v>1364.2580534049553</v>
      </c>
      <c r="Y100" s="36">
        <f>Y176</f>
        <v>1549.5690226149131</v>
      </c>
      <c r="Z100" s="36">
        <f>Z176</f>
        <v>1619.3334297746273</v>
      </c>
      <c r="AA100" s="36">
        <f>AA176</f>
        <v>1886.4364675461391</v>
      </c>
      <c r="AB100" s="4">
        <f>AA100</f>
        <v>1886.4364675461391</v>
      </c>
      <c r="AC100" s="36">
        <f>AC176</f>
        <v>2186.8313419829319</v>
      </c>
      <c r="AD100" s="36">
        <f>AD176</f>
        <v>2640.4938608029083</v>
      </c>
      <c r="AE100" s="36">
        <f>AE176</f>
        <v>3031.0794964320989</v>
      </c>
      <c r="AF100" s="36">
        <f>AF176</f>
        <v>3723.1604177465215</v>
      </c>
      <c r="AG100" s="4">
        <f>AF100</f>
        <v>3723.1604177465215</v>
      </c>
      <c r="AH100" s="36">
        <f>AH176</f>
        <v>4839.8800727305579</v>
      </c>
      <c r="AI100" s="36">
        <f>AI176</f>
        <v>6380.7968323671485</v>
      </c>
      <c r="AJ100" s="36">
        <f>AJ176</f>
        <v>8023.2038004448004</v>
      </c>
      <c r="AK100" s="36">
        <f>AK176</f>
        <v>11112.78265666259</v>
      </c>
      <c r="AL100" s="4">
        <f>AK100</f>
        <v>11112.78265666259</v>
      </c>
      <c r="AM100" s="36">
        <f>AM176</f>
        <v>16782.328566657932</v>
      </c>
      <c r="AN100" s="36">
        <f>AN176</f>
        <v>24150.859829960722</v>
      </c>
      <c r="AO100" s="36">
        <f>AO176</f>
        <v>34754.357861564895</v>
      </c>
      <c r="AP100" s="36">
        <f>AP176</f>
        <v>46781.79249207359</v>
      </c>
      <c r="AQ100" s="4">
        <f>AP100</f>
        <v>46781.79249207359</v>
      </c>
    </row>
    <row r="101" spans="2:43" s="75" customFormat="1" outlineLevel="1" x14ac:dyDescent="0.3">
      <c r="B101" s="349" t="s">
        <v>159</v>
      </c>
      <c r="C101" s="350"/>
      <c r="D101" s="54">
        <v>510.79300000000001</v>
      </c>
      <c r="E101" s="5">
        <v>500.12099999999998</v>
      </c>
      <c r="F101" s="5">
        <v>483.60199999999998</v>
      </c>
      <c r="G101" s="31">
        <v>494.88799999999998</v>
      </c>
      <c r="H101" s="4">
        <f t="shared" ref="H101:H103" si="296">G101</f>
        <v>494.88799999999998</v>
      </c>
      <c r="I101" s="39">
        <v>502.93099999999998</v>
      </c>
      <c r="J101" s="39">
        <v>502.88600000000002</v>
      </c>
      <c r="K101" s="39">
        <v>494.20499999999998</v>
      </c>
      <c r="L101" s="39">
        <v>501.38499999999999</v>
      </c>
      <c r="M101" s="4">
        <f t="shared" ref="M101:M103" si="297">L101</f>
        <v>501.38499999999999</v>
      </c>
      <c r="N101" s="39">
        <v>467.22699999999998</v>
      </c>
      <c r="O101" s="39">
        <v>443.303</v>
      </c>
      <c r="P101" s="39">
        <v>374.09800000000001</v>
      </c>
      <c r="Q101" s="124">
        <f>P101</f>
        <v>374.09800000000001</v>
      </c>
      <c r="R101" s="4">
        <f t="shared" ref="R101:R102" si="298">Q101</f>
        <v>374.09800000000001</v>
      </c>
      <c r="S101" s="124">
        <f>Q101</f>
        <v>374.09800000000001</v>
      </c>
      <c r="T101" s="124">
        <f>S101</f>
        <v>374.09800000000001</v>
      </c>
      <c r="U101" s="124">
        <f>T101</f>
        <v>374.09800000000001</v>
      </c>
      <c r="V101" s="124">
        <f>U101</f>
        <v>374.09800000000001</v>
      </c>
      <c r="W101" s="4">
        <f t="shared" ref="W101:W103" si="299">V101</f>
        <v>374.09800000000001</v>
      </c>
      <c r="X101" s="124">
        <f>V101</f>
        <v>374.09800000000001</v>
      </c>
      <c r="Y101" s="124">
        <f>X101</f>
        <v>374.09800000000001</v>
      </c>
      <c r="Z101" s="124">
        <f>Y101</f>
        <v>374.09800000000001</v>
      </c>
      <c r="AA101" s="124">
        <f>Z101</f>
        <v>374.09800000000001</v>
      </c>
      <c r="AB101" s="4">
        <f t="shared" ref="AB101:AB103" si="300">AA101</f>
        <v>374.09800000000001</v>
      </c>
      <c r="AC101" s="124">
        <f>AA101</f>
        <v>374.09800000000001</v>
      </c>
      <c r="AD101" s="124">
        <f>AC101</f>
        <v>374.09800000000001</v>
      </c>
      <c r="AE101" s="124">
        <f>AD101</f>
        <v>374.09800000000001</v>
      </c>
      <c r="AF101" s="124">
        <f>AE101</f>
        <v>374.09800000000001</v>
      </c>
      <c r="AG101" s="4">
        <f t="shared" ref="AG101:AG103" si="301">AF101</f>
        <v>374.09800000000001</v>
      </c>
      <c r="AH101" s="124">
        <f>AF101</f>
        <v>374.09800000000001</v>
      </c>
      <c r="AI101" s="124">
        <f>AH101</f>
        <v>374.09800000000001</v>
      </c>
      <c r="AJ101" s="124">
        <f>AI101</f>
        <v>374.09800000000001</v>
      </c>
      <c r="AK101" s="124">
        <f>AJ101</f>
        <v>374.09800000000001</v>
      </c>
      <c r="AL101" s="4">
        <f t="shared" ref="AL101:AL103" si="302">AK101</f>
        <v>374.09800000000001</v>
      </c>
      <c r="AM101" s="124">
        <f>AK101</f>
        <v>374.09800000000001</v>
      </c>
      <c r="AN101" s="124">
        <f>AM101</f>
        <v>374.09800000000001</v>
      </c>
      <c r="AO101" s="124">
        <f>AN101</f>
        <v>374.09800000000001</v>
      </c>
      <c r="AP101" s="124">
        <f>AO101</f>
        <v>374.09800000000001</v>
      </c>
      <c r="AQ101" s="4">
        <f t="shared" ref="AQ101:AQ103" si="303">AP101</f>
        <v>374.09800000000001</v>
      </c>
    </row>
    <row r="102" spans="2:43" s="75" customFormat="1" outlineLevel="1" x14ac:dyDescent="0.3">
      <c r="B102" s="349" t="s">
        <v>161</v>
      </c>
      <c r="C102" s="350"/>
      <c r="D102" s="54">
        <v>1771.41</v>
      </c>
      <c r="E102" s="5">
        <v>1786.3409999999999</v>
      </c>
      <c r="F102" s="5">
        <v>2006.981</v>
      </c>
      <c r="G102" s="31">
        <v>2125.7020000000002</v>
      </c>
      <c r="H102" s="4">
        <f t="shared" si="296"/>
        <v>2125.7020000000002</v>
      </c>
      <c r="I102" s="39">
        <v>2370.4470000000001</v>
      </c>
      <c r="J102" s="39">
        <v>2510.9459999999999</v>
      </c>
      <c r="K102" s="39">
        <v>2695.1840000000002</v>
      </c>
      <c r="L102" s="39">
        <v>2905.998</v>
      </c>
      <c r="M102" s="4">
        <f t="shared" si="297"/>
        <v>2905.998</v>
      </c>
      <c r="N102" s="39">
        <v>3258.6410000000001</v>
      </c>
      <c r="O102" s="39">
        <v>3349.2620000000002</v>
      </c>
      <c r="P102" s="39">
        <v>3632.3989999999999</v>
      </c>
      <c r="Q102" s="124">
        <f>P102*1.02</f>
        <v>3705.0469800000001</v>
      </c>
      <c r="R102" s="4">
        <f t="shared" si="298"/>
        <v>3705.0469800000001</v>
      </c>
      <c r="S102" s="124">
        <f>Q102*1</f>
        <v>3705.0469800000001</v>
      </c>
      <c r="T102" s="124">
        <f>S102*1</f>
        <v>3705.0469800000001</v>
      </c>
      <c r="U102" s="124">
        <f>T102*1</f>
        <v>3705.0469800000001</v>
      </c>
      <c r="V102" s="124">
        <f>U102*1</f>
        <v>3705.0469800000001</v>
      </c>
      <c r="W102" s="4">
        <f t="shared" si="299"/>
        <v>3705.0469800000001</v>
      </c>
      <c r="X102" s="124">
        <f>V102*1</f>
        <v>3705.0469800000001</v>
      </c>
      <c r="Y102" s="124">
        <f>X102*1</f>
        <v>3705.0469800000001</v>
      </c>
      <c r="Z102" s="124">
        <f>Y102*1</f>
        <v>3705.0469800000001</v>
      </c>
      <c r="AA102" s="124">
        <f>Z102*1</f>
        <v>3705.0469800000001</v>
      </c>
      <c r="AB102" s="4">
        <f t="shared" si="300"/>
        <v>3705.0469800000001</v>
      </c>
      <c r="AC102" s="124">
        <f>AA102*1</f>
        <v>3705.0469800000001</v>
      </c>
      <c r="AD102" s="124">
        <f>AC102*1</f>
        <v>3705.0469800000001</v>
      </c>
      <c r="AE102" s="124">
        <f>AD102*1</f>
        <v>3705.0469800000001</v>
      </c>
      <c r="AF102" s="124">
        <f>AE102*1</f>
        <v>3705.0469800000001</v>
      </c>
      <c r="AG102" s="4">
        <f t="shared" si="301"/>
        <v>3705.0469800000001</v>
      </c>
      <c r="AH102" s="124">
        <f>AF102*1</f>
        <v>3705.0469800000001</v>
      </c>
      <c r="AI102" s="124">
        <f>AH102*1</f>
        <v>3705.0469800000001</v>
      </c>
      <c r="AJ102" s="124">
        <f>AI102*1</f>
        <v>3705.0469800000001</v>
      </c>
      <c r="AK102" s="124">
        <f>AJ102*1</f>
        <v>3705.0469800000001</v>
      </c>
      <c r="AL102" s="4">
        <f t="shared" si="302"/>
        <v>3705.0469800000001</v>
      </c>
      <c r="AM102" s="124">
        <f>AK102*1</f>
        <v>3705.0469800000001</v>
      </c>
      <c r="AN102" s="124">
        <f>AM102*1</f>
        <v>3705.0469800000001</v>
      </c>
      <c r="AO102" s="124">
        <f>AN102*1</f>
        <v>3705.0469800000001</v>
      </c>
      <c r="AP102" s="124">
        <f>AO102*1</f>
        <v>3705.0469800000001</v>
      </c>
      <c r="AQ102" s="4">
        <f t="shared" si="303"/>
        <v>3705.0469800000001</v>
      </c>
    </row>
    <row r="103" spans="2:43" s="75" customFormat="1" ht="16.2" outlineLevel="1" x14ac:dyDescent="0.45">
      <c r="B103" s="212" t="s">
        <v>160</v>
      </c>
      <c r="C103" s="213"/>
      <c r="D103" s="138">
        <v>147.131</v>
      </c>
      <c r="E103" s="296">
        <v>167.67400000000001</v>
      </c>
      <c r="F103" s="296">
        <v>149.68199999999999</v>
      </c>
      <c r="G103" s="297">
        <v>206.27099999999999</v>
      </c>
      <c r="H103" s="149">
        <f t="shared" si="296"/>
        <v>206.27099999999999</v>
      </c>
      <c r="I103" s="298">
        <v>210.90100000000001</v>
      </c>
      <c r="J103" s="298">
        <v>292.80599999999998</v>
      </c>
      <c r="K103" s="298">
        <v>264.887</v>
      </c>
      <c r="L103" s="298">
        <v>215.12700000000001</v>
      </c>
      <c r="M103" s="149">
        <f t="shared" si="297"/>
        <v>215.12700000000001</v>
      </c>
      <c r="N103" s="298">
        <v>212.72399999999999</v>
      </c>
      <c r="O103" s="298">
        <v>203.428</v>
      </c>
      <c r="P103" s="298">
        <v>218.238</v>
      </c>
      <c r="Q103" s="299">
        <f>P103</f>
        <v>218.238</v>
      </c>
      <c r="R103" s="149">
        <f t="shared" ref="R103" si="304">Q103</f>
        <v>218.238</v>
      </c>
      <c r="S103" s="299">
        <f>Q103</f>
        <v>218.238</v>
      </c>
      <c r="T103" s="299">
        <f>S103</f>
        <v>218.238</v>
      </c>
      <c r="U103" s="299">
        <f>T103</f>
        <v>218.238</v>
      </c>
      <c r="V103" s="299">
        <f>U103</f>
        <v>218.238</v>
      </c>
      <c r="W103" s="149">
        <f t="shared" si="299"/>
        <v>218.238</v>
      </c>
      <c r="X103" s="299">
        <f>V103</f>
        <v>218.238</v>
      </c>
      <c r="Y103" s="299">
        <f>X103</f>
        <v>218.238</v>
      </c>
      <c r="Z103" s="299">
        <f>Y103</f>
        <v>218.238</v>
      </c>
      <c r="AA103" s="299">
        <f>Z103</f>
        <v>218.238</v>
      </c>
      <c r="AB103" s="149">
        <f t="shared" si="300"/>
        <v>218.238</v>
      </c>
      <c r="AC103" s="299">
        <f>AA103</f>
        <v>218.238</v>
      </c>
      <c r="AD103" s="299">
        <f>AC103</f>
        <v>218.238</v>
      </c>
      <c r="AE103" s="299">
        <f>AD103</f>
        <v>218.238</v>
      </c>
      <c r="AF103" s="299">
        <f>AE103</f>
        <v>218.238</v>
      </c>
      <c r="AG103" s="149">
        <f t="shared" si="301"/>
        <v>218.238</v>
      </c>
      <c r="AH103" s="299">
        <f>AF103</f>
        <v>218.238</v>
      </c>
      <c r="AI103" s="299">
        <f>AH103</f>
        <v>218.238</v>
      </c>
      <c r="AJ103" s="299">
        <f>AI103</f>
        <v>218.238</v>
      </c>
      <c r="AK103" s="299">
        <f>AJ103</f>
        <v>218.238</v>
      </c>
      <c r="AL103" s="149">
        <f t="shared" si="302"/>
        <v>218.238</v>
      </c>
      <c r="AM103" s="299">
        <f>AK103</f>
        <v>218.238</v>
      </c>
      <c r="AN103" s="299">
        <f>AM103</f>
        <v>218.238</v>
      </c>
      <c r="AO103" s="299">
        <f>AN103</f>
        <v>218.238</v>
      </c>
      <c r="AP103" s="299">
        <f>AO103</f>
        <v>218.238</v>
      </c>
      <c r="AQ103" s="149">
        <f t="shared" si="303"/>
        <v>218.238</v>
      </c>
    </row>
    <row r="104" spans="2:43" s="75" customFormat="1" outlineLevel="1" x14ac:dyDescent="0.3">
      <c r="B104" s="382" t="s">
        <v>2</v>
      </c>
      <c r="C104" s="383"/>
      <c r="D104" s="94">
        <f t="shared" ref="D104:AG104" si="305">SUM(D100:D103)</f>
        <v>3586.7840000000001</v>
      </c>
      <c r="E104" s="8">
        <f t="shared" si="305"/>
        <v>3668.3799999999997</v>
      </c>
      <c r="F104" s="8">
        <f t="shared" si="305"/>
        <v>3823.482</v>
      </c>
      <c r="G104" s="13">
        <f t="shared" si="305"/>
        <v>3940.4690000000005</v>
      </c>
      <c r="H104" s="7">
        <f t="shared" si="305"/>
        <v>3940.4690000000005</v>
      </c>
      <c r="I104" s="38">
        <f t="shared" si="305"/>
        <v>5539.0560000000005</v>
      </c>
      <c r="J104" s="38">
        <f t="shared" si="305"/>
        <v>5600.5099999999993</v>
      </c>
      <c r="K104" s="38">
        <f t="shared" si="305"/>
        <v>5569.7130000000006</v>
      </c>
      <c r="L104" s="38">
        <f t="shared" si="305"/>
        <v>5431.84</v>
      </c>
      <c r="M104" s="7">
        <f t="shared" si="305"/>
        <v>5431.84</v>
      </c>
      <c r="N104" s="38">
        <f t="shared" si="305"/>
        <v>5543.8359999999993</v>
      </c>
      <c r="O104" s="38">
        <f t="shared" si="305"/>
        <v>5386.9179999999997</v>
      </c>
      <c r="P104" s="38">
        <f t="shared" si="305"/>
        <v>5193.8929999999991</v>
      </c>
      <c r="Q104" s="37">
        <f t="shared" si="305"/>
        <v>5152.9378499999993</v>
      </c>
      <c r="R104" s="7">
        <f t="shared" si="305"/>
        <v>5152.9378499999993</v>
      </c>
      <c r="S104" s="37">
        <f t="shared" si="305"/>
        <v>5178.9453100954806</v>
      </c>
      <c r="T104" s="37">
        <f t="shared" si="305"/>
        <v>5353.6893218026353</v>
      </c>
      <c r="U104" s="37">
        <f t="shared" si="305"/>
        <v>5392.212235177386</v>
      </c>
      <c r="V104" s="37">
        <f t="shared" si="305"/>
        <v>5603.0897505851608</v>
      </c>
      <c r="W104" s="7">
        <f t="shared" si="305"/>
        <v>5603.0897505851608</v>
      </c>
      <c r="X104" s="37">
        <f t="shared" ref="X104:AA104" si="306">SUM(X100:X103)</f>
        <v>5661.6410334049551</v>
      </c>
      <c r="Y104" s="37">
        <f t="shared" si="306"/>
        <v>5846.9520026149139</v>
      </c>
      <c r="Z104" s="37">
        <f t="shared" si="306"/>
        <v>5916.7164097746272</v>
      </c>
      <c r="AA104" s="37">
        <f t="shared" si="306"/>
        <v>6183.8194475461396</v>
      </c>
      <c r="AB104" s="7">
        <f t="shared" si="305"/>
        <v>6183.8194475461396</v>
      </c>
      <c r="AC104" s="37">
        <f t="shared" ref="AC104:AF104" si="307">SUM(AC100:AC103)</f>
        <v>6484.2143219829322</v>
      </c>
      <c r="AD104" s="37">
        <f t="shared" si="307"/>
        <v>6937.8768408029091</v>
      </c>
      <c r="AE104" s="37">
        <f t="shared" si="307"/>
        <v>7328.4624764320988</v>
      </c>
      <c r="AF104" s="37">
        <f t="shared" si="307"/>
        <v>8020.5433977465218</v>
      </c>
      <c r="AG104" s="7">
        <f t="shared" si="305"/>
        <v>8020.5433977465218</v>
      </c>
      <c r="AH104" s="37">
        <f t="shared" ref="AH104:AK104" si="308">SUM(AH100:AH103)</f>
        <v>9137.2630527305573</v>
      </c>
      <c r="AI104" s="37">
        <f t="shared" si="308"/>
        <v>10678.179812367149</v>
      </c>
      <c r="AJ104" s="37">
        <f t="shared" si="308"/>
        <v>12320.586780444801</v>
      </c>
      <c r="AK104" s="37">
        <f t="shared" si="308"/>
        <v>15410.165636662588</v>
      </c>
      <c r="AL104" s="7">
        <f t="shared" ref="AL104:AP104" si="309">SUM(AL100:AL103)</f>
        <v>15410.165636662588</v>
      </c>
      <c r="AM104" s="37">
        <f t="shared" si="309"/>
        <v>21079.711546657934</v>
      </c>
      <c r="AN104" s="37">
        <f t="shared" si="309"/>
        <v>28448.242809960724</v>
      </c>
      <c r="AO104" s="37">
        <f t="shared" si="309"/>
        <v>39051.74084156489</v>
      </c>
      <c r="AP104" s="37">
        <f t="shared" si="309"/>
        <v>51079.175472073584</v>
      </c>
      <c r="AQ104" s="7">
        <f t="shared" ref="AQ104" si="310">SUM(AQ100:AQ103)</f>
        <v>51079.175472073584</v>
      </c>
    </row>
    <row r="105" spans="2:43" s="93" customFormat="1" outlineLevel="1" x14ac:dyDescent="0.3">
      <c r="B105" s="225" t="s">
        <v>162</v>
      </c>
      <c r="C105" s="226"/>
      <c r="D105" s="115">
        <v>2179.4740000000002</v>
      </c>
      <c r="E105" s="11">
        <v>2348.7959999999998</v>
      </c>
      <c r="F105" s="11">
        <v>2631.8820000000001</v>
      </c>
      <c r="G105" s="32">
        <v>2773.326</v>
      </c>
      <c r="H105" s="10">
        <f>G105</f>
        <v>2773.326</v>
      </c>
      <c r="I105" s="39">
        <v>3312.3530000000001</v>
      </c>
      <c r="J105" s="39">
        <v>3640.7669999999998</v>
      </c>
      <c r="K105" s="39">
        <v>3891.79</v>
      </c>
      <c r="L105" s="39">
        <v>4312.817</v>
      </c>
      <c r="M105" s="4">
        <f t="shared" ref="M105" si="311">L105</f>
        <v>4312.817</v>
      </c>
      <c r="N105" s="39">
        <v>5260.16</v>
      </c>
      <c r="O105" s="39">
        <v>5742.9380000000001</v>
      </c>
      <c r="P105" s="39">
        <v>6677.674</v>
      </c>
      <c r="Q105" s="124">
        <f>P105*1.03</f>
        <v>6878.0042199999998</v>
      </c>
      <c r="R105" s="4">
        <f t="shared" ref="R105" si="312">Q105</f>
        <v>6878.0042199999998</v>
      </c>
      <c r="S105" s="234">
        <f>Q105*1</f>
        <v>6878.0042199999998</v>
      </c>
      <c r="T105" s="124">
        <f>S105*1</f>
        <v>6878.0042199999998</v>
      </c>
      <c r="U105" s="234">
        <f>T105*1</f>
        <v>6878.0042199999998</v>
      </c>
      <c r="V105" s="124">
        <f>U105*1</f>
        <v>6878.0042199999998</v>
      </c>
      <c r="W105" s="4">
        <f t="shared" ref="W105" si="313">V105</f>
        <v>6878.0042199999998</v>
      </c>
      <c r="X105" s="234">
        <f>V105*1</f>
        <v>6878.0042199999998</v>
      </c>
      <c r="Y105" s="124">
        <f>X105*1</f>
        <v>6878.0042199999998</v>
      </c>
      <c r="Z105" s="234">
        <f>Y105*1</f>
        <v>6878.0042199999998</v>
      </c>
      <c r="AA105" s="124">
        <f>Z105*1</f>
        <v>6878.0042199999998</v>
      </c>
      <c r="AB105" s="4">
        <f t="shared" ref="AB105" si="314">AA105</f>
        <v>6878.0042199999998</v>
      </c>
      <c r="AC105" s="234">
        <f>AA105*1</f>
        <v>6878.0042199999998</v>
      </c>
      <c r="AD105" s="124">
        <f>AC105*1</f>
        <v>6878.0042199999998</v>
      </c>
      <c r="AE105" s="234">
        <f>AD105*1</f>
        <v>6878.0042199999998</v>
      </c>
      <c r="AF105" s="124">
        <f>AE105*1</f>
        <v>6878.0042199999998</v>
      </c>
      <c r="AG105" s="4">
        <f t="shared" ref="AG105" si="315">AF105</f>
        <v>6878.0042199999998</v>
      </c>
      <c r="AH105" s="234">
        <f>AF105*1</f>
        <v>6878.0042199999998</v>
      </c>
      <c r="AI105" s="124">
        <f>AH105*1</f>
        <v>6878.0042199999998</v>
      </c>
      <c r="AJ105" s="234">
        <f>AI105*1</f>
        <v>6878.0042199999998</v>
      </c>
      <c r="AK105" s="124">
        <f>AJ105*1</f>
        <v>6878.0042199999998</v>
      </c>
      <c r="AL105" s="4">
        <f t="shared" ref="AL105:AL107" si="316">AK105</f>
        <v>6878.0042199999998</v>
      </c>
      <c r="AM105" s="234">
        <f>AK105*1</f>
        <v>6878.0042199999998</v>
      </c>
      <c r="AN105" s="124">
        <f>AM105*1</f>
        <v>6878.0042199999998</v>
      </c>
      <c r="AO105" s="234">
        <f>AN105*1</f>
        <v>6878.0042199999998</v>
      </c>
      <c r="AP105" s="124">
        <f>AO105*1</f>
        <v>6878.0042199999998</v>
      </c>
      <c r="AQ105" s="4">
        <f t="shared" ref="AQ105:AQ107" si="317">AP105</f>
        <v>6878.0042199999998</v>
      </c>
    </row>
    <row r="106" spans="2:43" s="75" customFormat="1" outlineLevel="1" x14ac:dyDescent="0.3">
      <c r="B106" s="349" t="s">
        <v>3</v>
      </c>
      <c r="C106" s="350"/>
      <c r="D106" s="54">
        <v>133.47300000000001</v>
      </c>
      <c r="E106" s="5">
        <v>141.715</v>
      </c>
      <c r="F106" s="5">
        <v>144.14699999999999</v>
      </c>
      <c r="G106" s="31">
        <v>149.875</v>
      </c>
      <c r="H106" s="4">
        <f t="shared" ref="H106:H107" si="318">G106</f>
        <v>149.875</v>
      </c>
      <c r="I106" s="39">
        <v>145.816</v>
      </c>
      <c r="J106" s="39">
        <v>171.39599999999999</v>
      </c>
      <c r="K106" s="39">
        <v>181.268</v>
      </c>
      <c r="L106" s="39">
        <v>173.41200000000001</v>
      </c>
      <c r="M106" s="4">
        <f t="shared" ref="M106:M107" si="319">L106</f>
        <v>173.41200000000001</v>
      </c>
      <c r="N106" s="39">
        <v>166.25399999999999</v>
      </c>
      <c r="O106" s="39">
        <v>162.864</v>
      </c>
      <c r="P106" s="39">
        <v>191.876</v>
      </c>
      <c r="Q106" s="39">
        <f>P106-Q161-Q145</f>
        <v>204.43921</v>
      </c>
      <c r="R106" s="4">
        <f t="shared" ref="R106:R107" si="320">Q106</f>
        <v>204.43921</v>
      </c>
      <c r="S106" s="39">
        <f>Q106-S161-S145</f>
        <v>219.38142257499999</v>
      </c>
      <c r="T106" s="39">
        <f>S106-T161-T145</f>
        <v>237.92249604056246</v>
      </c>
      <c r="U106" s="39">
        <f>T106-U161-U145</f>
        <v>260.523547401901</v>
      </c>
      <c r="V106" s="39">
        <f>U106-V161-V145</f>
        <v>287.68152864347132</v>
      </c>
      <c r="W106" s="4">
        <f t="shared" ref="W106:W107" si="321">V106</f>
        <v>287.68152864347132</v>
      </c>
      <c r="X106" s="39">
        <f>V106-X161-X145</f>
        <v>319.97604171259923</v>
      </c>
      <c r="Y106" s="39">
        <f>X106-Y161-Y145</f>
        <v>358.08280809368091</v>
      </c>
      <c r="Z106" s="39">
        <f>Y106-Z161-Z145</f>
        <v>402.78735206631086</v>
      </c>
      <c r="AA106" s="39">
        <f>Z106-AA161-AA145</f>
        <v>455.00072211231753</v>
      </c>
      <c r="AB106" s="4">
        <f t="shared" ref="AB106:AB107" si="322">AA106</f>
        <v>455.00072211231753</v>
      </c>
      <c r="AC106" s="39">
        <f>AA106-AC161-AC145</f>
        <v>515.77763359045309</v>
      </c>
      <c r="AD106" s="39">
        <f>AC106-AD161-AD145</f>
        <v>586.33739379842177</v>
      </c>
      <c r="AE106" s="39">
        <f>AD106-AE161-AE145</f>
        <v>668.08802150853148</v>
      </c>
      <c r="AF106" s="39">
        <f>AE106-AF161-AF145</f>
        <v>762.65403518824337</v>
      </c>
      <c r="AG106" s="4">
        <f t="shared" ref="AG106:AG107" si="323">AF106</f>
        <v>762.65403518824337</v>
      </c>
      <c r="AH106" s="39">
        <f>AF106-AH161-AH145</f>
        <v>871.90845568342638</v>
      </c>
      <c r="AI106" s="39">
        <f>AH106-AI161-AI145</f>
        <v>998.00965141189579</v>
      </c>
      <c r="AJ106" s="39">
        <f>AI106-AJ161-AJ145</f>
        <v>1143.4437486894371</v>
      </c>
      <c r="AK106" s="39">
        <f>AJ106-AK161-AK145</f>
        <v>1311.073438538587</v>
      </c>
      <c r="AL106" s="4">
        <f t="shared" si="316"/>
        <v>1311.073438538587</v>
      </c>
      <c r="AM106" s="39">
        <f>AK106-AM161-AM145</f>
        <v>1504.1941363378708</v>
      </c>
      <c r="AN106" s="39">
        <f>AM106-AN161-AN145</f>
        <v>1726.5985944005674</v>
      </c>
      <c r="AO106" s="39">
        <f>AN106-AO161-AO145</f>
        <v>1982.6512328383717</v>
      </c>
      <c r="AP106" s="39">
        <f>AO106-AP161-AP145</f>
        <v>2277.3736440990328</v>
      </c>
      <c r="AQ106" s="4">
        <f t="shared" si="317"/>
        <v>2277.3736440990328</v>
      </c>
    </row>
    <row r="107" spans="2:43" s="75" customFormat="1" ht="16.2" outlineLevel="1" x14ac:dyDescent="0.45">
      <c r="B107" s="349" t="s">
        <v>163</v>
      </c>
      <c r="C107" s="350"/>
      <c r="D107" s="138">
        <v>148.375</v>
      </c>
      <c r="E107" s="296">
        <v>166.93100000000001</v>
      </c>
      <c r="F107" s="296">
        <v>178.81800000000001</v>
      </c>
      <c r="G107" s="297">
        <v>192.98099999999999</v>
      </c>
      <c r="H107" s="149">
        <f t="shared" si="318"/>
        <v>192.98099999999999</v>
      </c>
      <c r="I107" s="298">
        <v>243.40100000000001</v>
      </c>
      <c r="J107" s="298">
        <v>242.18799999999999</v>
      </c>
      <c r="K107" s="298">
        <v>273.49599999999998</v>
      </c>
      <c r="L107" s="298">
        <v>284.80200000000002</v>
      </c>
      <c r="M107" s="149">
        <f t="shared" si="319"/>
        <v>284.80200000000002</v>
      </c>
      <c r="N107" s="298">
        <v>292.024</v>
      </c>
      <c r="O107" s="298">
        <v>300.78699999999998</v>
      </c>
      <c r="P107" s="298">
        <v>283.89499999999998</v>
      </c>
      <c r="Q107" s="299">
        <f t="shared" ref="Q107" si="324">P107</f>
        <v>283.89499999999998</v>
      </c>
      <c r="R107" s="149">
        <f t="shared" si="320"/>
        <v>283.89499999999998</v>
      </c>
      <c r="S107" s="299">
        <f>R107</f>
        <v>283.89499999999998</v>
      </c>
      <c r="T107" s="299">
        <f t="shared" ref="T107" si="325">S107</f>
        <v>283.89499999999998</v>
      </c>
      <c r="U107" s="299">
        <f t="shared" ref="U107:V107" si="326">T107</f>
        <v>283.89499999999998</v>
      </c>
      <c r="V107" s="299">
        <f t="shared" si="326"/>
        <v>283.89499999999998</v>
      </c>
      <c r="W107" s="149">
        <f t="shared" si="321"/>
        <v>283.89499999999998</v>
      </c>
      <c r="X107" s="299">
        <f>W107</f>
        <v>283.89499999999998</v>
      </c>
      <c r="Y107" s="299">
        <f t="shared" ref="Y107" si="327">X107</f>
        <v>283.89499999999998</v>
      </c>
      <c r="Z107" s="299">
        <f t="shared" ref="Z107" si="328">Y107</f>
        <v>283.89499999999998</v>
      </c>
      <c r="AA107" s="299">
        <f t="shared" ref="AA107" si="329">Z107</f>
        <v>283.89499999999998</v>
      </c>
      <c r="AB107" s="149">
        <f t="shared" si="322"/>
        <v>283.89499999999998</v>
      </c>
      <c r="AC107" s="299">
        <f>AB107</f>
        <v>283.89499999999998</v>
      </c>
      <c r="AD107" s="299">
        <f t="shared" ref="AD107" si="330">AC107</f>
        <v>283.89499999999998</v>
      </c>
      <c r="AE107" s="299">
        <f t="shared" ref="AE107" si="331">AD107</f>
        <v>283.89499999999998</v>
      </c>
      <c r="AF107" s="299">
        <f t="shared" ref="AF107" si="332">AE107</f>
        <v>283.89499999999998</v>
      </c>
      <c r="AG107" s="149">
        <f t="shared" si="323"/>
        <v>283.89499999999998</v>
      </c>
      <c r="AH107" s="299">
        <f>AG107</f>
        <v>283.89499999999998</v>
      </c>
      <c r="AI107" s="299">
        <f t="shared" ref="AI107" si="333">AH107</f>
        <v>283.89499999999998</v>
      </c>
      <c r="AJ107" s="299">
        <f t="shared" ref="AJ107" si="334">AI107</f>
        <v>283.89499999999998</v>
      </c>
      <c r="AK107" s="299">
        <f t="shared" ref="AK107" si="335">AJ107</f>
        <v>283.89499999999998</v>
      </c>
      <c r="AL107" s="149">
        <f t="shared" si="316"/>
        <v>283.89499999999998</v>
      </c>
      <c r="AM107" s="299">
        <f>AL107</f>
        <v>283.89499999999998</v>
      </c>
      <c r="AN107" s="299">
        <f t="shared" ref="AN107" si="336">AM107</f>
        <v>283.89499999999998</v>
      </c>
      <c r="AO107" s="299">
        <f t="shared" ref="AO107" si="337">AN107</f>
        <v>283.89499999999998</v>
      </c>
      <c r="AP107" s="299">
        <f t="shared" ref="AP107" si="338">AO107</f>
        <v>283.89499999999998</v>
      </c>
      <c r="AQ107" s="149">
        <f t="shared" si="317"/>
        <v>283.89499999999998</v>
      </c>
    </row>
    <row r="108" spans="2:43" s="75" customFormat="1" outlineLevel="1" x14ac:dyDescent="0.3">
      <c r="B108" s="382" t="s">
        <v>4</v>
      </c>
      <c r="C108" s="383"/>
      <c r="D108" s="94">
        <f t="shared" ref="D108:AG108" si="339">SUM(D104:D107)</f>
        <v>6048.1059999999998</v>
      </c>
      <c r="E108" s="8">
        <f t="shared" si="339"/>
        <v>6325.8219999999992</v>
      </c>
      <c r="F108" s="8">
        <f t="shared" si="339"/>
        <v>6778.3289999999997</v>
      </c>
      <c r="G108" s="13">
        <f t="shared" si="339"/>
        <v>7056.6509999999998</v>
      </c>
      <c r="H108" s="7">
        <f t="shared" si="339"/>
        <v>7056.6509999999998</v>
      </c>
      <c r="I108" s="38">
        <f t="shared" si="339"/>
        <v>9240.6260000000002</v>
      </c>
      <c r="J108" s="38">
        <f t="shared" si="339"/>
        <v>9654.860999999999</v>
      </c>
      <c r="K108" s="38">
        <f t="shared" si="339"/>
        <v>9916.2669999999998</v>
      </c>
      <c r="L108" s="38">
        <f t="shared" si="339"/>
        <v>10202.870999999999</v>
      </c>
      <c r="M108" s="7">
        <f t="shared" si="339"/>
        <v>10202.870999999999</v>
      </c>
      <c r="N108" s="38">
        <f t="shared" si="339"/>
        <v>11262.273999999999</v>
      </c>
      <c r="O108" s="38">
        <f t="shared" si="339"/>
        <v>11593.507</v>
      </c>
      <c r="P108" s="38">
        <f t="shared" si="339"/>
        <v>12347.338</v>
      </c>
      <c r="Q108" s="37">
        <f t="shared" si="339"/>
        <v>12519.27628</v>
      </c>
      <c r="R108" s="7">
        <f t="shared" si="339"/>
        <v>12519.27628</v>
      </c>
      <c r="S108" s="37">
        <f t="shared" si="339"/>
        <v>12560.22595267048</v>
      </c>
      <c r="T108" s="37">
        <f t="shared" si="339"/>
        <v>12753.511037843198</v>
      </c>
      <c r="U108" s="37">
        <f t="shared" si="339"/>
        <v>12814.635002579287</v>
      </c>
      <c r="V108" s="37">
        <f t="shared" si="339"/>
        <v>13052.670499228632</v>
      </c>
      <c r="W108" s="7">
        <f t="shared" si="339"/>
        <v>13052.670499228632</v>
      </c>
      <c r="X108" s="37">
        <f t="shared" ref="X108:AA108" si="340">SUM(X104:X107)</f>
        <v>13143.516295117555</v>
      </c>
      <c r="Y108" s="37">
        <f t="shared" si="340"/>
        <v>13366.934030708595</v>
      </c>
      <c r="Z108" s="37">
        <f t="shared" si="340"/>
        <v>13481.402981840938</v>
      </c>
      <c r="AA108" s="37">
        <f t="shared" si="340"/>
        <v>13800.719389658458</v>
      </c>
      <c r="AB108" s="7">
        <f t="shared" si="339"/>
        <v>13800.719389658458</v>
      </c>
      <c r="AC108" s="37">
        <f t="shared" ref="AC108:AF108" si="341">SUM(AC104:AC107)</f>
        <v>14161.891175573386</v>
      </c>
      <c r="AD108" s="37">
        <f t="shared" si="341"/>
        <v>14686.113454601331</v>
      </c>
      <c r="AE108" s="37">
        <f t="shared" si="341"/>
        <v>15158.44971794063</v>
      </c>
      <c r="AF108" s="37">
        <f t="shared" si="341"/>
        <v>15945.096652934764</v>
      </c>
      <c r="AG108" s="7">
        <f t="shared" si="339"/>
        <v>15945.096652934764</v>
      </c>
      <c r="AH108" s="37">
        <f t="shared" ref="AH108:AK108" si="342">SUM(AH104:AH107)</f>
        <v>17171.070728413986</v>
      </c>
      <c r="AI108" s="37">
        <f t="shared" si="342"/>
        <v>18838.088683779046</v>
      </c>
      <c r="AJ108" s="37">
        <f t="shared" si="342"/>
        <v>20625.92974913424</v>
      </c>
      <c r="AK108" s="37">
        <f t="shared" si="342"/>
        <v>23883.138295201177</v>
      </c>
      <c r="AL108" s="7">
        <f t="shared" ref="AL108:AP108" si="343">SUM(AL104:AL107)</f>
        <v>23883.138295201177</v>
      </c>
      <c r="AM108" s="37">
        <f t="shared" si="343"/>
        <v>29745.804902995806</v>
      </c>
      <c r="AN108" s="37">
        <f t="shared" si="343"/>
        <v>37336.740624361286</v>
      </c>
      <c r="AO108" s="37">
        <f t="shared" si="343"/>
        <v>48196.291294403258</v>
      </c>
      <c r="AP108" s="37">
        <f t="shared" si="343"/>
        <v>60518.448336172616</v>
      </c>
      <c r="AQ108" s="7">
        <f t="shared" ref="AQ108" si="344">SUM(AQ104:AQ107)</f>
        <v>60518.448336172616</v>
      </c>
    </row>
    <row r="109" spans="2:43" s="75" customFormat="1" ht="6.75" customHeight="1" outlineLevel="1" x14ac:dyDescent="0.3">
      <c r="B109" s="349"/>
      <c r="C109" s="350"/>
      <c r="D109" s="54"/>
      <c r="E109" s="5"/>
      <c r="F109" s="5"/>
      <c r="G109" s="31"/>
      <c r="H109" s="4"/>
      <c r="I109" s="39"/>
      <c r="J109" s="39"/>
      <c r="K109" s="39"/>
      <c r="L109" s="39"/>
      <c r="M109" s="4"/>
      <c r="N109" s="39"/>
      <c r="O109" s="39"/>
      <c r="P109" s="39"/>
      <c r="Q109" s="36"/>
      <c r="R109" s="4"/>
      <c r="S109" s="36"/>
      <c r="T109" s="36"/>
      <c r="U109" s="36"/>
      <c r="V109" s="36"/>
      <c r="W109" s="4"/>
      <c r="X109" s="36"/>
      <c r="Y109" s="36"/>
      <c r="Z109" s="36"/>
      <c r="AA109" s="36"/>
      <c r="AB109" s="4"/>
      <c r="AC109" s="36"/>
      <c r="AD109" s="36"/>
      <c r="AE109" s="36"/>
      <c r="AF109" s="36"/>
      <c r="AG109" s="4"/>
      <c r="AH109" s="36"/>
      <c r="AI109" s="36"/>
      <c r="AJ109" s="36"/>
      <c r="AK109" s="36"/>
      <c r="AL109" s="4"/>
      <c r="AM109" s="36"/>
      <c r="AN109" s="36"/>
      <c r="AO109" s="36"/>
      <c r="AP109" s="36"/>
      <c r="AQ109" s="4"/>
    </row>
    <row r="110" spans="2:43" s="75" customFormat="1" outlineLevel="1" x14ac:dyDescent="0.3">
      <c r="B110" s="384" t="s">
        <v>6</v>
      </c>
      <c r="C110" s="385"/>
      <c r="D110" s="54"/>
      <c r="E110" s="5"/>
      <c r="F110" s="5"/>
      <c r="G110" s="31"/>
      <c r="H110" s="4"/>
      <c r="I110" s="39"/>
      <c r="J110" s="39"/>
      <c r="K110" s="39"/>
      <c r="L110" s="39"/>
      <c r="M110" s="4"/>
      <c r="N110" s="39"/>
      <c r="O110" s="39"/>
      <c r="P110" s="39"/>
      <c r="Q110" s="36"/>
      <c r="R110" s="4"/>
      <c r="S110" s="36"/>
      <c r="T110" s="36"/>
      <c r="U110" s="36"/>
      <c r="V110" s="36"/>
      <c r="W110" s="4"/>
      <c r="X110" s="36"/>
      <c r="Y110" s="36"/>
      <c r="Z110" s="36"/>
      <c r="AA110" s="36"/>
      <c r="AB110" s="4"/>
      <c r="AC110" s="36"/>
      <c r="AD110" s="36"/>
      <c r="AE110" s="36"/>
      <c r="AF110" s="36"/>
      <c r="AG110" s="4"/>
      <c r="AH110" s="36"/>
      <c r="AI110" s="36"/>
      <c r="AJ110" s="36"/>
      <c r="AK110" s="36"/>
      <c r="AL110" s="4"/>
      <c r="AM110" s="36"/>
      <c r="AN110" s="36"/>
      <c r="AO110" s="36"/>
      <c r="AP110" s="36"/>
      <c r="AQ110" s="4"/>
    </row>
    <row r="111" spans="2:43" s="93" customFormat="1" outlineLevel="1" x14ac:dyDescent="0.3">
      <c r="B111" s="225" t="s">
        <v>164</v>
      </c>
      <c r="C111" s="226"/>
      <c r="D111" s="115">
        <v>1844.8969999999999</v>
      </c>
      <c r="E111" s="11">
        <v>1858.02</v>
      </c>
      <c r="F111" s="11">
        <v>2074.7660000000001</v>
      </c>
      <c r="G111" s="32">
        <v>2117.241</v>
      </c>
      <c r="H111" s="10">
        <f>G111</f>
        <v>2117.241</v>
      </c>
      <c r="I111" s="39">
        <v>2425.6190000000001</v>
      </c>
      <c r="J111" s="39">
        <v>2556.1799999999998</v>
      </c>
      <c r="K111" s="39">
        <v>2622.9639999999999</v>
      </c>
      <c r="L111" s="39">
        <v>2789.0230000000001</v>
      </c>
      <c r="M111" s="4">
        <f t="shared" ref="M111" si="345">L111</f>
        <v>2789.0230000000001</v>
      </c>
      <c r="N111" s="39">
        <v>3145.8609999999999</v>
      </c>
      <c r="O111" s="39">
        <v>3242.33</v>
      </c>
      <c r="P111" s="39">
        <v>3497.2139999999999</v>
      </c>
      <c r="Q111" s="124">
        <f>P111*1.02</f>
        <v>3567.1582800000001</v>
      </c>
      <c r="R111" s="4">
        <f t="shared" ref="R111" si="346">Q111</f>
        <v>3567.1582800000001</v>
      </c>
      <c r="S111" s="234">
        <f>Q111*1</f>
        <v>3567.1582800000001</v>
      </c>
      <c r="T111" s="124">
        <f>S111*1</f>
        <v>3567.1582800000001</v>
      </c>
      <c r="U111" s="234">
        <f>T111*1</f>
        <v>3567.1582800000001</v>
      </c>
      <c r="V111" s="124">
        <f>U111*1</f>
        <v>3567.1582800000001</v>
      </c>
      <c r="W111" s="4">
        <f t="shared" ref="W111" si="347">V111</f>
        <v>3567.1582800000001</v>
      </c>
      <c r="X111" s="234">
        <f>V111*1</f>
        <v>3567.1582800000001</v>
      </c>
      <c r="Y111" s="124">
        <f>X111*1</f>
        <v>3567.1582800000001</v>
      </c>
      <c r="Z111" s="234">
        <f>Y111*1</f>
        <v>3567.1582800000001</v>
      </c>
      <c r="AA111" s="124">
        <f>Z111*1</f>
        <v>3567.1582800000001</v>
      </c>
      <c r="AB111" s="4">
        <f t="shared" ref="AB111" si="348">AA111</f>
        <v>3567.1582800000001</v>
      </c>
      <c r="AC111" s="234">
        <f>AA111*1</f>
        <v>3567.1582800000001</v>
      </c>
      <c r="AD111" s="124">
        <f>AC111*1</f>
        <v>3567.1582800000001</v>
      </c>
      <c r="AE111" s="234">
        <f>AD111*1</f>
        <v>3567.1582800000001</v>
      </c>
      <c r="AF111" s="124">
        <f>AE111*1</f>
        <v>3567.1582800000001</v>
      </c>
      <c r="AG111" s="4">
        <f t="shared" ref="AG111" si="349">AF111</f>
        <v>3567.1582800000001</v>
      </c>
      <c r="AH111" s="234">
        <f>AF111*1</f>
        <v>3567.1582800000001</v>
      </c>
      <c r="AI111" s="124">
        <f>AH111*1</f>
        <v>3567.1582800000001</v>
      </c>
      <c r="AJ111" s="234">
        <f>AI111*1</f>
        <v>3567.1582800000001</v>
      </c>
      <c r="AK111" s="124">
        <f>AJ111*1</f>
        <v>3567.1582800000001</v>
      </c>
      <c r="AL111" s="4">
        <f t="shared" ref="AL111:AL114" si="350">AK111</f>
        <v>3567.1582800000001</v>
      </c>
      <c r="AM111" s="234">
        <f>AK111*1</f>
        <v>3567.1582800000001</v>
      </c>
      <c r="AN111" s="124">
        <f>AM111*1</f>
        <v>3567.1582800000001</v>
      </c>
      <c r="AO111" s="234">
        <f>AN111*1</f>
        <v>3567.1582800000001</v>
      </c>
      <c r="AP111" s="124">
        <f>AO111*1</f>
        <v>3567.1582800000001</v>
      </c>
      <c r="AQ111" s="4">
        <f t="shared" ref="AQ111:AQ114" si="351">AP111</f>
        <v>3567.1582800000001</v>
      </c>
    </row>
    <row r="112" spans="2:43" s="75" customFormat="1" outlineLevel="1" x14ac:dyDescent="0.3">
      <c r="B112" s="349" t="s">
        <v>65</v>
      </c>
      <c r="C112" s="350"/>
      <c r="D112" s="115">
        <v>133.88300000000001</v>
      </c>
      <c r="E112" s="11">
        <v>137.226</v>
      </c>
      <c r="F112" s="11">
        <v>150.374</v>
      </c>
      <c r="G112" s="32">
        <v>201.58099999999999</v>
      </c>
      <c r="H112" s="10">
        <f t="shared" ref="H112" si="352">G112</f>
        <v>201.58099999999999</v>
      </c>
      <c r="I112" s="39">
        <v>190.56700000000001</v>
      </c>
      <c r="J112" s="39">
        <v>211.72900000000001</v>
      </c>
      <c r="K112" s="39">
        <v>209.36500000000001</v>
      </c>
      <c r="L112" s="39">
        <v>253.49100000000001</v>
      </c>
      <c r="M112" s="4">
        <f t="shared" ref="M112" si="353">L112</f>
        <v>253.49100000000001</v>
      </c>
      <c r="N112" s="39">
        <v>231.91399999999999</v>
      </c>
      <c r="O112" s="39">
        <v>240.458</v>
      </c>
      <c r="P112" s="39">
        <v>285.75299999999999</v>
      </c>
      <c r="Q112" s="36">
        <f>(Q11/Q131*2)-P112</f>
        <v>331.74700000000001</v>
      </c>
      <c r="R112" s="4">
        <f t="shared" ref="R112" si="354">Q112</f>
        <v>331.74700000000001</v>
      </c>
      <c r="S112" s="36">
        <f>(S11/S131*2)-Q112</f>
        <v>294.23358273304831</v>
      </c>
      <c r="T112" s="36">
        <f>(T11/T131*2)-S112</f>
        <v>387.97980615490934</v>
      </c>
      <c r="U112" s="36">
        <f>(U11/U131*2)-T112</f>
        <v>330.45348018311262</v>
      </c>
      <c r="V112" s="36">
        <f>(V11/V131*2)-U112</f>
        <v>451.44341011774947</v>
      </c>
      <c r="W112" s="4">
        <f t="shared" ref="W112" si="355">V112</f>
        <v>451.44341011774947</v>
      </c>
      <c r="X112" s="36">
        <f>(X11/X131*2)-V112</f>
        <v>440.46200898844592</v>
      </c>
      <c r="Y112" s="36">
        <f>(Y11/Y131*2)-X112</f>
        <v>587.478096514252</v>
      </c>
      <c r="Z112" s="36">
        <f>(Z11/Z131*2)-Y112</f>
        <v>577.8164409081628</v>
      </c>
      <c r="AA112" s="36">
        <f>(AA11/AA131*2)-Z112</f>
        <v>792.45084022717037</v>
      </c>
      <c r="AB112" s="4">
        <f t="shared" ref="AB112" si="356">AA112</f>
        <v>792.45084022717037</v>
      </c>
      <c r="AC112" s="36">
        <f>(AC11/AC131*2)-AA112</f>
        <v>889.15635005844433</v>
      </c>
      <c r="AD112" s="36">
        <f>(AD11/AD131*2)-AC112</f>
        <v>1099.7725862298187</v>
      </c>
      <c r="AE112" s="36">
        <f>(AE11/AE131*2)-AD112</f>
        <v>1196.4012403794252</v>
      </c>
      <c r="AF112" s="36">
        <f>(AF11/AF131*2)-AE112</f>
        <v>1518.2516909854978</v>
      </c>
      <c r="AG112" s="4">
        <f t="shared" ref="AG112" si="357">AF112</f>
        <v>1518.2516909854978</v>
      </c>
      <c r="AH112" s="36">
        <f>(AH11/AH131*2)-AF112</f>
        <v>1826.2642719271737</v>
      </c>
      <c r="AI112" s="36">
        <f>(AI11/AI131*2)-AH112</f>
        <v>2219.3956540607833</v>
      </c>
      <c r="AJ112" s="36">
        <f>(AJ11/AJ131*2)-AI112</f>
        <v>2534.9241275080149</v>
      </c>
      <c r="AK112" s="36">
        <f>(AK11/AK131*2)-AJ112</f>
        <v>3185.1139611394347</v>
      </c>
      <c r="AL112" s="4">
        <f t="shared" si="350"/>
        <v>3185.1139611394347</v>
      </c>
      <c r="AM112" s="36">
        <f>(AM11/AM131*2)-AK112</f>
        <v>4220.6047143798669</v>
      </c>
      <c r="AN112" s="36">
        <f>(AN11/AN131*2)-AM112</f>
        <v>5175.0056428734888</v>
      </c>
      <c r="AO112" s="36">
        <f>(AO11/AO131*2)-AN112</f>
        <v>6727.0039300793769</v>
      </c>
      <c r="AP112" s="36">
        <f>(AP11/AP131*2)-AO112</f>
        <v>7739.364578238482</v>
      </c>
      <c r="AQ112" s="4">
        <f t="shared" si="351"/>
        <v>7739.364578238482</v>
      </c>
    </row>
    <row r="113" spans="2:43" s="75" customFormat="1" outlineLevel="1" x14ac:dyDescent="0.3">
      <c r="B113" s="212" t="s">
        <v>165</v>
      </c>
      <c r="C113" s="213"/>
      <c r="D113" s="115">
        <v>54.857999999999997</v>
      </c>
      <c r="E113" s="11">
        <v>98.548000000000002</v>
      </c>
      <c r="F113" s="11">
        <v>70.558999999999997</v>
      </c>
      <c r="G113" s="32">
        <v>69.745999999999995</v>
      </c>
      <c r="H113" s="10">
        <f>G113</f>
        <v>69.745999999999995</v>
      </c>
      <c r="I113" s="39">
        <v>107.32299999999999</v>
      </c>
      <c r="J113" s="39">
        <v>150.40600000000001</v>
      </c>
      <c r="K113" s="39">
        <v>179.35</v>
      </c>
      <c r="L113" s="39">
        <v>140.38900000000001</v>
      </c>
      <c r="M113" s="4">
        <f t="shared" ref="M113:M114" si="358">L113</f>
        <v>140.38900000000001</v>
      </c>
      <c r="N113" s="39">
        <v>181.63399999999999</v>
      </c>
      <c r="O113" s="39">
        <v>172.07300000000001</v>
      </c>
      <c r="P113" s="39">
        <v>201.232</v>
      </c>
      <c r="Q113" s="124">
        <f t="shared" ref="Q113" si="359">P113</f>
        <v>201.232</v>
      </c>
      <c r="R113" s="4">
        <f t="shared" ref="R113:R114" si="360">Q113</f>
        <v>201.232</v>
      </c>
      <c r="S113" s="124">
        <f>R113</f>
        <v>201.232</v>
      </c>
      <c r="T113" s="124">
        <f t="shared" ref="T113:V113" si="361">S113</f>
        <v>201.232</v>
      </c>
      <c r="U113" s="124">
        <f t="shared" si="361"/>
        <v>201.232</v>
      </c>
      <c r="V113" s="124">
        <f t="shared" si="361"/>
        <v>201.232</v>
      </c>
      <c r="W113" s="4">
        <f t="shared" ref="W113:W114" si="362">V113</f>
        <v>201.232</v>
      </c>
      <c r="X113" s="124">
        <f>W113</f>
        <v>201.232</v>
      </c>
      <c r="Y113" s="124">
        <f t="shared" ref="Y113" si="363">X113</f>
        <v>201.232</v>
      </c>
      <c r="Z113" s="124">
        <f t="shared" ref="Z113" si="364">Y113</f>
        <v>201.232</v>
      </c>
      <c r="AA113" s="124">
        <f t="shared" ref="AA113" si="365">Z113</f>
        <v>201.232</v>
      </c>
      <c r="AB113" s="4">
        <f t="shared" ref="AB113:AB114" si="366">AA113</f>
        <v>201.232</v>
      </c>
      <c r="AC113" s="124">
        <f>AB113</f>
        <v>201.232</v>
      </c>
      <c r="AD113" s="124">
        <f t="shared" ref="AD113" si="367">AC113</f>
        <v>201.232</v>
      </c>
      <c r="AE113" s="124">
        <f t="shared" ref="AE113" si="368">AD113</f>
        <v>201.232</v>
      </c>
      <c r="AF113" s="124">
        <f t="shared" ref="AF113" si="369">AE113</f>
        <v>201.232</v>
      </c>
      <c r="AG113" s="4">
        <f t="shared" ref="AG113:AG114" si="370">AF113</f>
        <v>201.232</v>
      </c>
      <c r="AH113" s="124">
        <f>AG113</f>
        <v>201.232</v>
      </c>
      <c r="AI113" s="124">
        <f t="shared" ref="AI113" si="371">AH113</f>
        <v>201.232</v>
      </c>
      <c r="AJ113" s="124">
        <f t="shared" ref="AJ113" si="372">AI113</f>
        <v>201.232</v>
      </c>
      <c r="AK113" s="124">
        <f t="shared" ref="AK113" si="373">AJ113</f>
        <v>201.232</v>
      </c>
      <c r="AL113" s="4">
        <f t="shared" si="350"/>
        <v>201.232</v>
      </c>
      <c r="AM113" s="124">
        <f>AL113</f>
        <v>201.232</v>
      </c>
      <c r="AN113" s="124">
        <f t="shared" ref="AN113" si="374">AM113</f>
        <v>201.232</v>
      </c>
      <c r="AO113" s="124">
        <f t="shared" ref="AO113" si="375">AN113</f>
        <v>201.232</v>
      </c>
      <c r="AP113" s="124">
        <f t="shared" ref="AP113" si="376">AO113</f>
        <v>201.232</v>
      </c>
      <c r="AQ113" s="4">
        <f t="shared" si="351"/>
        <v>201.232</v>
      </c>
    </row>
    <row r="114" spans="2:43" s="75" customFormat="1" ht="16.2" outlineLevel="1" x14ac:dyDescent="0.45">
      <c r="B114" s="212" t="s">
        <v>166</v>
      </c>
      <c r="C114" s="213"/>
      <c r="D114" s="138">
        <v>230.01499999999999</v>
      </c>
      <c r="E114" s="296">
        <v>241.33</v>
      </c>
      <c r="F114" s="296">
        <v>252.95599999999999</v>
      </c>
      <c r="G114" s="297">
        <v>274.58600000000001</v>
      </c>
      <c r="H114" s="149">
        <f>G114</f>
        <v>274.58600000000001</v>
      </c>
      <c r="I114" s="298">
        <v>285.33999999999997</v>
      </c>
      <c r="J114" s="298">
        <v>301.75400000000002</v>
      </c>
      <c r="K114" s="298">
        <v>329.73899999999998</v>
      </c>
      <c r="L114" s="298">
        <v>346.721</v>
      </c>
      <c r="M114" s="149">
        <f t="shared" si="358"/>
        <v>346.721</v>
      </c>
      <c r="N114" s="298">
        <v>374.22300000000001</v>
      </c>
      <c r="O114" s="298">
        <v>396.976</v>
      </c>
      <c r="P114" s="298">
        <v>427.20600000000002</v>
      </c>
      <c r="Q114" s="299">
        <f>P114</f>
        <v>427.20600000000002</v>
      </c>
      <c r="R114" s="149">
        <f t="shared" si="360"/>
        <v>427.20600000000002</v>
      </c>
      <c r="S114" s="299">
        <f>Q114</f>
        <v>427.20600000000002</v>
      </c>
      <c r="T114" s="299">
        <f>S114</f>
        <v>427.20600000000002</v>
      </c>
      <c r="U114" s="299">
        <f>T114</f>
        <v>427.20600000000002</v>
      </c>
      <c r="V114" s="299">
        <f>U114</f>
        <v>427.20600000000002</v>
      </c>
      <c r="W114" s="149">
        <f t="shared" si="362"/>
        <v>427.20600000000002</v>
      </c>
      <c r="X114" s="299">
        <f>V114</f>
        <v>427.20600000000002</v>
      </c>
      <c r="Y114" s="299">
        <f>X114</f>
        <v>427.20600000000002</v>
      </c>
      <c r="Z114" s="299">
        <f>Y114</f>
        <v>427.20600000000002</v>
      </c>
      <c r="AA114" s="299">
        <f>Z114</f>
        <v>427.20600000000002</v>
      </c>
      <c r="AB114" s="149">
        <f t="shared" si="366"/>
        <v>427.20600000000002</v>
      </c>
      <c r="AC114" s="299">
        <f>AA114</f>
        <v>427.20600000000002</v>
      </c>
      <c r="AD114" s="299">
        <f>AC114</f>
        <v>427.20600000000002</v>
      </c>
      <c r="AE114" s="299">
        <f>AD114</f>
        <v>427.20600000000002</v>
      </c>
      <c r="AF114" s="299">
        <f>AE114</f>
        <v>427.20600000000002</v>
      </c>
      <c r="AG114" s="149">
        <f t="shared" si="370"/>
        <v>427.20600000000002</v>
      </c>
      <c r="AH114" s="299">
        <f>AF114</f>
        <v>427.20600000000002</v>
      </c>
      <c r="AI114" s="299">
        <f>AH114</f>
        <v>427.20600000000002</v>
      </c>
      <c r="AJ114" s="299">
        <f>AI114</f>
        <v>427.20600000000002</v>
      </c>
      <c r="AK114" s="299">
        <f>AJ114</f>
        <v>427.20600000000002</v>
      </c>
      <c r="AL114" s="149">
        <f t="shared" si="350"/>
        <v>427.20600000000002</v>
      </c>
      <c r="AM114" s="299">
        <f>AK114</f>
        <v>427.20600000000002</v>
      </c>
      <c r="AN114" s="299">
        <f>AM114</f>
        <v>427.20600000000002</v>
      </c>
      <c r="AO114" s="299">
        <f>AN114</f>
        <v>427.20600000000002</v>
      </c>
      <c r="AP114" s="299">
        <f>AO114</f>
        <v>427.20600000000002</v>
      </c>
      <c r="AQ114" s="149">
        <f t="shared" si="351"/>
        <v>427.20600000000002</v>
      </c>
    </row>
    <row r="115" spans="2:43" s="75" customFormat="1" outlineLevel="1" x14ac:dyDescent="0.3">
      <c r="B115" s="382" t="s">
        <v>7</v>
      </c>
      <c r="C115" s="383"/>
      <c r="D115" s="94">
        <f>SUM(D111:D114)</f>
        <v>2263.6529999999998</v>
      </c>
      <c r="E115" s="8">
        <f t="shared" ref="E115:AK115" si="377">SUM(E111:E114)</f>
        <v>2335.1239999999998</v>
      </c>
      <c r="F115" s="8">
        <f t="shared" si="377"/>
        <v>2548.6550000000002</v>
      </c>
      <c r="G115" s="13">
        <f t="shared" si="377"/>
        <v>2663.1540000000005</v>
      </c>
      <c r="H115" s="7">
        <f t="shared" si="377"/>
        <v>2663.1540000000005</v>
      </c>
      <c r="I115" s="38">
        <f t="shared" si="377"/>
        <v>3008.8490000000002</v>
      </c>
      <c r="J115" s="38">
        <f t="shared" si="377"/>
        <v>3220.0689999999995</v>
      </c>
      <c r="K115" s="38">
        <f t="shared" si="377"/>
        <v>3341.4179999999997</v>
      </c>
      <c r="L115" s="38">
        <f t="shared" si="377"/>
        <v>3529.6240000000003</v>
      </c>
      <c r="M115" s="7">
        <f t="shared" si="377"/>
        <v>3529.6240000000003</v>
      </c>
      <c r="N115" s="38">
        <f t="shared" si="377"/>
        <v>3933.6319999999996</v>
      </c>
      <c r="O115" s="38">
        <f t="shared" si="377"/>
        <v>4051.837</v>
      </c>
      <c r="P115" s="38">
        <f t="shared" si="377"/>
        <v>4411.4049999999997</v>
      </c>
      <c r="Q115" s="37">
        <f t="shared" si="377"/>
        <v>4527.34328</v>
      </c>
      <c r="R115" s="7">
        <f t="shared" si="377"/>
        <v>4527.34328</v>
      </c>
      <c r="S115" s="37">
        <f t="shared" si="377"/>
        <v>4489.8298627330487</v>
      </c>
      <c r="T115" s="37">
        <f t="shared" si="377"/>
        <v>4583.5760861549097</v>
      </c>
      <c r="U115" s="37">
        <f t="shared" si="377"/>
        <v>4526.049760183113</v>
      </c>
      <c r="V115" s="37">
        <f t="shared" si="377"/>
        <v>4647.0396901177501</v>
      </c>
      <c r="W115" s="7">
        <f t="shared" si="377"/>
        <v>4647.0396901177501</v>
      </c>
      <c r="X115" s="37">
        <f t="shared" ref="X115:AA115" si="378">SUM(X111:X114)</f>
        <v>4636.0582889884463</v>
      </c>
      <c r="Y115" s="37">
        <f t="shared" si="378"/>
        <v>4783.0743765142524</v>
      </c>
      <c r="Z115" s="37">
        <f t="shared" si="378"/>
        <v>4773.4127209081635</v>
      </c>
      <c r="AA115" s="37">
        <f t="shared" si="378"/>
        <v>4988.047120227171</v>
      </c>
      <c r="AB115" s="7">
        <f t="shared" si="377"/>
        <v>4988.047120227171</v>
      </c>
      <c r="AC115" s="37">
        <f t="shared" ref="AC115:AF115" si="379">SUM(AC111:AC114)</f>
        <v>5084.752630058445</v>
      </c>
      <c r="AD115" s="37">
        <f t="shared" si="379"/>
        <v>5295.3688662298191</v>
      </c>
      <c r="AE115" s="37">
        <f t="shared" si="379"/>
        <v>5391.9975203794256</v>
      </c>
      <c r="AF115" s="37">
        <f t="shared" si="379"/>
        <v>5713.8479709854983</v>
      </c>
      <c r="AG115" s="7">
        <f t="shared" si="377"/>
        <v>5713.8479709854983</v>
      </c>
      <c r="AH115" s="37">
        <f t="shared" si="377"/>
        <v>6021.8605519271741</v>
      </c>
      <c r="AI115" s="37">
        <f t="shared" si="377"/>
        <v>6414.991934060783</v>
      </c>
      <c r="AJ115" s="37">
        <f t="shared" si="377"/>
        <v>6730.5204075080146</v>
      </c>
      <c r="AK115" s="37">
        <f t="shared" si="377"/>
        <v>7380.7102411394353</v>
      </c>
      <c r="AL115" s="7">
        <f t="shared" ref="AL115:AP115" si="380">SUM(AL111:AL114)</f>
        <v>7380.7102411394353</v>
      </c>
      <c r="AM115" s="37">
        <f t="shared" si="380"/>
        <v>8416.2009943798676</v>
      </c>
      <c r="AN115" s="37">
        <f t="shared" si="380"/>
        <v>9370.6019228734895</v>
      </c>
      <c r="AO115" s="37">
        <f t="shared" si="380"/>
        <v>10922.600210079378</v>
      </c>
      <c r="AP115" s="37">
        <f t="shared" si="380"/>
        <v>11934.960858238483</v>
      </c>
      <c r="AQ115" s="7">
        <f t="shared" ref="AQ115" si="381">SUM(AQ111:AQ114)</f>
        <v>11934.960858238483</v>
      </c>
    </row>
    <row r="116" spans="2:43" s="75" customFormat="1" outlineLevel="1" x14ac:dyDescent="0.3">
      <c r="B116" s="349" t="s">
        <v>167</v>
      </c>
      <c r="C116" s="350"/>
      <c r="D116" s="115">
        <v>1321.8789999999999</v>
      </c>
      <c r="E116" s="214">
        <v>1390.77</v>
      </c>
      <c r="F116" s="11">
        <v>1510.403</v>
      </c>
      <c r="G116" s="32">
        <v>1575.8320000000001</v>
      </c>
      <c r="H116" s="10">
        <f t="shared" ref="H116:H118" si="382">G116</f>
        <v>1575.8320000000001</v>
      </c>
      <c r="I116" s="39">
        <v>1861.7909999999999</v>
      </c>
      <c r="J116" s="39">
        <v>1942.624</v>
      </c>
      <c r="K116" s="39">
        <v>1966.854</v>
      </c>
      <c r="L116" s="39">
        <v>2026.36</v>
      </c>
      <c r="M116" s="4">
        <f t="shared" ref="M116:M117" si="383">L116</f>
        <v>2026.36</v>
      </c>
      <c r="N116" s="39">
        <v>2586.098</v>
      </c>
      <c r="O116" s="39">
        <v>2698.52</v>
      </c>
      <c r="P116" s="39">
        <v>2975.1889999999999</v>
      </c>
      <c r="Q116" s="124">
        <f t="shared" ref="Q116" si="384">P116</f>
        <v>2975.1889999999999</v>
      </c>
      <c r="R116" s="4">
        <f t="shared" ref="R116:R117" si="385">Q116</f>
        <v>2975.1889999999999</v>
      </c>
      <c r="S116" s="124">
        <f>R116</f>
        <v>2975.1889999999999</v>
      </c>
      <c r="T116" s="124">
        <f t="shared" ref="T116" si="386">S116</f>
        <v>2975.1889999999999</v>
      </c>
      <c r="U116" s="124">
        <f t="shared" ref="U116" si="387">T116</f>
        <v>2975.1889999999999</v>
      </c>
      <c r="V116" s="124">
        <f t="shared" ref="V116" si="388">U116</f>
        <v>2975.1889999999999</v>
      </c>
      <c r="W116" s="4">
        <f t="shared" ref="W116:W117" si="389">V116</f>
        <v>2975.1889999999999</v>
      </c>
      <c r="X116" s="124">
        <f>W116</f>
        <v>2975.1889999999999</v>
      </c>
      <c r="Y116" s="124">
        <f t="shared" ref="Y116" si="390">X116</f>
        <v>2975.1889999999999</v>
      </c>
      <c r="Z116" s="124">
        <f t="shared" ref="Z116" si="391">Y116</f>
        <v>2975.1889999999999</v>
      </c>
      <c r="AA116" s="124">
        <f t="shared" ref="AA116" si="392">Z116</f>
        <v>2975.1889999999999</v>
      </c>
      <c r="AB116" s="4">
        <f t="shared" ref="AB116:AB117" si="393">AA116</f>
        <v>2975.1889999999999</v>
      </c>
      <c r="AC116" s="124">
        <f>AB116</f>
        <v>2975.1889999999999</v>
      </c>
      <c r="AD116" s="124">
        <f t="shared" ref="AD116" si="394">AC116</f>
        <v>2975.1889999999999</v>
      </c>
      <c r="AE116" s="124">
        <f t="shared" ref="AE116" si="395">AD116</f>
        <v>2975.1889999999999</v>
      </c>
      <c r="AF116" s="124">
        <f t="shared" ref="AF116" si="396">AE116</f>
        <v>2975.1889999999999</v>
      </c>
      <c r="AG116" s="4">
        <f t="shared" ref="AG116:AG117" si="397">AF116</f>
        <v>2975.1889999999999</v>
      </c>
      <c r="AH116" s="124">
        <f>AG116</f>
        <v>2975.1889999999999</v>
      </c>
      <c r="AI116" s="124">
        <f t="shared" ref="AI116:AI118" si="398">AH116</f>
        <v>2975.1889999999999</v>
      </c>
      <c r="AJ116" s="124">
        <f t="shared" ref="AJ116:AJ118" si="399">AI116</f>
        <v>2975.1889999999999</v>
      </c>
      <c r="AK116" s="124">
        <f t="shared" ref="AK116:AK118" si="400">AJ116</f>
        <v>2975.1889999999999</v>
      </c>
      <c r="AL116" s="4">
        <f t="shared" ref="AL116:AL118" si="401">AK116</f>
        <v>2975.1889999999999</v>
      </c>
      <c r="AM116" s="124">
        <f>AL116</f>
        <v>2975.1889999999999</v>
      </c>
      <c r="AN116" s="124">
        <f t="shared" ref="AN116:AN118" si="402">AM116</f>
        <v>2975.1889999999999</v>
      </c>
      <c r="AO116" s="124">
        <f t="shared" ref="AO116:AO118" si="403">AN116</f>
        <v>2975.1889999999999</v>
      </c>
      <c r="AP116" s="124">
        <f t="shared" ref="AP116:AP118" si="404">AO116</f>
        <v>2975.1889999999999</v>
      </c>
      <c r="AQ116" s="4">
        <f t="shared" ref="AQ116:AQ118" si="405">AP116</f>
        <v>2975.1889999999999</v>
      </c>
    </row>
    <row r="117" spans="2:43" s="75" customFormat="1" outlineLevel="1" x14ac:dyDescent="0.3">
      <c r="B117" s="212" t="s">
        <v>113</v>
      </c>
      <c r="C117" s="213"/>
      <c r="D117" s="115">
        <v>900</v>
      </c>
      <c r="E117" s="214">
        <v>900</v>
      </c>
      <c r="F117" s="11">
        <v>900</v>
      </c>
      <c r="G117" s="32">
        <v>900</v>
      </c>
      <c r="H117" s="10">
        <f>G117</f>
        <v>900</v>
      </c>
      <c r="I117" s="39">
        <v>2400</v>
      </c>
      <c r="J117" s="39">
        <v>2400</v>
      </c>
      <c r="K117" s="39">
        <v>2400</v>
      </c>
      <c r="L117" s="39">
        <v>2371.3620000000001</v>
      </c>
      <c r="M117" s="4">
        <f t="shared" si="383"/>
        <v>2371.3620000000001</v>
      </c>
      <c r="N117" s="39">
        <v>2372.2179999999998</v>
      </c>
      <c r="O117" s="39">
        <v>2373.085</v>
      </c>
      <c r="P117" s="39">
        <v>2373.9659999999999</v>
      </c>
      <c r="Q117" s="124">
        <f t="shared" ref="Q117:Q118" si="406">P117</f>
        <v>2373.9659999999999</v>
      </c>
      <c r="R117" s="4">
        <f t="shared" si="385"/>
        <v>2373.9659999999999</v>
      </c>
      <c r="S117" s="124">
        <f>Q117</f>
        <v>2373.9659999999999</v>
      </c>
      <c r="T117" s="124">
        <f t="shared" ref="T117:V118" si="407">S117</f>
        <v>2373.9659999999999</v>
      </c>
      <c r="U117" s="124">
        <f t="shared" si="407"/>
        <v>2373.9659999999999</v>
      </c>
      <c r="V117" s="124">
        <f t="shared" si="407"/>
        <v>2373.9659999999999</v>
      </c>
      <c r="W117" s="4">
        <f t="shared" si="389"/>
        <v>2373.9659999999999</v>
      </c>
      <c r="X117" s="124">
        <f>V117</f>
        <v>2373.9659999999999</v>
      </c>
      <c r="Y117" s="124">
        <f t="shared" ref="Y117:AA118" si="408">X117</f>
        <v>2373.9659999999999</v>
      </c>
      <c r="Z117" s="124">
        <f t="shared" si="408"/>
        <v>2373.9659999999999</v>
      </c>
      <c r="AA117" s="124">
        <f t="shared" si="408"/>
        <v>2373.9659999999999</v>
      </c>
      <c r="AB117" s="4">
        <f t="shared" si="393"/>
        <v>2373.9659999999999</v>
      </c>
      <c r="AC117" s="124">
        <f>AA117</f>
        <v>2373.9659999999999</v>
      </c>
      <c r="AD117" s="124">
        <f t="shared" ref="AD117:AF118" si="409">AC117</f>
        <v>2373.9659999999999</v>
      </c>
      <c r="AE117" s="124">
        <f t="shared" si="409"/>
        <v>2373.9659999999999</v>
      </c>
      <c r="AF117" s="124">
        <f t="shared" si="409"/>
        <v>2373.9659999999999</v>
      </c>
      <c r="AG117" s="4">
        <f t="shared" si="397"/>
        <v>2373.9659999999999</v>
      </c>
      <c r="AH117" s="124">
        <f>AF117</f>
        <v>2373.9659999999999</v>
      </c>
      <c r="AI117" s="124">
        <f t="shared" si="398"/>
        <v>2373.9659999999999</v>
      </c>
      <c r="AJ117" s="124">
        <f t="shared" si="399"/>
        <v>2373.9659999999999</v>
      </c>
      <c r="AK117" s="124">
        <f t="shared" si="400"/>
        <v>2373.9659999999999</v>
      </c>
      <c r="AL117" s="4">
        <f t="shared" si="401"/>
        <v>2373.9659999999999</v>
      </c>
      <c r="AM117" s="124">
        <f>AK117</f>
        <v>2373.9659999999999</v>
      </c>
      <c r="AN117" s="124">
        <f t="shared" si="402"/>
        <v>2373.9659999999999</v>
      </c>
      <c r="AO117" s="124">
        <f t="shared" si="403"/>
        <v>2373.9659999999999</v>
      </c>
      <c r="AP117" s="124">
        <f t="shared" si="404"/>
        <v>2373.9659999999999</v>
      </c>
      <c r="AQ117" s="4">
        <f t="shared" si="405"/>
        <v>2373.9659999999999</v>
      </c>
    </row>
    <row r="118" spans="2:43" s="75" customFormat="1" ht="15.75" customHeight="1" outlineLevel="1" x14ac:dyDescent="0.45">
      <c r="B118" s="386" t="s">
        <v>66</v>
      </c>
      <c r="C118" s="387"/>
      <c r="D118" s="138">
        <v>84.215999999999994</v>
      </c>
      <c r="E118" s="300">
        <v>90.222999999999999</v>
      </c>
      <c r="F118" s="296">
        <v>94.397000000000006</v>
      </c>
      <c r="G118" s="297">
        <v>59.957000000000001</v>
      </c>
      <c r="H118" s="149">
        <f t="shared" si="382"/>
        <v>59.957000000000001</v>
      </c>
      <c r="I118" s="298">
        <v>60.771999999999998</v>
      </c>
      <c r="J118" s="298">
        <v>60.093000000000004</v>
      </c>
      <c r="K118" s="298">
        <v>40.677</v>
      </c>
      <c r="L118" s="298">
        <v>52.098999999999997</v>
      </c>
      <c r="M118" s="149">
        <f t="shared" ref="M118" si="410">L118</f>
        <v>52.098999999999997</v>
      </c>
      <c r="N118" s="298">
        <v>53.093000000000004</v>
      </c>
      <c r="O118" s="298">
        <v>54.231000000000002</v>
      </c>
      <c r="P118" s="298">
        <v>57.811999999999998</v>
      </c>
      <c r="Q118" s="299">
        <f t="shared" si="406"/>
        <v>57.811999999999998</v>
      </c>
      <c r="R118" s="149">
        <f t="shared" ref="R118" si="411">Q118</f>
        <v>57.811999999999998</v>
      </c>
      <c r="S118" s="299">
        <f>Q118</f>
        <v>57.811999999999998</v>
      </c>
      <c r="T118" s="299">
        <f t="shared" si="407"/>
        <v>57.811999999999998</v>
      </c>
      <c r="U118" s="299">
        <f t="shared" si="407"/>
        <v>57.811999999999998</v>
      </c>
      <c r="V118" s="299">
        <f t="shared" si="407"/>
        <v>57.811999999999998</v>
      </c>
      <c r="W118" s="149">
        <f t="shared" ref="W118" si="412">V118</f>
        <v>57.811999999999998</v>
      </c>
      <c r="X118" s="299">
        <f>V118</f>
        <v>57.811999999999998</v>
      </c>
      <c r="Y118" s="299">
        <f t="shared" si="408"/>
        <v>57.811999999999998</v>
      </c>
      <c r="Z118" s="299">
        <f t="shared" si="408"/>
        <v>57.811999999999998</v>
      </c>
      <c r="AA118" s="299">
        <f t="shared" si="408"/>
        <v>57.811999999999998</v>
      </c>
      <c r="AB118" s="149">
        <f t="shared" ref="AB118" si="413">AA118</f>
        <v>57.811999999999998</v>
      </c>
      <c r="AC118" s="299">
        <f>AA118</f>
        <v>57.811999999999998</v>
      </c>
      <c r="AD118" s="299">
        <f t="shared" si="409"/>
        <v>57.811999999999998</v>
      </c>
      <c r="AE118" s="299">
        <f t="shared" si="409"/>
        <v>57.811999999999998</v>
      </c>
      <c r="AF118" s="299">
        <f t="shared" si="409"/>
        <v>57.811999999999998</v>
      </c>
      <c r="AG118" s="149">
        <f t="shared" ref="AG118" si="414">AF118</f>
        <v>57.811999999999998</v>
      </c>
      <c r="AH118" s="299">
        <f>AF118</f>
        <v>57.811999999999998</v>
      </c>
      <c r="AI118" s="299">
        <f t="shared" si="398"/>
        <v>57.811999999999998</v>
      </c>
      <c r="AJ118" s="299">
        <f t="shared" si="399"/>
        <v>57.811999999999998</v>
      </c>
      <c r="AK118" s="299">
        <f t="shared" si="400"/>
        <v>57.811999999999998</v>
      </c>
      <c r="AL118" s="149">
        <f t="shared" si="401"/>
        <v>57.811999999999998</v>
      </c>
      <c r="AM118" s="299">
        <f>AK118</f>
        <v>57.811999999999998</v>
      </c>
      <c r="AN118" s="299">
        <f t="shared" si="402"/>
        <v>57.811999999999998</v>
      </c>
      <c r="AO118" s="299">
        <f t="shared" si="403"/>
        <v>57.811999999999998</v>
      </c>
      <c r="AP118" s="299">
        <f t="shared" si="404"/>
        <v>57.811999999999998</v>
      </c>
      <c r="AQ118" s="149">
        <f t="shared" si="405"/>
        <v>57.811999999999998</v>
      </c>
    </row>
    <row r="119" spans="2:43" s="75" customFormat="1" outlineLevel="1" x14ac:dyDescent="0.3">
      <c r="B119" s="382" t="s">
        <v>8</v>
      </c>
      <c r="C119" s="383"/>
      <c r="D119" s="94">
        <f>SUM(D115:D118)</f>
        <v>4569.7479999999996</v>
      </c>
      <c r="E119" s="8">
        <f t="shared" ref="E119:AK119" si="415">SUM(E115:E118)</f>
        <v>4716.1170000000002</v>
      </c>
      <c r="F119" s="8">
        <f t="shared" si="415"/>
        <v>5053.4549999999999</v>
      </c>
      <c r="G119" s="13">
        <f t="shared" si="415"/>
        <v>5198.9430000000011</v>
      </c>
      <c r="H119" s="7">
        <f t="shared" si="415"/>
        <v>5198.9430000000011</v>
      </c>
      <c r="I119" s="38">
        <f t="shared" si="415"/>
        <v>7331.4120000000003</v>
      </c>
      <c r="J119" s="38">
        <f t="shared" si="415"/>
        <v>7622.7859999999991</v>
      </c>
      <c r="K119" s="38">
        <f t="shared" si="415"/>
        <v>7748.9489999999996</v>
      </c>
      <c r="L119" s="37">
        <f t="shared" si="415"/>
        <v>7979.4450000000006</v>
      </c>
      <c r="M119" s="7">
        <f t="shared" si="415"/>
        <v>7979.4450000000006</v>
      </c>
      <c r="N119" s="38">
        <f>SUM(N115:N118)</f>
        <v>8945.0410000000011</v>
      </c>
      <c r="O119" s="38">
        <f t="shared" si="415"/>
        <v>9177.6729999999989</v>
      </c>
      <c r="P119" s="38">
        <f t="shared" si="415"/>
        <v>9818.3719999999994</v>
      </c>
      <c r="Q119" s="37">
        <f t="shared" si="415"/>
        <v>9934.3102799999997</v>
      </c>
      <c r="R119" s="7">
        <f t="shared" si="415"/>
        <v>9934.3102799999997</v>
      </c>
      <c r="S119" s="37">
        <f t="shared" si="415"/>
        <v>9896.7968627330483</v>
      </c>
      <c r="T119" s="37">
        <f t="shared" si="415"/>
        <v>9990.5430861549103</v>
      </c>
      <c r="U119" s="37">
        <f t="shared" si="415"/>
        <v>9933.0167601831126</v>
      </c>
      <c r="V119" s="37">
        <f t="shared" si="415"/>
        <v>10054.006690117751</v>
      </c>
      <c r="W119" s="7">
        <f t="shared" si="415"/>
        <v>10054.006690117751</v>
      </c>
      <c r="X119" s="37">
        <f t="shared" ref="X119:AA119" si="416">SUM(X115:X118)</f>
        <v>10043.025288988447</v>
      </c>
      <c r="Y119" s="37">
        <f t="shared" si="416"/>
        <v>10190.041376514253</v>
      </c>
      <c r="Z119" s="37">
        <f t="shared" si="416"/>
        <v>10180.379720908164</v>
      </c>
      <c r="AA119" s="37">
        <f t="shared" si="416"/>
        <v>10395.014120227172</v>
      </c>
      <c r="AB119" s="7">
        <f t="shared" si="415"/>
        <v>10395.014120227172</v>
      </c>
      <c r="AC119" s="37">
        <f t="shared" ref="AC119:AF119" si="417">SUM(AC115:AC118)</f>
        <v>10491.719630058446</v>
      </c>
      <c r="AD119" s="37">
        <f t="shared" si="417"/>
        <v>10702.33586622982</v>
      </c>
      <c r="AE119" s="37">
        <f t="shared" si="417"/>
        <v>10798.964520379426</v>
      </c>
      <c r="AF119" s="37">
        <f t="shared" si="417"/>
        <v>11120.814970985499</v>
      </c>
      <c r="AG119" s="7">
        <f t="shared" si="415"/>
        <v>11120.814970985499</v>
      </c>
      <c r="AH119" s="37">
        <f t="shared" si="415"/>
        <v>11428.827551927174</v>
      </c>
      <c r="AI119" s="37">
        <f t="shared" si="415"/>
        <v>11821.958934060784</v>
      </c>
      <c r="AJ119" s="37">
        <f t="shared" si="415"/>
        <v>12137.487407508015</v>
      </c>
      <c r="AK119" s="37">
        <f t="shared" si="415"/>
        <v>12787.677241139436</v>
      </c>
      <c r="AL119" s="7">
        <f t="shared" ref="AL119:AP119" si="418">SUM(AL115:AL118)</f>
        <v>12787.677241139436</v>
      </c>
      <c r="AM119" s="37">
        <f t="shared" si="418"/>
        <v>13823.167994379868</v>
      </c>
      <c r="AN119" s="37">
        <f t="shared" si="418"/>
        <v>14777.56892287349</v>
      </c>
      <c r="AO119" s="37">
        <f t="shared" si="418"/>
        <v>16329.567210079378</v>
      </c>
      <c r="AP119" s="37">
        <f t="shared" si="418"/>
        <v>17341.927858238483</v>
      </c>
      <c r="AQ119" s="7">
        <f t="shared" ref="AQ119" si="419">SUM(AQ115:AQ118)</f>
        <v>17341.927858238483</v>
      </c>
    </row>
    <row r="120" spans="2:43" s="75" customFormat="1" ht="6.75" customHeight="1" outlineLevel="1" x14ac:dyDescent="0.3">
      <c r="B120" s="349"/>
      <c r="C120" s="350"/>
      <c r="D120" s="115"/>
      <c r="E120" s="11"/>
      <c r="F120" s="11"/>
      <c r="G120" s="32"/>
      <c r="H120" s="10"/>
      <c r="I120" s="39"/>
      <c r="J120" s="39"/>
      <c r="K120" s="36"/>
      <c r="L120" s="36"/>
      <c r="M120" s="4"/>
      <c r="N120" s="39"/>
      <c r="O120" s="39"/>
      <c r="P120" s="39"/>
      <c r="Q120" s="36"/>
      <c r="R120" s="4"/>
      <c r="S120" s="36"/>
      <c r="T120" s="36"/>
      <c r="U120" s="36"/>
      <c r="V120" s="36"/>
      <c r="W120" s="4"/>
      <c r="X120" s="36"/>
      <c r="Y120" s="36"/>
      <c r="Z120" s="36"/>
      <c r="AA120" s="36"/>
      <c r="AB120" s="4"/>
      <c r="AC120" s="36"/>
      <c r="AD120" s="36"/>
      <c r="AE120" s="36"/>
      <c r="AF120" s="36"/>
      <c r="AG120" s="4"/>
      <c r="AH120" s="36"/>
      <c r="AI120" s="36"/>
      <c r="AJ120" s="36"/>
      <c r="AK120" s="36"/>
      <c r="AL120" s="4"/>
      <c r="AM120" s="36"/>
      <c r="AN120" s="36"/>
      <c r="AO120" s="36"/>
      <c r="AP120" s="36"/>
      <c r="AQ120" s="4"/>
    </row>
    <row r="121" spans="2:43" s="75" customFormat="1" outlineLevel="1" x14ac:dyDescent="0.3">
      <c r="B121" s="384" t="s">
        <v>9</v>
      </c>
      <c r="C121" s="385"/>
      <c r="D121" s="115"/>
      <c r="E121" s="11"/>
      <c r="F121" s="11"/>
      <c r="G121" s="32"/>
      <c r="H121" s="10"/>
      <c r="I121" s="39"/>
      <c r="J121" s="39"/>
      <c r="K121" s="36"/>
      <c r="L121" s="36"/>
      <c r="M121" s="4"/>
      <c r="N121" s="39"/>
      <c r="O121" s="39"/>
      <c r="P121" s="39"/>
      <c r="Q121" s="36"/>
      <c r="R121" s="4"/>
      <c r="S121" s="36"/>
      <c r="T121" s="36"/>
      <c r="U121" s="36"/>
      <c r="V121" s="36"/>
      <c r="W121" s="4"/>
      <c r="X121" s="36"/>
      <c r="Y121" s="36"/>
      <c r="Z121" s="36"/>
      <c r="AA121" s="36"/>
      <c r="AB121" s="4"/>
      <c r="AC121" s="36"/>
      <c r="AD121" s="36"/>
      <c r="AE121" s="36"/>
      <c r="AF121" s="36"/>
      <c r="AG121" s="4"/>
      <c r="AH121" s="36"/>
      <c r="AI121" s="36"/>
      <c r="AJ121" s="36"/>
      <c r="AK121" s="36"/>
      <c r="AL121" s="4"/>
      <c r="AM121" s="36"/>
      <c r="AN121" s="36"/>
      <c r="AO121" s="36"/>
      <c r="AP121" s="36"/>
      <c r="AQ121" s="4"/>
    </row>
    <row r="122" spans="2:43" s="75" customFormat="1" outlineLevel="1" x14ac:dyDescent="0.3">
      <c r="B122" s="349" t="s">
        <v>87</v>
      </c>
      <c r="C122" s="350"/>
      <c r="D122" s="115">
        <f>0.06+868.195</f>
        <v>868.255</v>
      </c>
      <c r="E122" s="214">
        <f>0.06+926.525</f>
        <v>926.58499999999992</v>
      </c>
      <c r="F122" s="11">
        <f>0.06+987.256</f>
        <v>987.31599999999992</v>
      </c>
      <c r="G122" s="32">
        <f>0.06+1042.81</f>
        <v>1042.8699999999999</v>
      </c>
      <c r="H122" s="10">
        <f t="shared" ref="H122:H124" si="420">G122</f>
        <v>1042.8699999999999</v>
      </c>
      <c r="I122" s="39">
        <f>0.06+1109.327</f>
        <v>1109.3869999999999</v>
      </c>
      <c r="J122" s="39">
        <v>1200.8800000000001</v>
      </c>
      <c r="K122" s="36">
        <v>1306.461</v>
      </c>
      <c r="L122" s="36">
        <v>1324.809</v>
      </c>
      <c r="M122" s="4">
        <f>L122</f>
        <v>1324.809</v>
      </c>
      <c r="N122" s="39">
        <v>1382.0509999999999</v>
      </c>
      <c r="O122" s="39">
        <v>1443.7070000000001</v>
      </c>
      <c r="P122" s="36">
        <v>1503.6410000000001</v>
      </c>
      <c r="Q122" s="36">
        <f t="shared" ref="Q122:R124" si="421">P122</f>
        <v>1503.6410000000001</v>
      </c>
      <c r="R122" s="4">
        <f t="shared" si="421"/>
        <v>1503.6410000000001</v>
      </c>
      <c r="S122" s="36">
        <f>R122</f>
        <v>1503.6410000000001</v>
      </c>
      <c r="T122" s="36">
        <f t="shared" ref="T122" si="422">S122</f>
        <v>1503.6410000000001</v>
      </c>
      <c r="U122" s="36">
        <f t="shared" ref="U122" si="423">T122</f>
        <v>1503.6410000000001</v>
      </c>
      <c r="V122" s="36">
        <f t="shared" ref="V122:W124" si="424">U122</f>
        <v>1503.6410000000001</v>
      </c>
      <c r="W122" s="4">
        <f t="shared" si="424"/>
        <v>1503.6410000000001</v>
      </c>
      <c r="X122" s="36">
        <f>W122</f>
        <v>1503.6410000000001</v>
      </c>
      <c r="Y122" s="36">
        <f t="shared" ref="Y122" si="425">X122</f>
        <v>1503.6410000000001</v>
      </c>
      <c r="Z122" s="36">
        <f t="shared" ref="Z122" si="426">Y122</f>
        <v>1503.6410000000001</v>
      </c>
      <c r="AA122" s="36">
        <f t="shared" ref="AA122:AB124" si="427">Z122</f>
        <v>1503.6410000000001</v>
      </c>
      <c r="AB122" s="4">
        <f t="shared" si="427"/>
        <v>1503.6410000000001</v>
      </c>
      <c r="AC122" s="36">
        <f>AB122</f>
        <v>1503.6410000000001</v>
      </c>
      <c r="AD122" s="36">
        <f t="shared" ref="AD122" si="428">AC122</f>
        <v>1503.6410000000001</v>
      </c>
      <c r="AE122" s="36">
        <f t="shared" ref="AE122" si="429">AD122</f>
        <v>1503.6410000000001</v>
      </c>
      <c r="AF122" s="36">
        <f t="shared" ref="AF122:AG124" si="430">AE122</f>
        <v>1503.6410000000001</v>
      </c>
      <c r="AG122" s="4">
        <f t="shared" si="430"/>
        <v>1503.6410000000001</v>
      </c>
      <c r="AH122" s="36">
        <f>AG122</f>
        <v>1503.6410000000001</v>
      </c>
      <c r="AI122" s="36">
        <f t="shared" ref="AI122" si="431">AH122</f>
        <v>1503.6410000000001</v>
      </c>
      <c r="AJ122" s="36">
        <f t="shared" ref="AJ122" si="432">AI122</f>
        <v>1503.6410000000001</v>
      </c>
      <c r="AK122" s="36">
        <f t="shared" ref="AK122" si="433">AJ122</f>
        <v>1503.6410000000001</v>
      </c>
      <c r="AL122" s="4">
        <f t="shared" ref="AL122:AL124" si="434">AK122</f>
        <v>1503.6410000000001</v>
      </c>
      <c r="AM122" s="36">
        <f>AL122</f>
        <v>1503.6410000000001</v>
      </c>
      <c r="AN122" s="36">
        <f t="shared" ref="AN122" si="435">AM122</f>
        <v>1503.6410000000001</v>
      </c>
      <c r="AO122" s="36">
        <f t="shared" ref="AO122" si="436">AN122</f>
        <v>1503.6410000000001</v>
      </c>
      <c r="AP122" s="36">
        <f t="shared" ref="AP122" si="437">AO122</f>
        <v>1503.6410000000001</v>
      </c>
      <c r="AQ122" s="4">
        <f t="shared" ref="AQ122:AQ124" si="438">AP122</f>
        <v>1503.6410000000001</v>
      </c>
    </row>
    <row r="123" spans="2:43" s="75" customFormat="1" outlineLevel="1" x14ac:dyDescent="0.3">
      <c r="B123" s="386" t="s">
        <v>168</v>
      </c>
      <c r="C123" s="387"/>
      <c r="D123" s="115">
        <v>605.6</v>
      </c>
      <c r="E123" s="214">
        <v>676.61800000000005</v>
      </c>
      <c r="F123" s="11">
        <v>735.91300000000001</v>
      </c>
      <c r="G123" s="32">
        <v>819.28399999999999</v>
      </c>
      <c r="H123" s="10">
        <f t="shared" si="420"/>
        <v>819.28399999999999</v>
      </c>
      <c r="I123" s="39">
        <v>842.98</v>
      </c>
      <c r="J123" s="39">
        <v>869.31500000000005</v>
      </c>
      <c r="K123" s="39">
        <v>898.74699999999996</v>
      </c>
      <c r="L123" s="39">
        <f>K123+L25</f>
        <v>941.92499999999995</v>
      </c>
      <c r="M123" s="4">
        <f>L123</f>
        <v>941.92499999999995</v>
      </c>
      <c r="N123" s="39">
        <v>969.58299999999997</v>
      </c>
      <c r="O123" s="39">
        <f>N123+O25</f>
        <v>1010.3380000000002</v>
      </c>
      <c r="P123" s="36">
        <v>1061.855</v>
      </c>
      <c r="Q123" s="36">
        <f>P123+Q25</f>
        <v>1117.855</v>
      </c>
      <c r="R123" s="4">
        <f>Q123</f>
        <v>1117.855</v>
      </c>
      <c r="S123" s="39">
        <f>R123+S25</f>
        <v>1196.3180899374322</v>
      </c>
      <c r="T123" s="36">
        <f>S123+T25</f>
        <v>1295.8569516882881</v>
      </c>
      <c r="U123" s="36">
        <f>T123+U25</f>
        <v>1414.5072423961742</v>
      </c>
      <c r="V123" s="36">
        <f>U123+V25</f>
        <v>1531.5528091108827</v>
      </c>
      <c r="W123" s="4">
        <f t="shared" si="424"/>
        <v>1531.5528091108827</v>
      </c>
      <c r="X123" s="39">
        <f>W123+X25</f>
        <v>1633.380006129109</v>
      </c>
      <c r="Y123" s="36">
        <f>X123+Y25</f>
        <v>1709.7816541943425</v>
      </c>
      <c r="Z123" s="36">
        <f>Y123+Z25</f>
        <v>1833.9122609327758</v>
      </c>
      <c r="AA123" s="36">
        <f>Z123+AA25</f>
        <v>1938.5942694312866</v>
      </c>
      <c r="AB123" s="4">
        <f t="shared" si="427"/>
        <v>1938.5942694312866</v>
      </c>
      <c r="AC123" s="39">
        <f>AB123+AC25</f>
        <v>2203.0605455149407</v>
      </c>
      <c r="AD123" s="36">
        <f>AC123+AD25</f>
        <v>2516.6665883715118</v>
      </c>
      <c r="AE123" s="36">
        <f>AD123+AE25</f>
        <v>2892.3741975612056</v>
      </c>
      <c r="AF123" s="36">
        <f>AE123+AF25</f>
        <v>3357.1706819492674</v>
      </c>
      <c r="AG123" s="4">
        <f t="shared" si="430"/>
        <v>3357.1706819492674</v>
      </c>
      <c r="AH123" s="39">
        <f>AG123+AH25</f>
        <v>4275.1321764868126</v>
      </c>
      <c r="AI123" s="36">
        <f>AH123+AI25</f>
        <v>5549.0187497182633</v>
      </c>
      <c r="AJ123" s="36">
        <f>AI123+AJ25</f>
        <v>7021.3313416262245</v>
      </c>
      <c r="AK123" s="36">
        <f>AJ123+AK25</f>
        <v>9628.3500540617424</v>
      </c>
      <c r="AL123" s="4">
        <f t="shared" si="434"/>
        <v>9628.3500540617424</v>
      </c>
      <c r="AM123" s="39">
        <f>AL123+AM25</f>
        <v>14455.52590861594</v>
      </c>
      <c r="AN123" s="36">
        <f>AM123+AN25</f>
        <v>21092.060701487804</v>
      </c>
      <c r="AO123" s="36">
        <f>AN123+AO25</f>
        <v>30399.613084323893</v>
      </c>
      <c r="AP123" s="36">
        <f>AO123+AP25</f>
        <v>41709.409477934139</v>
      </c>
      <c r="AQ123" s="4">
        <f t="shared" si="438"/>
        <v>41709.409477934139</v>
      </c>
    </row>
    <row r="124" spans="2:43" s="75" customFormat="1" ht="16.2" outlineLevel="1" x14ac:dyDescent="0.45">
      <c r="B124" s="386" t="s">
        <v>169</v>
      </c>
      <c r="C124" s="387"/>
      <c r="D124" s="138">
        <v>4.5030000000000001</v>
      </c>
      <c r="E124" s="300">
        <v>6.5019999999999998</v>
      </c>
      <c r="F124" s="296">
        <v>1.645</v>
      </c>
      <c r="G124" s="297">
        <v>-4.4459999999999997</v>
      </c>
      <c r="H124" s="149">
        <f t="shared" si="420"/>
        <v>-4.4459999999999997</v>
      </c>
      <c r="I124" s="301">
        <v>-43.154000000000003</v>
      </c>
      <c r="J124" s="298">
        <v>-38.119999999999997</v>
      </c>
      <c r="K124" s="301">
        <v>-37.89</v>
      </c>
      <c r="L124" s="301">
        <v>-43.308</v>
      </c>
      <c r="M124" s="149">
        <f t="shared" ref="M124" si="439">L124</f>
        <v>-43.308</v>
      </c>
      <c r="N124" s="298">
        <v>-34.401000000000003</v>
      </c>
      <c r="O124" s="298">
        <v>-38.210999999999999</v>
      </c>
      <c r="P124" s="301">
        <v>-36.53</v>
      </c>
      <c r="Q124" s="301">
        <f t="shared" ref="Q124" si="440">P124</f>
        <v>-36.53</v>
      </c>
      <c r="R124" s="149">
        <f t="shared" si="421"/>
        <v>-36.53</v>
      </c>
      <c r="S124" s="301">
        <f>R124</f>
        <v>-36.53</v>
      </c>
      <c r="T124" s="301">
        <f t="shared" ref="T124" si="441">S124</f>
        <v>-36.53</v>
      </c>
      <c r="U124" s="301">
        <f t="shared" ref="U124" si="442">T124</f>
        <v>-36.53</v>
      </c>
      <c r="V124" s="301">
        <f t="shared" ref="V124" si="443">U124</f>
        <v>-36.53</v>
      </c>
      <c r="W124" s="149">
        <f t="shared" si="424"/>
        <v>-36.53</v>
      </c>
      <c r="X124" s="301">
        <f>W124</f>
        <v>-36.53</v>
      </c>
      <c r="Y124" s="301">
        <f t="shared" ref="Y124" si="444">X124</f>
        <v>-36.53</v>
      </c>
      <c r="Z124" s="301">
        <f t="shared" ref="Z124" si="445">Y124</f>
        <v>-36.53</v>
      </c>
      <c r="AA124" s="301">
        <f t="shared" ref="AA124" si="446">Z124</f>
        <v>-36.53</v>
      </c>
      <c r="AB124" s="149">
        <f t="shared" si="427"/>
        <v>-36.53</v>
      </c>
      <c r="AC124" s="301">
        <f>AB124</f>
        <v>-36.53</v>
      </c>
      <c r="AD124" s="301">
        <f t="shared" ref="AD124" si="447">AC124</f>
        <v>-36.53</v>
      </c>
      <c r="AE124" s="301">
        <f t="shared" ref="AE124" si="448">AD124</f>
        <v>-36.53</v>
      </c>
      <c r="AF124" s="301">
        <f t="shared" ref="AF124" si="449">AE124</f>
        <v>-36.53</v>
      </c>
      <c r="AG124" s="149">
        <f t="shared" si="430"/>
        <v>-36.53</v>
      </c>
      <c r="AH124" s="301">
        <f>AG124</f>
        <v>-36.53</v>
      </c>
      <c r="AI124" s="301">
        <f t="shared" ref="AI124" si="450">AH124</f>
        <v>-36.53</v>
      </c>
      <c r="AJ124" s="301">
        <f t="shared" ref="AJ124" si="451">AI124</f>
        <v>-36.53</v>
      </c>
      <c r="AK124" s="301">
        <f t="shared" ref="AK124" si="452">AJ124</f>
        <v>-36.53</v>
      </c>
      <c r="AL124" s="149">
        <f t="shared" si="434"/>
        <v>-36.53</v>
      </c>
      <c r="AM124" s="301">
        <f>AL124</f>
        <v>-36.53</v>
      </c>
      <c r="AN124" s="301">
        <f t="shared" ref="AN124" si="453">AM124</f>
        <v>-36.53</v>
      </c>
      <c r="AO124" s="301">
        <f t="shared" ref="AO124" si="454">AN124</f>
        <v>-36.53</v>
      </c>
      <c r="AP124" s="301">
        <f t="shared" ref="AP124" si="455">AO124</f>
        <v>-36.53</v>
      </c>
      <c r="AQ124" s="149">
        <f t="shared" si="438"/>
        <v>-36.53</v>
      </c>
    </row>
    <row r="125" spans="2:43" s="75" customFormat="1" outlineLevel="1" x14ac:dyDescent="0.3">
      <c r="B125" s="382" t="s">
        <v>67</v>
      </c>
      <c r="C125" s="383"/>
      <c r="D125" s="94">
        <f t="shared" ref="D125:N125" si="456">SUM(D122:D124)</f>
        <v>1478.3579999999999</v>
      </c>
      <c r="E125" s="8">
        <f t="shared" si="456"/>
        <v>1609.7049999999999</v>
      </c>
      <c r="F125" s="8">
        <f t="shared" si="456"/>
        <v>1724.8739999999998</v>
      </c>
      <c r="G125" s="13">
        <f t="shared" si="456"/>
        <v>1857.7080000000001</v>
      </c>
      <c r="H125" s="7">
        <f t="shared" ref="H125" si="457">SUM(H122:H124)</f>
        <v>1857.7080000000001</v>
      </c>
      <c r="I125" s="8">
        <f>SUM(I122:I124)</f>
        <v>1909.213</v>
      </c>
      <c r="J125" s="91">
        <f>SUM(J122:J124)</f>
        <v>2032.0750000000003</v>
      </c>
      <c r="K125" s="8">
        <f t="shared" si="456"/>
        <v>2167.3180000000002</v>
      </c>
      <c r="L125" s="8">
        <f t="shared" si="456"/>
        <v>2223.4259999999999</v>
      </c>
      <c r="M125" s="7">
        <f t="shared" ref="M125" si="458">SUM(M122:M124)</f>
        <v>2223.4259999999999</v>
      </c>
      <c r="N125" s="91">
        <f t="shared" si="456"/>
        <v>2317.2330000000002</v>
      </c>
      <c r="O125" s="91">
        <f t="shared" ref="O125:AG125" si="459">SUM(O122:O124)</f>
        <v>2415.8340000000003</v>
      </c>
      <c r="P125" s="8">
        <f t="shared" si="459"/>
        <v>2528.9659999999999</v>
      </c>
      <c r="Q125" s="8">
        <f t="shared" si="459"/>
        <v>2584.9659999999999</v>
      </c>
      <c r="R125" s="7">
        <f t="shared" si="459"/>
        <v>2584.9659999999999</v>
      </c>
      <c r="S125" s="8">
        <f t="shared" si="459"/>
        <v>2663.4290899374323</v>
      </c>
      <c r="T125" s="8">
        <f t="shared" si="459"/>
        <v>2762.9679516882879</v>
      </c>
      <c r="U125" s="8">
        <f t="shared" si="459"/>
        <v>2881.6182423961741</v>
      </c>
      <c r="V125" s="8">
        <f t="shared" si="459"/>
        <v>2998.6638091108825</v>
      </c>
      <c r="W125" s="7">
        <f t="shared" si="459"/>
        <v>2998.6638091108825</v>
      </c>
      <c r="X125" s="8">
        <f t="shared" si="459"/>
        <v>3100.4910061291089</v>
      </c>
      <c r="Y125" s="8">
        <f t="shared" si="459"/>
        <v>3176.8926541943424</v>
      </c>
      <c r="Z125" s="8">
        <f t="shared" si="459"/>
        <v>3301.0232609327754</v>
      </c>
      <c r="AA125" s="8">
        <f t="shared" si="459"/>
        <v>3405.7052694312865</v>
      </c>
      <c r="AB125" s="7">
        <f t="shared" si="459"/>
        <v>3405.7052694312865</v>
      </c>
      <c r="AC125" s="8">
        <f t="shared" si="459"/>
        <v>3670.1715455149406</v>
      </c>
      <c r="AD125" s="8">
        <f t="shared" si="459"/>
        <v>3983.7775883715117</v>
      </c>
      <c r="AE125" s="8">
        <f t="shared" si="459"/>
        <v>4359.4851975612064</v>
      </c>
      <c r="AF125" s="8">
        <f t="shared" si="459"/>
        <v>4824.2816819492682</v>
      </c>
      <c r="AG125" s="7">
        <f t="shared" si="459"/>
        <v>4824.2816819492682</v>
      </c>
      <c r="AH125" s="8">
        <f t="shared" ref="AH125:AL125" si="460">SUM(AH122:AH124)</f>
        <v>5742.2431764868134</v>
      </c>
      <c r="AI125" s="8">
        <f t="shared" si="460"/>
        <v>7016.1297497182632</v>
      </c>
      <c r="AJ125" s="8">
        <f t="shared" si="460"/>
        <v>8488.4423416262234</v>
      </c>
      <c r="AK125" s="8">
        <f t="shared" si="460"/>
        <v>11095.461054061741</v>
      </c>
      <c r="AL125" s="7">
        <f t="shared" si="460"/>
        <v>11095.461054061741</v>
      </c>
      <c r="AM125" s="8">
        <f t="shared" ref="AM125:AQ125" si="461">SUM(AM122:AM124)</f>
        <v>15922.636908615939</v>
      </c>
      <c r="AN125" s="8">
        <f t="shared" si="461"/>
        <v>22559.171701487805</v>
      </c>
      <c r="AO125" s="8">
        <f t="shared" si="461"/>
        <v>31866.724084323894</v>
      </c>
      <c r="AP125" s="8">
        <f t="shared" si="461"/>
        <v>43176.520477934144</v>
      </c>
      <c r="AQ125" s="7">
        <f t="shared" si="461"/>
        <v>43176.520477934144</v>
      </c>
    </row>
    <row r="126" spans="2:43" s="75" customFormat="1" outlineLevel="1" x14ac:dyDescent="0.3">
      <c r="B126" s="380" t="s">
        <v>10</v>
      </c>
      <c r="C126" s="381"/>
      <c r="D126" s="95">
        <f>D125+D119</f>
        <v>6048.1059999999998</v>
      </c>
      <c r="E126" s="25">
        <f t="shared" ref="E126:AG126" si="462">E125+E119</f>
        <v>6325.8220000000001</v>
      </c>
      <c r="F126" s="25">
        <f t="shared" si="462"/>
        <v>6778.3289999999997</v>
      </c>
      <c r="G126" s="33">
        <f t="shared" si="462"/>
        <v>7056.6510000000017</v>
      </c>
      <c r="H126" s="24">
        <f t="shared" si="462"/>
        <v>7056.6510000000017</v>
      </c>
      <c r="I126" s="25">
        <f t="shared" si="462"/>
        <v>9240.625</v>
      </c>
      <c r="J126" s="92">
        <f t="shared" si="462"/>
        <v>9654.860999999999</v>
      </c>
      <c r="K126" s="25">
        <f t="shared" si="462"/>
        <v>9916.2669999999998</v>
      </c>
      <c r="L126" s="25">
        <f t="shared" si="462"/>
        <v>10202.871000000001</v>
      </c>
      <c r="M126" s="24">
        <f t="shared" si="462"/>
        <v>10202.871000000001</v>
      </c>
      <c r="N126" s="92">
        <f t="shared" si="462"/>
        <v>11262.274000000001</v>
      </c>
      <c r="O126" s="92">
        <f t="shared" si="462"/>
        <v>11593.507</v>
      </c>
      <c r="P126" s="25">
        <f t="shared" si="462"/>
        <v>12347.338</v>
      </c>
      <c r="Q126" s="25">
        <f t="shared" si="462"/>
        <v>12519.27628</v>
      </c>
      <c r="R126" s="24">
        <f t="shared" si="462"/>
        <v>12519.27628</v>
      </c>
      <c r="S126" s="25">
        <f t="shared" si="462"/>
        <v>12560.22595267048</v>
      </c>
      <c r="T126" s="25">
        <f t="shared" si="462"/>
        <v>12753.511037843198</v>
      </c>
      <c r="U126" s="25">
        <f t="shared" si="462"/>
        <v>12814.635002579287</v>
      </c>
      <c r="V126" s="25">
        <f t="shared" si="462"/>
        <v>13052.670499228632</v>
      </c>
      <c r="W126" s="24">
        <f t="shared" si="462"/>
        <v>13052.670499228632</v>
      </c>
      <c r="X126" s="25">
        <f t="shared" si="462"/>
        <v>13143.516295117555</v>
      </c>
      <c r="Y126" s="25">
        <f t="shared" si="462"/>
        <v>13366.934030708595</v>
      </c>
      <c r="Z126" s="25">
        <f t="shared" si="462"/>
        <v>13481.40298184094</v>
      </c>
      <c r="AA126" s="25">
        <f t="shared" si="462"/>
        <v>13800.719389658458</v>
      </c>
      <c r="AB126" s="24">
        <f t="shared" si="462"/>
        <v>13800.719389658458</v>
      </c>
      <c r="AC126" s="25">
        <f t="shared" si="462"/>
        <v>14161.891175573386</v>
      </c>
      <c r="AD126" s="25">
        <f t="shared" si="462"/>
        <v>14686.113454601331</v>
      </c>
      <c r="AE126" s="25">
        <f t="shared" si="462"/>
        <v>15158.449717940632</v>
      </c>
      <c r="AF126" s="25">
        <f t="shared" si="462"/>
        <v>15945.096652934768</v>
      </c>
      <c r="AG126" s="24">
        <f t="shared" si="462"/>
        <v>15945.096652934768</v>
      </c>
      <c r="AH126" s="25">
        <f t="shared" ref="AH126:AL126" si="463">AH125+AH119</f>
        <v>17171.070728413986</v>
      </c>
      <c r="AI126" s="25">
        <f t="shared" si="463"/>
        <v>18838.088683779046</v>
      </c>
      <c r="AJ126" s="25">
        <f t="shared" si="463"/>
        <v>20625.929749134237</v>
      </c>
      <c r="AK126" s="25">
        <f t="shared" si="463"/>
        <v>23883.138295201177</v>
      </c>
      <c r="AL126" s="24">
        <f t="shared" si="463"/>
        <v>23883.138295201177</v>
      </c>
      <c r="AM126" s="25">
        <f t="shared" ref="AM126:AQ126" si="464">AM125+AM119</f>
        <v>29745.804902995806</v>
      </c>
      <c r="AN126" s="25">
        <f t="shared" si="464"/>
        <v>37336.740624361293</v>
      </c>
      <c r="AO126" s="25">
        <f t="shared" si="464"/>
        <v>48196.291294403272</v>
      </c>
      <c r="AP126" s="25">
        <f t="shared" si="464"/>
        <v>60518.448336172631</v>
      </c>
      <c r="AQ126" s="24">
        <f t="shared" si="464"/>
        <v>60518.448336172631</v>
      </c>
    </row>
    <row r="127" spans="2:43" s="75" customFormat="1" outlineLevel="1" x14ac:dyDescent="0.3">
      <c r="B127" s="146"/>
      <c r="C127" s="147"/>
      <c r="D127" s="148">
        <f t="shared" ref="D127:AG127" si="465">ROUND((D126-D108),0)</f>
        <v>0</v>
      </c>
      <c r="E127" s="148">
        <f t="shared" si="465"/>
        <v>0</v>
      </c>
      <c r="F127" s="148">
        <f t="shared" si="465"/>
        <v>0</v>
      </c>
      <c r="G127" s="148">
        <f t="shared" si="465"/>
        <v>0</v>
      </c>
      <c r="H127" s="148">
        <f t="shared" si="465"/>
        <v>0</v>
      </c>
      <c r="I127" s="148">
        <f t="shared" si="465"/>
        <v>0</v>
      </c>
      <c r="J127" s="148">
        <f t="shared" si="465"/>
        <v>0</v>
      </c>
      <c r="K127" s="148">
        <f>ROUND((K126-K108),0)</f>
        <v>0</v>
      </c>
      <c r="L127" s="148">
        <f t="shared" si="465"/>
        <v>0</v>
      </c>
      <c r="M127" s="148">
        <f t="shared" si="465"/>
        <v>0</v>
      </c>
      <c r="N127" s="290">
        <f t="shared" si="465"/>
        <v>0</v>
      </c>
      <c r="O127" s="148">
        <f t="shared" si="465"/>
        <v>0</v>
      </c>
      <c r="P127" s="290">
        <f t="shared" si="465"/>
        <v>0</v>
      </c>
      <c r="Q127" s="148">
        <f t="shared" si="465"/>
        <v>0</v>
      </c>
      <c r="R127" s="148">
        <f t="shared" si="465"/>
        <v>0</v>
      </c>
      <c r="S127" s="148">
        <f t="shared" si="465"/>
        <v>0</v>
      </c>
      <c r="T127" s="148">
        <f t="shared" si="465"/>
        <v>0</v>
      </c>
      <c r="U127" s="148">
        <f t="shared" si="465"/>
        <v>0</v>
      </c>
      <c r="V127" s="148">
        <f t="shared" si="465"/>
        <v>0</v>
      </c>
      <c r="W127" s="148">
        <f t="shared" si="465"/>
        <v>0</v>
      </c>
      <c r="X127" s="148">
        <f t="shared" si="465"/>
        <v>0</v>
      </c>
      <c r="Y127" s="148">
        <f t="shared" si="465"/>
        <v>0</v>
      </c>
      <c r="Z127" s="148">
        <f t="shared" si="465"/>
        <v>0</v>
      </c>
      <c r="AA127" s="148">
        <f t="shared" si="465"/>
        <v>0</v>
      </c>
      <c r="AB127" s="148">
        <f t="shared" si="465"/>
        <v>0</v>
      </c>
      <c r="AC127" s="148">
        <f t="shared" si="465"/>
        <v>0</v>
      </c>
      <c r="AD127" s="148">
        <f t="shared" si="465"/>
        <v>0</v>
      </c>
      <c r="AE127" s="148">
        <f t="shared" si="465"/>
        <v>0</v>
      </c>
      <c r="AF127" s="148">
        <f t="shared" si="465"/>
        <v>0</v>
      </c>
      <c r="AG127" s="148">
        <f t="shared" si="465"/>
        <v>0</v>
      </c>
      <c r="AH127" s="148">
        <f t="shared" ref="AH127:AL127" si="466">ROUND((AH126-AH108),0)</f>
        <v>0</v>
      </c>
      <c r="AI127" s="148">
        <f t="shared" si="466"/>
        <v>0</v>
      </c>
      <c r="AJ127" s="148">
        <f t="shared" si="466"/>
        <v>0</v>
      </c>
      <c r="AK127" s="148">
        <f t="shared" si="466"/>
        <v>0</v>
      </c>
      <c r="AL127" s="148">
        <f t="shared" si="466"/>
        <v>0</v>
      </c>
      <c r="AM127" s="148">
        <f t="shared" ref="AM127:AQ127" si="467">ROUND((AM126-AM108),0)</f>
        <v>0</v>
      </c>
      <c r="AN127" s="148">
        <f t="shared" si="467"/>
        <v>0</v>
      </c>
      <c r="AO127" s="148">
        <f t="shared" si="467"/>
        <v>0</v>
      </c>
      <c r="AP127" s="148">
        <f t="shared" si="467"/>
        <v>0</v>
      </c>
      <c r="AQ127" s="148">
        <f t="shared" si="467"/>
        <v>0</v>
      </c>
    </row>
    <row r="128" spans="2:43" ht="15.6" outlineLevel="1" x14ac:dyDescent="0.3">
      <c r="B128" s="362" t="s">
        <v>21</v>
      </c>
      <c r="C128" s="363"/>
      <c r="D128" s="132" t="s">
        <v>43</v>
      </c>
      <c r="E128" s="132" t="s">
        <v>42</v>
      </c>
      <c r="F128" s="132" t="s">
        <v>41</v>
      </c>
      <c r="G128" s="132" t="s">
        <v>44</v>
      </c>
      <c r="H128" s="132" t="s">
        <v>44</v>
      </c>
      <c r="I128" s="132" t="s">
        <v>45</v>
      </c>
      <c r="J128" s="132" t="s">
        <v>46</v>
      </c>
      <c r="K128" s="132" t="s">
        <v>47</v>
      </c>
      <c r="L128" s="132" t="s">
        <v>49</v>
      </c>
      <c r="M128" s="132" t="s">
        <v>49</v>
      </c>
      <c r="N128" s="132" t="s">
        <v>50</v>
      </c>
      <c r="O128" s="132" t="s">
        <v>51</v>
      </c>
      <c r="P128" s="132" t="s">
        <v>52</v>
      </c>
      <c r="Q128" s="142" t="s">
        <v>48</v>
      </c>
      <c r="R128" s="142" t="s">
        <v>48</v>
      </c>
      <c r="S128" s="142" t="s">
        <v>53</v>
      </c>
      <c r="T128" s="142" t="s">
        <v>54</v>
      </c>
      <c r="U128" s="142" t="s">
        <v>55</v>
      </c>
      <c r="V128" s="142" t="s">
        <v>56</v>
      </c>
      <c r="W128" s="142" t="s">
        <v>56</v>
      </c>
      <c r="X128" s="142" t="s">
        <v>57</v>
      </c>
      <c r="Y128" s="142" t="s">
        <v>58</v>
      </c>
      <c r="Z128" s="142" t="s">
        <v>59</v>
      </c>
      <c r="AA128" s="142" t="s">
        <v>60</v>
      </c>
      <c r="AB128" s="142" t="s">
        <v>60</v>
      </c>
      <c r="AC128" s="142" t="s">
        <v>61</v>
      </c>
      <c r="AD128" s="142" t="s">
        <v>62</v>
      </c>
      <c r="AE128" s="142" t="s">
        <v>63</v>
      </c>
      <c r="AF128" s="142" t="s">
        <v>78</v>
      </c>
      <c r="AG128" s="142" t="s">
        <v>78</v>
      </c>
      <c r="AH128" s="142" t="s">
        <v>229</v>
      </c>
      <c r="AI128" s="142" t="s">
        <v>230</v>
      </c>
      <c r="AJ128" s="142" t="s">
        <v>231</v>
      </c>
      <c r="AK128" s="142" t="s">
        <v>232</v>
      </c>
      <c r="AL128" s="158" t="s">
        <v>232</v>
      </c>
      <c r="AM128" s="142" t="s">
        <v>258</v>
      </c>
      <c r="AN128" s="142" t="s">
        <v>259</v>
      </c>
      <c r="AO128" s="142" t="s">
        <v>260</v>
      </c>
      <c r="AP128" s="142" t="s">
        <v>261</v>
      </c>
      <c r="AQ128" s="158" t="s">
        <v>261</v>
      </c>
    </row>
    <row r="129" spans="2:43" ht="16.2" outlineLevel="1" x14ac:dyDescent="0.45">
      <c r="B129" s="360"/>
      <c r="C129" s="361"/>
      <c r="D129" s="133" t="s">
        <v>79</v>
      </c>
      <c r="E129" s="133" t="s">
        <v>80</v>
      </c>
      <c r="F129" s="133" t="s">
        <v>81</v>
      </c>
      <c r="G129" s="133" t="s">
        <v>82</v>
      </c>
      <c r="H129" s="135" t="s">
        <v>193</v>
      </c>
      <c r="I129" s="133" t="s">
        <v>83</v>
      </c>
      <c r="J129" s="133" t="s">
        <v>203</v>
      </c>
      <c r="K129" s="133" t="s">
        <v>204</v>
      </c>
      <c r="L129" s="133" t="s">
        <v>223</v>
      </c>
      <c r="M129" s="133" t="s">
        <v>224</v>
      </c>
      <c r="N129" s="133" t="s">
        <v>252</v>
      </c>
      <c r="O129" s="133" t="s">
        <v>253</v>
      </c>
      <c r="P129" s="133" t="s">
        <v>254</v>
      </c>
      <c r="Q129" s="143" t="s">
        <v>90</v>
      </c>
      <c r="R129" s="144" t="s">
        <v>91</v>
      </c>
      <c r="S129" s="143" t="s">
        <v>92</v>
      </c>
      <c r="T129" s="143" t="s">
        <v>93</v>
      </c>
      <c r="U129" s="143" t="s">
        <v>94</v>
      </c>
      <c r="V129" s="143" t="s">
        <v>95</v>
      </c>
      <c r="W129" s="144" t="s">
        <v>96</v>
      </c>
      <c r="X129" s="143" t="s">
        <v>97</v>
      </c>
      <c r="Y129" s="143" t="s">
        <v>98</v>
      </c>
      <c r="Z129" s="143" t="s">
        <v>99</v>
      </c>
      <c r="AA129" s="143" t="s">
        <v>100</v>
      </c>
      <c r="AB129" s="144" t="s">
        <v>101</v>
      </c>
      <c r="AC129" s="143" t="s">
        <v>102</v>
      </c>
      <c r="AD129" s="143" t="s">
        <v>103</v>
      </c>
      <c r="AE129" s="143" t="s">
        <v>104</v>
      </c>
      <c r="AF129" s="143" t="s">
        <v>105</v>
      </c>
      <c r="AG129" s="144" t="s">
        <v>198</v>
      </c>
      <c r="AH129" s="143" t="s">
        <v>233</v>
      </c>
      <c r="AI129" s="143" t="s">
        <v>234</v>
      </c>
      <c r="AJ129" s="143" t="s">
        <v>235</v>
      </c>
      <c r="AK129" s="143" t="s">
        <v>236</v>
      </c>
      <c r="AL129" s="159" t="s">
        <v>237</v>
      </c>
      <c r="AM129" s="143" t="s">
        <v>262</v>
      </c>
      <c r="AN129" s="143" t="s">
        <v>263</v>
      </c>
      <c r="AO129" s="143" t="s">
        <v>264</v>
      </c>
      <c r="AP129" s="143" t="s">
        <v>265</v>
      </c>
      <c r="AQ129" s="159" t="s">
        <v>266</v>
      </c>
    </row>
    <row r="130" spans="2:43" ht="16.2" outlineLevel="1" x14ac:dyDescent="0.45">
      <c r="B130" s="389" t="s">
        <v>20</v>
      </c>
      <c r="C130" s="390"/>
      <c r="D130" s="64"/>
      <c r="E130" s="64"/>
      <c r="F130" s="64"/>
      <c r="G130" s="64"/>
      <c r="H130" s="63"/>
      <c r="I130" s="128"/>
      <c r="J130" s="64"/>
      <c r="K130" s="64"/>
      <c r="L130" s="64"/>
      <c r="M130" s="65"/>
      <c r="N130" s="64"/>
      <c r="O130" s="64"/>
      <c r="P130" s="64"/>
      <c r="Q130" s="64"/>
      <c r="R130" s="65"/>
      <c r="S130" s="64"/>
      <c r="T130" s="64"/>
      <c r="U130" s="64"/>
      <c r="V130" s="64"/>
      <c r="W130" s="65"/>
      <c r="X130" s="64"/>
      <c r="Y130" s="64"/>
      <c r="Z130" s="64"/>
      <c r="AA130" s="64"/>
      <c r="AB130" s="65"/>
      <c r="AC130" s="64"/>
      <c r="AD130" s="64"/>
      <c r="AE130" s="64"/>
      <c r="AF130" s="64"/>
      <c r="AG130" s="65"/>
      <c r="AH130" s="64"/>
      <c r="AI130" s="64"/>
      <c r="AJ130" s="64"/>
      <c r="AK130" s="64"/>
      <c r="AL130" s="65"/>
      <c r="AM130" s="64"/>
      <c r="AN130" s="64"/>
      <c r="AO130" s="64"/>
      <c r="AP130" s="64"/>
      <c r="AQ130" s="65"/>
    </row>
    <row r="131" spans="2:43" outlineLevel="1" x14ac:dyDescent="0.3">
      <c r="B131" s="356" t="s">
        <v>23</v>
      </c>
      <c r="C131" s="357"/>
      <c r="D131" s="42"/>
      <c r="E131" s="48">
        <f>E11/(AVERAGE(E112,D112))</f>
        <v>9.8883253599105867</v>
      </c>
      <c r="F131" s="46">
        <f>F11/(AVERAGE(F112,E112))</f>
        <v>9.8013351877607775</v>
      </c>
      <c r="G131" s="46">
        <f>G11/(AVERAGE(G112,F112))</f>
        <v>8.4370331434416332</v>
      </c>
      <c r="H131" s="44"/>
      <c r="I131" s="129">
        <f>I11/(AVERAGE(I112,G112))</f>
        <v>8.0231392229464369</v>
      </c>
      <c r="J131" s="129">
        <f>J11/(AVERAGE(J112,H112))</f>
        <v>7.9586460525997431</v>
      </c>
      <c r="K131" s="129">
        <f>K11/(AVERAGE(K112,I112))</f>
        <v>8.6932528529850064</v>
      </c>
      <c r="L131" s="129">
        <f>L11/(AVERAGE(L112,J112))</f>
        <v>7.8385838957912384</v>
      </c>
      <c r="M131" s="45"/>
      <c r="N131" s="129">
        <f>N11/(AVERAGE(N112,L112))</f>
        <v>8.0664022826299693</v>
      </c>
      <c r="O131" s="129">
        <f>O11/(AVERAGE(O112,N112))</f>
        <v>8.9133310187733414</v>
      </c>
      <c r="P131" s="129">
        <f>P11/(AVERAGE(P112,O112))</f>
        <v>8.7044474554883884</v>
      </c>
      <c r="Q131" s="101">
        <v>8</v>
      </c>
      <c r="R131" s="45"/>
      <c r="S131" s="101">
        <v>8</v>
      </c>
      <c r="T131" s="101">
        <v>8</v>
      </c>
      <c r="U131" s="101">
        <v>8</v>
      </c>
      <c r="V131" s="101">
        <v>8</v>
      </c>
      <c r="W131" s="45"/>
      <c r="X131" s="101">
        <v>8</v>
      </c>
      <c r="Y131" s="101">
        <v>8</v>
      </c>
      <c r="Z131" s="101">
        <v>8</v>
      </c>
      <c r="AA131" s="101">
        <v>8</v>
      </c>
      <c r="AB131" s="45"/>
      <c r="AC131" s="101">
        <v>8</v>
      </c>
      <c r="AD131" s="101">
        <v>8</v>
      </c>
      <c r="AE131" s="101">
        <v>8</v>
      </c>
      <c r="AF131" s="101">
        <v>8</v>
      </c>
      <c r="AG131" s="45"/>
      <c r="AH131" s="101">
        <v>8</v>
      </c>
      <c r="AI131" s="101">
        <v>8</v>
      </c>
      <c r="AJ131" s="101">
        <v>8</v>
      </c>
      <c r="AK131" s="101">
        <v>8</v>
      </c>
      <c r="AL131" s="45"/>
      <c r="AM131" s="101">
        <v>8</v>
      </c>
      <c r="AN131" s="101">
        <v>8</v>
      </c>
      <c r="AO131" s="101">
        <v>8</v>
      </c>
      <c r="AP131" s="101">
        <v>8</v>
      </c>
      <c r="AQ131" s="45"/>
    </row>
    <row r="132" spans="2:43" outlineLevel="1" x14ac:dyDescent="0.3">
      <c r="B132" s="356" t="s">
        <v>22</v>
      </c>
      <c r="C132" s="357"/>
      <c r="D132" s="11"/>
      <c r="E132" s="11">
        <f>90/E131</f>
        <v>9.1016422623874718</v>
      </c>
      <c r="F132" s="11">
        <f t="shared" ref="F132:G132" si="468">90/F131</f>
        <v>9.182422422649692</v>
      </c>
      <c r="G132" s="11">
        <f t="shared" si="468"/>
        <v>10.667256898233212</v>
      </c>
      <c r="H132" s="43"/>
      <c r="I132" s="116">
        <f>90/I131</f>
        <v>11.217554313727611</v>
      </c>
      <c r="J132" s="116">
        <f>90/J131</f>
        <v>11.308456162666126</v>
      </c>
      <c r="K132" s="116">
        <f>90/K131</f>
        <v>10.352856579927577</v>
      </c>
      <c r="L132" s="36">
        <f t="shared" ref="L132" si="469">90/L131</f>
        <v>11.48166571876887</v>
      </c>
      <c r="M132" s="28"/>
      <c r="N132" s="116">
        <f>90/N131</f>
        <v>11.157390475528876</v>
      </c>
      <c r="O132" s="36">
        <f t="shared" ref="O132" si="470">90/O131</f>
        <v>10.097235232310027</v>
      </c>
      <c r="P132" s="36">
        <f t="shared" ref="P132" si="471">90/P131</f>
        <v>10.339541993932375</v>
      </c>
      <c r="Q132" s="36">
        <f t="shared" ref="Q132" si="472">90/Q131</f>
        <v>11.25</v>
      </c>
      <c r="R132" s="28"/>
      <c r="S132" s="36">
        <f t="shared" ref="S132:V132" si="473">90/S131</f>
        <v>11.25</v>
      </c>
      <c r="T132" s="36">
        <f t="shared" si="473"/>
        <v>11.25</v>
      </c>
      <c r="U132" s="36">
        <f t="shared" si="473"/>
        <v>11.25</v>
      </c>
      <c r="V132" s="36">
        <f t="shared" si="473"/>
        <v>11.25</v>
      </c>
      <c r="W132" s="28"/>
      <c r="X132" s="36">
        <f t="shared" ref="X132:AA132" si="474">90/X131</f>
        <v>11.25</v>
      </c>
      <c r="Y132" s="36">
        <f t="shared" si="474"/>
        <v>11.25</v>
      </c>
      <c r="Z132" s="36">
        <f t="shared" si="474"/>
        <v>11.25</v>
      </c>
      <c r="AA132" s="36">
        <f t="shared" si="474"/>
        <v>11.25</v>
      </c>
      <c r="AB132" s="28"/>
      <c r="AC132" s="36">
        <f t="shared" ref="AC132:AF132" si="475">90/AC131</f>
        <v>11.25</v>
      </c>
      <c r="AD132" s="36">
        <f t="shared" si="475"/>
        <v>11.25</v>
      </c>
      <c r="AE132" s="36">
        <f t="shared" si="475"/>
        <v>11.25</v>
      </c>
      <c r="AF132" s="36">
        <f t="shared" si="475"/>
        <v>11.25</v>
      </c>
      <c r="AG132" s="28"/>
      <c r="AH132" s="36">
        <f t="shared" ref="AH132:AK132" si="476">90/AH131</f>
        <v>11.25</v>
      </c>
      <c r="AI132" s="36">
        <f t="shared" si="476"/>
        <v>11.25</v>
      </c>
      <c r="AJ132" s="36">
        <f t="shared" si="476"/>
        <v>11.25</v>
      </c>
      <c r="AK132" s="36">
        <f t="shared" si="476"/>
        <v>11.25</v>
      </c>
      <c r="AL132" s="28"/>
      <c r="AM132" s="36">
        <f t="shared" ref="AM132:AP132" si="477">90/AM131</f>
        <v>11.25</v>
      </c>
      <c r="AN132" s="36">
        <f t="shared" si="477"/>
        <v>11.25</v>
      </c>
      <c r="AO132" s="36">
        <f t="shared" si="477"/>
        <v>11.25</v>
      </c>
      <c r="AP132" s="36">
        <f t="shared" si="477"/>
        <v>11.25</v>
      </c>
      <c r="AQ132" s="28"/>
    </row>
    <row r="133" spans="2:43" outlineLevel="1" x14ac:dyDescent="0.3">
      <c r="B133" s="364" t="s">
        <v>115</v>
      </c>
      <c r="C133" s="391"/>
      <c r="D133" s="49"/>
      <c r="E133" s="50"/>
      <c r="F133" s="50"/>
      <c r="G133" s="50"/>
      <c r="H133" s="60"/>
      <c r="I133" s="130"/>
      <c r="J133" s="51"/>
      <c r="K133" s="51"/>
      <c r="L133" s="51"/>
      <c r="M133" s="61"/>
      <c r="N133" s="199"/>
      <c r="O133" s="51"/>
      <c r="P133" s="51"/>
      <c r="Q133" s="200"/>
      <c r="R133" s="52"/>
      <c r="S133" s="199"/>
      <c r="T133" s="51"/>
      <c r="U133" s="51"/>
      <c r="V133" s="200"/>
      <c r="W133" s="52"/>
      <c r="X133" s="199"/>
      <c r="Y133" s="51"/>
      <c r="Z133" s="51"/>
      <c r="AA133" s="200"/>
      <c r="AB133" s="52"/>
      <c r="AC133" s="199"/>
      <c r="AD133" s="51"/>
      <c r="AE133" s="51"/>
      <c r="AF133" s="200"/>
      <c r="AG133" s="52"/>
      <c r="AH133" s="199"/>
      <c r="AI133" s="51"/>
      <c r="AJ133" s="51"/>
      <c r="AK133" s="200"/>
      <c r="AL133" s="52"/>
      <c r="AM133" s="199"/>
      <c r="AN133" s="51"/>
      <c r="AO133" s="51"/>
      <c r="AP133" s="200"/>
      <c r="AQ133" s="52"/>
    </row>
    <row r="134" spans="2:43" s="126" customFormat="1" outlineLevel="1" x14ac:dyDescent="0.3">
      <c r="B134" s="136"/>
      <c r="C134" s="136"/>
      <c r="D134" s="150"/>
      <c r="E134" s="11"/>
      <c r="F134" s="11"/>
      <c r="G134" s="11"/>
      <c r="H134" s="150"/>
      <c r="I134" s="39"/>
      <c r="J134" s="36"/>
      <c r="K134" s="36"/>
      <c r="L134" s="36"/>
      <c r="M134" s="27"/>
      <c r="N134" s="36"/>
      <c r="O134" s="36"/>
      <c r="P134" s="36"/>
      <c r="Q134" s="36"/>
      <c r="R134" s="27"/>
      <c r="S134" s="36"/>
      <c r="T134" s="36"/>
      <c r="U134" s="36"/>
      <c r="V134" s="36"/>
      <c r="W134" s="27"/>
      <c r="X134" s="36"/>
      <c r="Y134" s="36"/>
      <c r="Z134" s="36"/>
      <c r="AA134" s="36"/>
      <c r="AB134" s="27"/>
      <c r="AC134" s="36"/>
      <c r="AD134" s="36"/>
      <c r="AE134" s="36"/>
      <c r="AF134" s="36"/>
      <c r="AG134" s="27"/>
      <c r="AH134" s="36"/>
      <c r="AI134" s="36"/>
      <c r="AJ134" s="36"/>
      <c r="AK134" s="36"/>
      <c r="AL134" s="27"/>
      <c r="AM134" s="36"/>
      <c r="AN134" s="36"/>
      <c r="AO134" s="36"/>
      <c r="AP134" s="36"/>
      <c r="AQ134" s="27"/>
    </row>
    <row r="135" spans="2:43" x14ac:dyDescent="0.3">
      <c r="B135" s="106"/>
      <c r="C135" s="107"/>
      <c r="I135" s="35"/>
    </row>
    <row r="136" spans="2:43" s="126" customFormat="1" ht="15.6" x14ac:dyDescent="0.3">
      <c r="B136" s="362" t="s">
        <v>107</v>
      </c>
      <c r="C136" s="366"/>
      <c r="D136" s="1"/>
      <c r="E136" s="1"/>
      <c r="F136" s="1"/>
      <c r="G136" s="1"/>
      <c r="H136" s="1"/>
      <c r="I136" s="35"/>
      <c r="J136" s="1"/>
      <c r="K136" s="6"/>
      <c r="L136" s="6"/>
      <c r="M136" s="6"/>
      <c r="N136" s="1"/>
      <c r="O136" s="1"/>
      <c r="P136" s="6"/>
      <c r="Q136" s="6"/>
      <c r="R136" s="6"/>
      <c r="S136" s="1"/>
      <c r="T136" s="1"/>
      <c r="U136" s="6"/>
      <c r="V136" s="6"/>
      <c r="W136" s="6"/>
      <c r="X136" s="1"/>
      <c r="Y136" s="1"/>
      <c r="Z136" s="6"/>
      <c r="AA136" s="6"/>
      <c r="AB136" s="6"/>
      <c r="AC136" s="1"/>
      <c r="AD136" s="1"/>
      <c r="AE136" s="6"/>
      <c r="AF136" s="6"/>
      <c r="AG136" s="6"/>
      <c r="AH136" s="239"/>
      <c r="AI136" s="239"/>
      <c r="AJ136" s="240"/>
      <c r="AK136" s="240"/>
      <c r="AL136" s="240"/>
      <c r="AM136" s="239"/>
      <c r="AN136" s="239"/>
      <c r="AO136" s="240"/>
      <c r="AP136" s="240"/>
      <c r="AQ136" s="240"/>
    </row>
    <row r="137" spans="2:43" ht="15.6" outlineLevel="1" x14ac:dyDescent="0.3">
      <c r="B137" s="362" t="s">
        <v>119</v>
      </c>
      <c r="C137" s="363"/>
      <c r="D137" s="132" t="s">
        <v>43</v>
      </c>
      <c r="E137" s="132" t="s">
        <v>42</v>
      </c>
      <c r="F137" s="132" t="s">
        <v>41</v>
      </c>
      <c r="G137" s="132" t="s">
        <v>44</v>
      </c>
      <c r="H137" s="132" t="s">
        <v>44</v>
      </c>
      <c r="I137" s="132" t="s">
        <v>45</v>
      </c>
      <c r="J137" s="132" t="s">
        <v>46</v>
      </c>
      <c r="K137" s="132" t="s">
        <v>47</v>
      </c>
      <c r="L137" s="132" t="s">
        <v>49</v>
      </c>
      <c r="M137" s="132" t="s">
        <v>49</v>
      </c>
      <c r="N137" s="132" t="s">
        <v>50</v>
      </c>
      <c r="O137" s="132" t="s">
        <v>51</v>
      </c>
      <c r="P137" s="132" t="s">
        <v>52</v>
      </c>
      <c r="Q137" s="142" t="s">
        <v>48</v>
      </c>
      <c r="R137" s="142" t="s">
        <v>48</v>
      </c>
      <c r="S137" s="142" t="s">
        <v>53</v>
      </c>
      <c r="T137" s="142" t="s">
        <v>54</v>
      </c>
      <c r="U137" s="142" t="s">
        <v>55</v>
      </c>
      <c r="V137" s="142" t="s">
        <v>56</v>
      </c>
      <c r="W137" s="142" t="s">
        <v>56</v>
      </c>
      <c r="X137" s="142" t="s">
        <v>57</v>
      </c>
      <c r="Y137" s="142" t="s">
        <v>58</v>
      </c>
      <c r="Z137" s="142" t="s">
        <v>59</v>
      </c>
      <c r="AA137" s="142" t="s">
        <v>60</v>
      </c>
      <c r="AB137" s="142" t="s">
        <v>60</v>
      </c>
      <c r="AC137" s="142" t="s">
        <v>61</v>
      </c>
      <c r="AD137" s="142" t="s">
        <v>62</v>
      </c>
      <c r="AE137" s="142" t="s">
        <v>63</v>
      </c>
      <c r="AF137" s="142" t="s">
        <v>78</v>
      </c>
      <c r="AG137" s="142" t="s">
        <v>78</v>
      </c>
      <c r="AH137" s="142" t="s">
        <v>229</v>
      </c>
      <c r="AI137" s="142" t="s">
        <v>230</v>
      </c>
      <c r="AJ137" s="142" t="s">
        <v>231</v>
      </c>
      <c r="AK137" s="142" t="s">
        <v>232</v>
      </c>
      <c r="AL137" s="158" t="s">
        <v>232</v>
      </c>
      <c r="AM137" s="142" t="s">
        <v>258</v>
      </c>
      <c r="AN137" s="142" t="s">
        <v>259</v>
      </c>
      <c r="AO137" s="142" t="s">
        <v>260</v>
      </c>
      <c r="AP137" s="142" t="s">
        <v>261</v>
      </c>
      <c r="AQ137" s="158" t="s">
        <v>261</v>
      </c>
    </row>
    <row r="138" spans="2:43" ht="16.2" outlineLevel="1" x14ac:dyDescent="0.45">
      <c r="B138" s="360" t="s">
        <v>1</v>
      </c>
      <c r="C138" s="361"/>
      <c r="D138" s="133" t="s">
        <v>79</v>
      </c>
      <c r="E138" s="133" t="s">
        <v>80</v>
      </c>
      <c r="F138" s="133" t="s">
        <v>81</v>
      </c>
      <c r="G138" s="133" t="s">
        <v>82</v>
      </c>
      <c r="H138" s="135" t="s">
        <v>193</v>
      </c>
      <c r="I138" s="133" t="s">
        <v>83</v>
      </c>
      <c r="J138" s="133" t="s">
        <v>203</v>
      </c>
      <c r="K138" s="133" t="s">
        <v>204</v>
      </c>
      <c r="L138" s="133" t="s">
        <v>223</v>
      </c>
      <c r="M138" s="133" t="s">
        <v>224</v>
      </c>
      <c r="N138" s="133" t="s">
        <v>252</v>
      </c>
      <c r="O138" s="133" t="s">
        <v>253</v>
      </c>
      <c r="P138" s="133" t="s">
        <v>254</v>
      </c>
      <c r="Q138" s="143" t="s">
        <v>90</v>
      </c>
      <c r="R138" s="144" t="s">
        <v>91</v>
      </c>
      <c r="S138" s="143" t="s">
        <v>92</v>
      </c>
      <c r="T138" s="143" t="s">
        <v>93</v>
      </c>
      <c r="U138" s="143" t="s">
        <v>94</v>
      </c>
      <c r="V138" s="143" t="s">
        <v>95</v>
      </c>
      <c r="W138" s="144" t="s">
        <v>96</v>
      </c>
      <c r="X138" s="143" t="s">
        <v>97</v>
      </c>
      <c r="Y138" s="143" t="s">
        <v>98</v>
      </c>
      <c r="Z138" s="143" t="s">
        <v>99</v>
      </c>
      <c r="AA138" s="143" t="s">
        <v>100</v>
      </c>
      <c r="AB138" s="144" t="s">
        <v>101</v>
      </c>
      <c r="AC138" s="143" t="s">
        <v>102</v>
      </c>
      <c r="AD138" s="143" t="s">
        <v>103</v>
      </c>
      <c r="AE138" s="143" t="s">
        <v>104</v>
      </c>
      <c r="AF138" s="143" t="s">
        <v>105</v>
      </c>
      <c r="AG138" s="144" t="s">
        <v>198</v>
      </c>
      <c r="AH138" s="143" t="s">
        <v>233</v>
      </c>
      <c r="AI138" s="143" t="s">
        <v>234</v>
      </c>
      <c r="AJ138" s="143" t="s">
        <v>235</v>
      </c>
      <c r="AK138" s="143" t="s">
        <v>236</v>
      </c>
      <c r="AL138" s="159" t="s">
        <v>237</v>
      </c>
      <c r="AM138" s="143" t="s">
        <v>262</v>
      </c>
      <c r="AN138" s="143" t="s">
        <v>263</v>
      </c>
      <c r="AO138" s="143" t="s">
        <v>264</v>
      </c>
      <c r="AP138" s="143" t="s">
        <v>265</v>
      </c>
      <c r="AQ138" s="159" t="s">
        <v>266</v>
      </c>
    </row>
    <row r="139" spans="2:43" outlineLevel="1" x14ac:dyDescent="0.3">
      <c r="B139" s="358" t="s">
        <v>11</v>
      </c>
      <c r="C139" s="388"/>
      <c r="D139" s="54"/>
      <c r="E139" s="5"/>
      <c r="F139" s="5"/>
      <c r="G139" s="31"/>
      <c r="H139" s="4"/>
      <c r="I139" s="18"/>
      <c r="J139" s="20"/>
      <c r="K139" s="16"/>
      <c r="L139" s="16"/>
      <c r="M139" s="21"/>
      <c r="N139" s="18"/>
      <c r="O139" s="20"/>
      <c r="P139" s="16"/>
      <c r="Q139" s="16"/>
      <c r="R139" s="21"/>
      <c r="S139" s="18"/>
      <c r="T139" s="20"/>
      <c r="U139" s="16"/>
      <c r="V139" s="16"/>
      <c r="W139" s="21"/>
      <c r="X139" s="18"/>
      <c r="Y139" s="20"/>
      <c r="Z139" s="16"/>
      <c r="AA139" s="16"/>
      <c r="AB139" s="21"/>
      <c r="AC139" s="18"/>
      <c r="AD139" s="20"/>
      <c r="AE139" s="16"/>
      <c r="AF139" s="16"/>
      <c r="AG139" s="21"/>
      <c r="AH139" s="18"/>
      <c r="AI139" s="20"/>
      <c r="AJ139" s="16"/>
      <c r="AK139" s="16"/>
      <c r="AL139" s="21"/>
      <c r="AM139" s="18"/>
      <c r="AN139" s="20"/>
      <c r="AO139" s="16"/>
      <c r="AP139" s="16"/>
      <c r="AQ139" s="21"/>
    </row>
    <row r="140" spans="2:43" outlineLevel="1" x14ac:dyDescent="0.3">
      <c r="B140" s="347" t="s">
        <v>12</v>
      </c>
      <c r="C140" s="348"/>
      <c r="D140" s="169">
        <f>D25</f>
        <v>53.114999999999917</v>
      </c>
      <c r="E140" s="108">
        <f>E25</f>
        <v>71.017999999999958</v>
      </c>
      <c r="F140" s="108">
        <f>F25</f>
        <v>59.295000000000037</v>
      </c>
      <c r="G140" s="73">
        <f>G25</f>
        <v>83.371000000000038</v>
      </c>
      <c r="H140" s="187">
        <f>SUM(D140:G140)</f>
        <v>266.79899999999998</v>
      </c>
      <c r="I140" s="186">
        <f t="shared" ref="I140:AQ140" si="478">I25</f>
        <v>23.695999999999795</v>
      </c>
      <c r="J140" s="5">
        <f t="shared" si="478"/>
        <v>26.33499999999998</v>
      </c>
      <c r="K140" s="5">
        <f t="shared" si="478"/>
        <v>29.43199999999991</v>
      </c>
      <c r="L140" s="5">
        <f t="shared" si="478"/>
        <v>43.177999999999997</v>
      </c>
      <c r="M140" s="4">
        <f t="shared" si="478"/>
        <v>122.64099999999956</v>
      </c>
      <c r="N140" s="30">
        <f t="shared" si="478"/>
        <v>27.65800000000009</v>
      </c>
      <c r="O140" s="5">
        <f t="shared" si="478"/>
        <v>40.755000000000237</v>
      </c>
      <c r="P140" s="5">
        <f t="shared" si="478"/>
        <v>51.517000000000053</v>
      </c>
      <c r="Q140" s="5">
        <f t="shared" si="478"/>
        <v>56</v>
      </c>
      <c r="R140" s="4">
        <f t="shared" si="478"/>
        <v>175.93000000000049</v>
      </c>
      <c r="S140" s="30">
        <f t="shared" si="478"/>
        <v>78.463089937432102</v>
      </c>
      <c r="T140" s="5">
        <f t="shared" si="478"/>
        <v>99.538861750855745</v>
      </c>
      <c r="U140" s="5">
        <f t="shared" si="478"/>
        <v>118.65029070788611</v>
      </c>
      <c r="V140" s="5">
        <f t="shared" si="478"/>
        <v>117.04556671470854</v>
      </c>
      <c r="W140" s="4">
        <f t="shared" si="478"/>
        <v>413.69780911088196</v>
      </c>
      <c r="X140" s="30">
        <f t="shared" si="478"/>
        <v>101.82719701822646</v>
      </c>
      <c r="Y140" s="5">
        <f t="shared" si="478"/>
        <v>76.401648065233417</v>
      </c>
      <c r="Z140" s="5">
        <f t="shared" si="478"/>
        <v>124.13060673843319</v>
      </c>
      <c r="AA140" s="5">
        <f t="shared" si="478"/>
        <v>104.68200849851085</v>
      </c>
      <c r="AB140" s="4">
        <f t="shared" si="478"/>
        <v>407.04146032040461</v>
      </c>
      <c r="AC140" s="30">
        <f t="shared" si="478"/>
        <v>264.46627608365395</v>
      </c>
      <c r="AD140" s="5">
        <f t="shared" si="478"/>
        <v>313.60604285657109</v>
      </c>
      <c r="AE140" s="5">
        <f t="shared" si="478"/>
        <v>375.70760918969387</v>
      </c>
      <c r="AF140" s="5">
        <f t="shared" si="478"/>
        <v>464.79648438806186</v>
      </c>
      <c r="AG140" s="4">
        <f t="shared" si="478"/>
        <v>1418.5764125179785</v>
      </c>
      <c r="AH140" s="30">
        <f t="shared" si="478"/>
        <v>917.96149453754526</v>
      </c>
      <c r="AI140" s="5">
        <f t="shared" si="478"/>
        <v>1273.8865732314512</v>
      </c>
      <c r="AJ140" s="5">
        <f t="shared" si="478"/>
        <v>1472.3125919079614</v>
      </c>
      <c r="AK140" s="5">
        <f t="shared" si="478"/>
        <v>2607.0187124355189</v>
      </c>
      <c r="AL140" s="4">
        <f t="shared" si="478"/>
        <v>6271.1793721124723</v>
      </c>
      <c r="AM140" s="30">
        <f t="shared" si="478"/>
        <v>4827.1758545541979</v>
      </c>
      <c r="AN140" s="5">
        <f t="shared" si="478"/>
        <v>6636.5347928718638</v>
      </c>
      <c r="AO140" s="5">
        <f t="shared" si="478"/>
        <v>9307.5523828360874</v>
      </c>
      <c r="AP140" s="5">
        <f t="shared" si="478"/>
        <v>11309.79639361025</v>
      </c>
      <c r="AQ140" s="4">
        <f t="shared" si="478"/>
        <v>32081.059423872415</v>
      </c>
    </row>
    <row r="141" spans="2:43" s="126" customFormat="1" outlineLevel="1" x14ac:dyDescent="0.3">
      <c r="B141" s="217" t="s">
        <v>171</v>
      </c>
      <c r="C141" s="218"/>
      <c r="D141" s="169">
        <v>-749.399</v>
      </c>
      <c r="E141" s="108">
        <v>-813.31399999999996</v>
      </c>
      <c r="F141" s="108">
        <v>-1202.4839999999999</v>
      </c>
      <c r="G141" s="73">
        <v>-1008.2619999999999</v>
      </c>
      <c r="H141" s="187">
        <f t="shared" ref="H141:H144" si="479">SUM(D141:G141)</f>
        <v>-3773.4589999999998</v>
      </c>
      <c r="I141" s="186">
        <v>-1611.925</v>
      </c>
      <c r="J141" s="5">
        <v>-1273.6769999999999</v>
      </c>
      <c r="K141" s="5">
        <v>-1308.943</v>
      </c>
      <c r="L141" s="5">
        <v>-1550.326</v>
      </c>
      <c r="M141" s="4">
        <f t="shared" ref="M141:M149" si="480">SUM(I141:L141)</f>
        <v>-5744.8710000000001</v>
      </c>
      <c r="N141" s="5">
        <v>-2316.5990000000002</v>
      </c>
      <c r="O141" s="5">
        <v>-1791.7660000000001</v>
      </c>
      <c r="P141" s="5">
        <v>-2442.08</v>
      </c>
      <c r="Q141" s="5"/>
      <c r="R141" s="4">
        <f t="shared" ref="R141:R144" si="481">SUM(N141:Q141)</f>
        <v>-6550.4449999999997</v>
      </c>
      <c r="S141" s="5"/>
      <c r="T141" s="5"/>
      <c r="U141" s="5"/>
      <c r="V141" s="5"/>
      <c r="W141" s="4">
        <f t="shared" ref="W141:W156" si="482">SUM(S141:V141)</f>
        <v>0</v>
      </c>
      <c r="X141" s="5"/>
      <c r="Y141" s="5"/>
      <c r="Z141" s="5"/>
      <c r="AA141" s="5"/>
      <c r="AB141" s="4">
        <f t="shared" ref="AB141:AB156" si="483">SUM(X141:AA141)</f>
        <v>0</v>
      </c>
      <c r="AC141" s="5"/>
      <c r="AD141" s="5"/>
      <c r="AE141" s="5"/>
      <c r="AF141" s="5"/>
      <c r="AG141" s="4">
        <f t="shared" ref="AG141:AG156" si="484">SUM(AC141:AF141)</f>
        <v>0</v>
      </c>
      <c r="AH141" s="5"/>
      <c r="AI141" s="5"/>
      <c r="AJ141" s="5"/>
      <c r="AK141" s="5"/>
      <c r="AL141" s="4">
        <f t="shared" ref="AL141:AL156" si="485">SUM(AH141:AK141)</f>
        <v>0</v>
      </c>
      <c r="AM141" s="5"/>
      <c r="AN141" s="5"/>
      <c r="AO141" s="5"/>
      <c r="AP141" s="5"/>
      <c r="AQ141" s="4">
        <f t="shared" ref="AQ141:AQ145" si="486">SUM(AM141:AP141)</f>
        <v>0</v>
      </c>
    </row>
    <row r="142" spans="2:43" s="126" customFormat="1" outlineLevel="1" x14ac:dyDescent="0.3">
      <c r="B142" s="217" t="s">
        <v>172</v>
      </c>
      <c r="C142" s="218"/>
      <c r="D142" s="169">
        <v>42.244</v>
      </c>
      <c r="E142" s="108">
        <v>78.358999999999995</v>
      </c>
      <c r="F142" s="108">
        <v>346.75200000000001</v>
      </c>
      <c r="G142" s="73">
        <v>125.77</v>
      </c>
      <c r="H142" s="187">
        <f t="shared" si="479"/>
        <v>593.125</v>
      </c>
      <c r="I142" s="186">
        <v>626.32500000000005</v>
      </c>
      <c r="J142" s="5">
        <v>191.154</v>
      </c>
      <c r="K142" s="5">
        <v>104.684</v>
      </c>
      <c r="L142" s="5">
        <v>240.25</v>
      </c>
      <c r="M142" s="4">
        <f t="shared" si="480"/>
        <v>1162.413</v>
      </c>
      <c r="N142" s="5">
        <v>905.72299999999996</v>
      </c>
      <c r="O142" s="5">
        <v>238.517</v>
      </c>
      <c r="P142" s="5">
        <v>529.88499999999999</v>
      </c>
      <c r="Q142" s="5"/>
      <c r="R142" s="4">
        <f t="shared" si="481"/>
        <v>1674.125</v>
      </c>
      <c r="S142" s="5"/>
      <c r="T142" s="5"/>
      <c r="U142" s="5"/>
      <c r="V142" s="5"/>
      <c r="W142" s="4">
        <f t="shared" si="482"/>
        <v>0</v>
      </c>
      <c r="X142" s="5"/>
      <c r="Y142" s="5"/>
      <c r="Z142" s="5"/>
      <c r="AA142" s="5"/>
      <c r="AB142" s="4">
        <f t="shared" si="483"/>
        <v>0</v>
      </c>
      <c r="AC142" s="5"/>
      <c r="AD142" s="5"/>
      <c r="AE142" s="5"/>
      <c r="AF142" s="5"/>
      <c r="AG142" s="4">
        <f t="shared" si="484"/>
        <v>0</v>
      </c>
      <c r="AH142" s="5"/>
      <c r="AI142" s="5"/>
      <c r="AJ142" s="5"/>
      <c r="AK142" s="5"/>
      <c r="AL142" s="4">
        <f t="shared" si="485"/>
        <v>0</v>
      </c>
      <c r="AM142" s="5"/>
      <c r="AN142" s="5"/>
      <c r="AO142" s="5"/>
      <c r="AP142" s="5"/>
      <c r="AQ142" s="4">
        <f t="shared" si="486"/>
        <v>0</v>
      </c>
    </row>
    <row r="143" spans="2:43" s="126" customFormat="1" outlineLevel="1" x14ac:dyDescent="0.3">
      <c r="B143" s="347" t="s">
        <v>175</v>
      </c>
      <c r="C143" s="348"/>
      <c r="D143" s="169">
        <v>600.73500000000001</v>
      </c>
      <c r="E143" s="108">
        <v>639.03700000000003</v>
      </c>
      <c r="F143" s="108">
        <v>686.154</v>
      </c>
      <c r="G143" s="73">
        <v>730.35299999999995</v>
      </c>
      <c r="H143" s="187">
        <f t="shared" si="479"/>
        <v>2656.279</v>
      </c>
      <c r="I143" s="186">
        <v>749.51800000000003</v>
      </c>
      <c r="J143" s="5">
        <v>822.6</v>
      </c>
      <c r="K143" s="5">
        <v>871.40300000000002</v>
      </c>
      <c r="L143" s="5">
        <v>961.86099999999999</v>
      </c>
      <c r="M143" s="4">
        <f t="shared" si="480"/>
        <v>3405.3819999999996</v>
      </c>
      <c r="N143" s="5">
        <v>1058.521</v>
      </c>
      <c r="O143" s="5">
        <v>1175.3610000000001</v>
      </c>
      <c r="P143" s="5">
        <v>1224.1079999999999</v>
      </c>
      <c r="Q143" s="5"/>
      <c r="R143" s="4">
        <f t="shared" si="481"/>
        <v>3457.99</v>
      </c>
      <c r="S143" s="5"/>
      <c r="T143" s="5"/>
      <c r="U143" s="5"/>
      <c r="V143" s="5"/>
      <c r="W143" s="4">
        <f t="shared" si="482"/>
        <v>0</v>
      </c>
      <c r="X143" s="5"/>
      <c r="Y143" s="5"/>
      <c r="Z143" s="5"/>
      <c r="AA143" s="5"/>
      <c r="AB143" s="4">
        <f t="shared" si="483"/>
        <v>0</v>
      </c>
      <c r="AC143" s="5"/>
      <c r="AD143" s="5"/>
      <c r="AE143" s="5"/>
      <c r="AF143" s="5"/>
      <c r="AG143" s="4">
        <f t="shared" si="484"/>
        <v>0</v>
      </c>
      <c r="AH143" s="5"/>
      <c r="AI143" s="5"/>
      <c r="AJ143" s="5"/>
      <c r="AK143" s="5"/>
      <c r="AL143" s="4">
        <f t="shared" si="485"/>
        <v>0</v>
      </c>
      <c r="AM143" s="5"/>
      <c r="AN143" s="5"/>
      <c r="AO143" s="5"/>
      <c r="AP143" s="5"/>
      <c r="AQ143" s="4">
        <f t="shared" si="486"/>
        <v>0</v>
      </c>
    </row>
    <row r="144" spans="2:43" s="126" customFormat="1" outlineLevel="1" x14ac:dyDescent="0.3">
      <c r="B144" s="217" t="s">
        <v>176</v>
      </c>
      <c r="C144" s="218"/>
      <c r="D144" s="169">
        <v>16.120999999999999</v>
      </c>
      <c r="E144" s="108">
        <v>16.922999999999998</v>
      </c>
      <c r="F144" s="108">
        <v>18.268999999999998</v>
      </c>
      <c r="G144" s="73">
        <v>20.178000000000001</v>
      </c>
      <c r="H144" s="187">
        <f t="shared" si="479"/>
        <v>71.491</v>
      </c>
      <c r="I144" s="186">
        <v>21.184999999999999</v>
      </c>
      <c r="J144" s="55">
        <v>20.812999999999999</v>
      </c>
      <c r="K144" s="5">
        <v>18.588999999999999</v>
      </c>
      <c r="L144" s="5">
        <v>18.792999999999999</v>
      </c>
      <c r="M144" s="4">
        <f t="shared" si="480"/>
        <v>79.38</v>
      </c>
      <c r="N144" s="5">
        <v>20.440999999999999</v>
      </c>
      <c r="O144" s="5">
        <v>20.021000000000001</v>
      </c>
      <c r="P144" s="5">
        <v>19.283999999999999</v>
      </c>
      <c r="Q144" s="5"/>
      <c r="R144" s="4">
        <f t="shared" si="481"/>
        <v>59.746000000000002</v>
      </c>
      <c r="S144" s="5"/>
      <c r="T144" s="5"/>
      <c r="U144" s="5"/>
      <c r="V144" s="5"/>
      <c r="W144" s="4">
        <f t="shared" si="482"/>
        <v>0</v>
      </c>
      <c r="X144" s="5"/>
      <c r="Y144" s="5"/>
      <c r="Z144" s="5"/>
      <c r="AA144" s="5"/>
      <c r="AB144" s="4">
        <f t="shared" si="483"/>
        <v>0</v>
      </c>
      <c r="AC144" s="5"/>
      <c r="AD144" s="5"/>
      <c r="AE144" s="5"/>
      <c r="AF144" s="5"/>
      <c r="AG144" s="4">
        <f t="shared" si="484"/>
        <v>0</v>
      </c>
      <c r="AH144" s="5"/>
      <c r="AI144" s="5"/>
      <c r="AJ144" s="5"/>
      <c r="AK144" s="5"/>
      <c r="AL144" s="4">
        <f t="shared" si="485"/>
        <v>0</v>
      </c>
      <c r="AM144" s="5"/>
      <c r="AN144" s="5"/>
      <c r="AO144" s="5"/>
      <c r="AP144" s="5"/>
      <c r="AQ144" s="4">
        <f t="shared" si="486"/>
        <v>0</v>
      </c>
    </row>
    <row r="145" spans="2:43" outlineLevel="1" x14ac:dyDescent="0.3">
      <c r="B145" s="347" t="s">
        <v>170</v>
      </c>
      <c r="C145" s="348"/>
      <c r="D145" s="169">
        <v>12.382</v>
      </c>
      <c r="E145" s="108">
        <v>12.977</v>
      </c>
      <c r="F145" s="108">
        <v>14.356999999999999</v>
      </c>
      <c r="G145" s="73">
        <v>14.311999999999999</v>
      </c>
      <c r="H145" s="187">
        <f t="shared" ref="H145:H156" si="487">SUM(D145:G145)</f>
        <v>54.027999999999999</v>
      </c>
      <c r="I145" s="169">
        <v>15.167</v>
      </c>
      <c r="J145" s="55">
        <v>15.581</v>
      </c>
      <c r="K145" s="55">
        <v>16.047000000000001</v>
      </c>
      <c r="L145" s="55">
        <v>15.488</v>
      </c>
      <c r="M145" s="4">
        <f t="shared" si="480"/>
        <v>62.283000000000001</v>
      </c>
      <c r="N145" s="55">
        <v>14.798</v>
      </c>
      <c r="O145" s="55">
        <v>14.131</v>
      </c>
      <c r="P145" s="55">
        <v>14.41</v>
      </c>
      <c r="Q145" s="55">
        <f>(AVERAGE(P106,O106))*Q188</f>
        <v>15.076450000000001</v>
      </c>
      <c r="R145" s="4">
        <f t="shared" ref="R145:R156" si="488">SUM(N145:Q145)</f>
        <v>58.41545</v>
      </c>
      <c r="S145" s="55">
        <f>(AVERAGE(P106,Q106))*S188</f>
        <v>16.843396425000002</v>
      </c>
      <c r="T145" s="55">
        <f>(AVERAGE(S106,Q106))*T188</f>
        <v>18.012376884437501</v>
      </c>
      <c r="U145" s="55">
        <f>(AVERAGE(T106,S106))*U188</f>
        <v>19.435416541161405</v>
      </c>
      <c r="V145" s="55">
        <f>(AVERAGE(U106,T106))*V188</f>
        <v>21.183956846304699</v>
      </c>
      <c r="W145" s="4">
        <f t="shared" si="482"/>
        <v>75.475146696903607</v>
      </c>
      <c r="X145" s="55">
        <f>(AVERAGE(U106,V106))*X188</f>
        <v>23.298715731928329</v>
      </c>
      <c r="Y145" s="55">
        <f>(AVERAGE(X106,V106))*Y188</f>
        <v>25.825446740133</v>
      </c>
      <c r="Z145" s="55">
        <f>(AVERAGE(Y106,X106))*Z188</f>
        <v>28.817501116766909</v>
      </c>
      <c r="AA145" s="55">
        <f>(AVERAGE(Z106,Y106))*AA188</f>
        <v>32.336981806799649</v>
      </c>
      <c r="AB145" s="4">
        <f t="shared" si="483"/>
        <v>110.27864539562788</v>
      </c>
      <c r="AC145" s="55">
        <f>(AVERAGE(Z106,AA106))*AC188</f>
        <v>36.455993152591709</v>
      </c>
      <c r="AD145" s="55">
        <f>(AVERAGE(AC106,AA106))*AD188</f>
        <v>41.258080117367754</v>
      </c>
      <c r="AE145" s="55">
        <f>(AVERAGE(AD106,AC106))*AE188</f>
        <v>46.839888664027178</v>
      </c>
      <c r="AF145" s="55">
        <f>(AVERAGE(AE106,AD106))*AF188</f>
        <v>53.313080150545517</v>
      </c>
      <c r="AG145" s="4">
        <f t="shared" si="484"/>
        <v>177.86704208453216</v>
      </c>
      <c r="AH145" s="55">
        <f>(AVERAGE(AE106,AF106))*AH188</f>
        <v>60.806537409612936</v>
      </c>
      <c r="AI145" s="55">
        <f>(AVERAGE(AH106,AF106))*AI188</f>
        <v>69.468905862045972</v>
      </c>
      <c r="AJ145" s="55">
        <f>(AVERAGE(AI106,AH106))*AJ188</f>
        <v>79.471519551551197</v>
      </c>
      <c r="AK145" s="55">
        <f>(AVERAGE(AJ106,AI106))*AK188</f>
        <v>91.011769504306656</v>
      </c>
      <c r="AL145" s="4">
        <f t="shared" si="485"/>
        <v>300.75873232751673</v>
      </c>
      <c r="AM145" s="55">
        <f>(AVERAGE(AJ106,AK106))*AM188</f>
        <v>104.31698045719104</v>
      </c>
      <c r="AN145" s="55">
        <f>(AVERAGE(AM106,AK106))*AN188</f>
        <v>119.64887193224946</v>
      </c>
      <c r="AO145" s="55">
        <f>(AVERAGE(AN106,AM106))*AO188</f>
        <v>137.30869105638362</v>
      </c>
      <c r="AP145" s="55">
        <f>(AVERAGE(AO106,AN106))*AP188</f>
        <v>157.64311765765493</v>
      </c>
      <c r="AQ145" s="4">
        <f t="shared" si="486"/>
        <v>518.91766110347908</v>
      </c>
    </row>
    <row r="146" spans="2:43" outlineLevel="1" x14ac:dyDescent="0.3">
      <c r="B146" s="347" t="s">
        <v>173</v>
      </c>
      <c r="C146" s="348"/>
      <c r="D146" s="169">
        <v>25.824999999999999</v>
      </c>
      <c r="E146" s="108">
        <v>29.285</v>
      </c>
      <c r="F146" s="108">
        <v>29.878</v>
      </c>
      <c r="G146" s="73">
        <v>30.251000000000001</v>
      </c>
      <c r="H146" s="187">
        <f>SUM(D146:G146)</f>
        <v>115.239</v>
      </c>
      <c r="I146" s="186">
        <v>27.440999999999999</v>
      </c>
      <c r="J146" s="55">
        <v>28.59</v>
      </c>
      <c r="K146" s="5">
        <v>32.834000000000003</v>
      </c>
      <c r="L146" s="5">
        <v>35.86</v>
      </c>
      <c r="M146" s="4">
        <f t="shared" si="480"/>
        <v>124.72500000000001</v>
      </c>
      <c r="N146" s="5">
        <v>42.421999999999997</v>
      </c>
      <c r="O146" s="5">
        <v>44.112000000000002</v>
      </c>
      <c r="P146" s="5">
        <v>43.494999999999997</v>
      </c>
      <c r="Q146" s="5"/>
      <c r="R146" s="4">
        <f>SUM(N146:Q146)</f>
        <v>130.029</v>
      </c>
      <c r="S146" s="5"/>
      <c r="T146" s="5"/>
      <c r="U146" s="5"/>
      <c r="V146" s="5"/>
      <c r="W146" s="4">
        <f>SUM(S146:V146)</f>
        <v>0</v>
      </c>
      <c r="X146" s="5"/>
      <c r="Y146" s="5"/>
      <c r="Z146" s="5"/>
      <c r="AA146" s="5"/>
      <c r="AB146" s="4">
        <f>SUM(X146:AA146)</f>
        <v>0</v>
      </c>
      <c r="AC146" s="5"/>
      <c r="AD146" s="5"/>
      <c r="AE146" s="5"/>
      <c r="AF146" s="5"/>
      <c r="AG146" s="4">
        <f>SUM(AC146:AF146)</f>
        <v>0</v>
      </c>
      <c r="AH146" s="5"/>
      <c r="AI146" s="5"/>
      <c r="AJ146" s="5"/>
      <c r="AK146" s="5"/>
      <c r="AL146" s="4">
        <f>SUM(AH146:AK146)</f>
        <v>0</v>
      </c>
      <c r="AM146" s="5"/>
      <c r="AN146" s="5"/>
      <c r="AO146" s="5"/>
      <c r="AP146" s="5"/>
      <c r="AQ146" s="4">
        <f>SUM(AM146:AP146)</f>
        <v>0</v>
      </c>
    </row>
    <row r="147" spans="2:43" s="126" customFormat="1" outlineLevel="1" x14ac:dyDescent="0.3">
      <c r="B147" s="163" t="s">
        <v>177</v>
      </c>
      <c r="C147" s="164"/>
      <c r="D147" s="169">
        <v>-32.731999999999999</v>
      </c>
      <c r="E147" s="108">
        <v>-14.628</v>
      </c>
      <c r="F147" s="108">
        <v>-21.06</v>
      </c>
      <c r="G147" s="73">
        <v>-20.920999999999999</v>
      </c>
      <c r="H147" s="187">
        <f t="shared" ref="H147:H149" si="489">SUM(D147:G147)</f>
        <v>-89.341000000000008</v>
      </c>
      <c r="I147" s="186">
        <v>-29.001000000000001</v>
      </c>
      <c r="J147" s="55">
        <v>-39.427</v>
      </c>
      <c r="K147" s="5">
        <v>-37.725999999999999</v>
      </c>
      <c r="L147" s="5">
        <v>25.683</v>
      </c>
      <c r="M147" s="4">
        <f t="shared" si="480"/>
        <v>-80.471000000000004</v>
      </c>
      <c r="N147" s="5">
        <v>-11.316000000000001</v>
      </c>
      <c r="O147" s="5">
        <v>-13.323</v>
      </c>
      <c r="P147" s="5">
        <v>-12.762</v>
      </c>
      <c r="Q147" s="5"/>
      <c r="R147" s="4">
        <f t="shared" ref="R147:R149" si="490">SUM(N147:Q147)</f>
        <v>-37.401000000000003</v>
      </c>
      <c r="S147" s="5"/>
      <c r="T147" s="5"/>
      <c r="U147" s="5"/>
      <c r="V147" s="5"/>
      <c r="W147" s="4">
        <f t="shared" ref="W147:W149" si="491">SUM(S147:V147)</f>
        <v>0</v>
      </c>
      <c r="X147" s="5"/>
      <c r="Y147" s="5"/>
      <c r="Z147" s="5"/>
      <c r="AA147" s="5"/>
      <c r="AB147" s="4">
        <f t="shared" ref="AB147:AB149" si="492">SUM(X147:AA147)</f>
        <v>0</v>
      </c>
      <c r="AC147" s="5"/>
      <c r="AD147" s="5"/>
      <c r="AE147" s="5"/>
      <c r="AF147" s="5"/>
      <c r="AG147" s="4">
        <f t="shared" ref="AG147:AG149" si="493">SUM(AC147:AF147)</f>
        <v>0</v>
      </c>
      <c r="AH147" s="5"/>
      <c r="AI147" s="5"/>
      <c r="AJ147" s="5"/>
      <c r="AK147" s="5"/>
      <c r="AL147" s="4">
        <f t="shared" ref="AL147:AL149" si="494">SUM(AH147:AK147)</f>
        <v>0</v>
      </c>
      <c r="AM147" s="5"/>
      <c r="AN147" s="5"/>
      <c r="AO147" s="5"/>
      <c r="AP147" s="5"/>
      <c r="AQ147" s="4">
        <f t="shared" ref="AQ147:AQ149" si="495">SUM(AM147:AP147)</f>
        <v>0</v>
      </c>
    </row>
    <row r="148" spans="2:43" s="126" customFormat="1" outlineLevel="1" x14ac:dyDescent="0.3">
      <c r="B148" s="163" t="s">
        <v>178</v>
      </c>
      <c r="C148" s="164"/>
      <c r="D148" s="169">
        <v>2.1960000000000002</v>
      </c>
      <c r="E148" s="108">
        <v>3.2509999999999999</v>
      </c>
      <c r="F148" s="108">
        <v>3.36</v>
      </c>
      <c r="G148" s="73">
        <v>6.4749999999999996</v>
      </c>
      <c r="H148" s="187">
        <f t="shared" si="489"/>
        <v>15.282</v>
      </c>
      <c r="I148" s="186">
        <v>6.306</v>
      </c>
      <c r="J148" s="55">
        <v>6.6820000000000004</v>
      </c>
      <c r="K148" s="5">
        <v>10.866</v>
      </c>
      <c r="L148" s="5">
        <v>7.774</v>
      </c>
      <c r="M148" s="4">
        <f t="shared" si="480"/>
        <v>31.628</v>
      </c>
      <c r="N148" s="5">
        <v>12.757</v>
      </c>
      <c r="O148" s="5">
        <v>9.0399999999999991</v>
      </c>
      <c r="P148" s="5">
        <v>9.6820000000000004</v>
      </c>
      <c r="Q148" s="5"/>
      <c r="R148" s="4">
        <f t="shared" si="490"/>
        <v>31.478999999999999</v>
      </c>
      <c r="S148" s="5"/>
      <c r="T148" s="5"/>
      <c r="U148" s="5"/>
      <c r="V148" s="5"/>
      <c r="W148" s="4">
        <f t="shared" si="491"/>
        <v>0</v>
      </c>
      <c r="X148" s="5"/>
      <c r="Y148" s="5"/>
      <c r="Z148" s="5"/>
      <c r="AA148" s="5"/>
      <c r="AB148" s="4">
        <f t="shared" si="492"/>
        <v>0</v>
      </c>
      <c r="AC148" s="5"/>
      <c r="AD148" s="5"/>
      <c r="AE148" s="5"/>
      <c r="AF148" s="5"/>
      <c r="AG148" s="4">
        <f t="shared" si="493"/>
        <v>0</v>
      </c>
      <c r="AH148" s="5"/>
      <c r="AI148" s="5"/>
      <c r="AJ148" s="5"/>
      <c r="AK148" s="5"/>
      <c r="AL148" s="4">
        <f t="shared" si="494"/>
        <v>0</v>
      </c>
      <c r="AM148" s="5"/>
      <c r="AN148" s="5"/>
      <c r="AO148" s="5"/>
      <c r="AP148" s="5"/>
      <c r="AQ148" s="4">
        <f t="shared" si="495"/>
        <v>0</v>
      </c>
    </row>
    <row r="149" spans="2:43" s="126" customFormat="1" outlineLevel="1" x14ac:dyDescent="0.3">
      <c r="B149" s="163" t="s">
        <v>179</v>
      </c>
      <c r="C149" s="164"/>
      <c r="D149" s="169">
        <v>-13.103</v>
      </c>
      <c r="E149" s="108">
        <v>-16.568999999999999</v>
      </c>
      <c r="F149" s="108">
        <v>-7.8920000000000003</v>
      </c>
      <c r="G149" s="73">
        <v>7.5010000000000003</v>
      </c>
      <c r="H149" s="187">
        <f t="shared" si="489"/>
        <v>-30.062999999999999</v>
      </c>
      <c r="I149" s="186">
        <v>-37.042000000000002</v>
      </c>
      <c r="J149" s="55">
        <v>-4.2320000000000002</v>
      </c>
      <c r="K149" s="5">
        <v>-29.417000000000002</v>
      </c>
      <c r="L149" s="5">
        <v>12.036</v>
      </c>
      <c r="M149" s="4">
        <f t="shared" si="480"/>
        <v>-58.655000000000001</v>
      </c>
      <c r="N149" s="5">
        <v>-16.603000000000002</v>
      </c>
      <c r="O149" s="5">
        <v>-17.876000000000001</v>
      </c>
      <c r="P149" s="5">
        <v>14.337999999999999</v>
      </c>
      <c r="Q149" s="5"/>
      <c r="R149" s="4">
        <f t="shared" si="490"/>
        <v>-20.140999999999998</v>
      </c>
      <c r="S149" s="5"/>
      <c r="T149" s="5"/>
      <c r="U149" s="5"/>
      <c r="V149" s="5"/>
      <c r="W149" s="4">
        <f t="shared" si="491"/>
        <v>0</v>
      </c>
      <c r="X149" s="5"/>
      <c r="Y149" s="5"/>
      <c r="Z149" s="5"/>
      <c r="AA149" s="5"/>
      <c r="AB149" s="4">
        <f t="shared" si="492"/>
        <v>0</v>
      </c>
      <c r="AC149" s="5"/>
      <c r="AD149" s="5"/>
      <c r="AE149" s="5"/>
      <c r="AF149" s="5"/>
      <c r="AG149" s="4">
        <f t="shared" si="493"/>
        <v>0</v>
      </c>
      <c r="AH149" s="5"/>
      <c r="AI149" s="5"/>
      <c r="AJ149" s="5"/>
      <c r="AK149" s="5"/>
      <c r="AL149" s="4">
        <f t="shared" si="494"/>
        <v>0</v>
      </c>
      <c r="AM149" s="5"/>
      <c r="AN149" s="5"/>
      <c r="AO149" s="5"/>
      <c r="AP149" s="5"/>
      <c r="AQ149" s="4">
        <f t="shared" si="495"/>
        <v>0</v>
      </c>
    </row>
    <row r="150" spans="2:43" ht="4.5" customHeight="1" outlineLevel="1" x14ac:dyDescent="0.3">
      <c r="B150" s="343"/>
      <c r="C150" s="344"/>
      <c r="D150" s="169"/>
      <c r="E150" s="108"/>
      <c r="F150" s="108"/>
      <c r="G150" s="73"/>
      <c r="H150" s="187"/>
      <c r="I150" s="186"/>
      <c r="J150" s="55"/>
      <c r="K150" s="5"/>
      <c r="L150" s="5"/>
      <c r="M150" s="4"/>
      <c r="N150" s="5"/>
      <c r="O150" s="5"/>
      <c r="P150" s="5"/>
      <c r="Q150" s="5"/>
      <c r="R150" s="4"/>
      <c r="S150" s="5"/>
      <c r="T150" s="5"/>
      <c r="U150" s="5"/>
      <c r="V150" s="5"/>
      <c r="W150" s="4"/>
      <c r="X150" s="5"/>
      <c r="Y150" s="5"/>
      <c r="Z150" s="5"/>
      <c r="AA150" s="5"/>
      <c r="AB150" s="4"/>
      <c r="AC150" s="5"/>
      <c r="AD150" s="5"/>
      <c r="AE150" s="5"/>
      <c r="AF150" s="5"/>
      <c r="AG150" s="4"/>
      <c r="AH150" s="5"/>
      <c r="AI150" s="5"/>
      <c r="AJ150" s="5"/>
      <c r="AK150" s="5"/>
      <c r="AL150" s="4"/>
      <c r="AM150" s="5"/>
      <c r="AN150" s="5"/>
      <c r="AO150" s="5"/>
      <c r="AP150" s="5"/>
      <c r="AQ150" s="4"/>
    </row>
    <row r="151" spans="2:43" outlineLevel="1" x14ac:dyDescent="0.3">
      <c r="B151" s="370" t="s">
        <v>18</v>
      </c>
      <c r="C151" s="371"/>
      <c r="D151" s="169"/>
      <c r="E151" s="108"/>
      <c r="F151" s="108"/>
      <c r="G151" s="73"/>
      <c r="H151" s="187"/>
      <c r="I151" s="186"/>
      <c r="J151" s="55"/>
      <c r="K151" s="5"/>
      <c r="L151" s="5"/>
      <c r="M151" s="4"/>
      <c r="N151" s="5"/>
      <c r="O151" s="5"/>
      <c r="P151" s="5"/>
      <c r="Q151" s="5"/>
      <c r="R151" s="4"/>
      <c r="S151" s="5"/>
      <c r="T151" s="5"/>
      <c r="U151" s="5"/>
      <c r="V151" s="5"/>
      <c r="W151" s="4"/>
      <c r="X151" s="5"/>
      <c r="Y151" s="5"/>
      <c r="Z151" s="5"/>
      <c r="AA151" s="5"/>
      <c r="AB151" s="4"/>
      <c r="AC151" s="5"/>
      <c r="AD151" s="5"/>
      <c r="AE151" s="5"/>
      <c r="AF151" s="5"/>
      <c r="AG151" s="4"/>
      <c r="AH151" s="5"/>
      <c r="AI151" s="5"/>
      <c r="AJ151" s="5"/>
      <c r="AK151" s="5"/>
      <c r="AL151" s="4"/>
      <c r="AM151" s="5"/>
      <c r="AN151" s="5"/>
      <c r="AO151" s="5"/>
      <c r="AP151" s="5"/>
      <c r="AQ151" s="4"/>
    </row>
    <row r="152" spans="2:43" outlineLevel="1" x14ac:dyDescent="0.3">
      <c r="B152" s="347" t="s">
        <v>191</v>
      </c>
      <c r="C152" s="348"/>
      <c r="D152" s="169">
        <v>35.066000000000003</v>
      </c>
      <c r="E152" s="108">
        <v>-20.684999999999999</v>
      </c>
      <c r="F152" s="108">
        <v>12.96</v>
      </c>
      <c r="G152" s="73">
        <v>-36.098999999999997</v>
      </c>
      <c r="H152" s="187">
        <f t="shared" si="487"/>
        <v>-8.757999999999992</v>
      </c>
      <c r="I152" s="186">
        <v>23.109000000000002</v>
      </c>
      <c r="J152" s="55">
        <v>-39.613999999999997</v>
      </c>
      <c r="K152" s="5">
        <v>71.171999999999997</v>
      </c>
      <c r="L152" s="5">
        <v>-62.755000000000003</v>
      </c>
      <c r="M152" s="4">
        <f>SUM(I152:L152)</f>
        <v>-8.088000000000001</v>
      </c>
      <c r="N152" s="5">
        <v>14.308</v>
      </c>
      <c r="O152" s="5">
        <v>24.091000000000001</v>
      </c>
      <c r="P152" s="5">
        <v>10.25</v>
      </c>
      <c r="Q152" s="5">
        <f t="shared" ref="Q152" si="496">-((Q102-P102)+(Q103-P103))+(Q115-P115)</f>
        <v>43.290300000000116</v>
      </c>
      <c r="R152" s="4">
        <f t="shared" si="488"/>
        <v>91.939300000000117</v>
      </c>
      <c r="S152" s="5">
        <f>-((S102-Q102)+(S103-Q103))+(S115-Q115)</f>
        <v>-37.513417266951365</v>
      </c>
      <c r="T152" s="5">
        <f>-((T102-S102)+(T103-S103))+(T115-S115)</f>
        <v>93.746223421861032</v>
      </c>
      <c r="U152" s="5">
        <f t="shared" ref="U152:V152" si="497">-((U102-T102)+(U103-T103))+(U115-T115)</f>
        <v>-57.526325971796723</v>
      </c>
      <c r="V152" s="5">
        <f t="shared" si="497"/>
        <v>120.98992993463708</v>
      </c>
      <c r="W152" s="4">
        <f t="shared" si="482"/>
        <v>119.69641011775002</v>
      </c>
      <c r="X152" s="5">
        <f>-((X102-V102)+(X103-V103))+(X115-V115)</f>
        <v>-10.981401129303777</v>
      </c>
      <c r="Y152" s="5">
        <f>-((Y102-X102)+(Y103-X103))+(Y115-X115)</f>
        <v>147.01608752580614</v>
      </c>
      <c r="Z152" s="5">
        <f t="shared" ref="Z152:AA152" si="498">-((Z102-Y102)+(Z103-Y103))+(Z115-Y115)</f>
        <v>-9.6616556060889707</v>
      </c>
      <c r="AA152" s="5">
        <f t="shared" si="498"/>
        <v>214.63439931900757</v>
      </c>
      <c r="AB152" s="4">
        <f t="shared" si="483"/>
        <v>341.00743010942097</v>
      </c>
      <c r="AC152" s="5">
        <f>-((AC102-AA102)+(AC103-AA103))+(AC115-AA115)</f>
        <v>96.705509831273957</v>
      </c>
      <c r="AD152" s="5">
        <f>-((AD102-AC102)+(AD103-AC103))+(AD115-AC115)</f>
        <v>210.61623617137411</v>
      </c>
      <c r="AE152" s="5">
        <f t="shared" ref="AE152:AF152" si="499">-((AE102-AD102)+(AE103-AD103))+(AE115-AD115)</f>
        <v>96.628654149606518</v>
      </c>
      <c r="AF152" s="5">
        <f t="shared" si="499"/>
        <v>321.85045060607263</v>
      </c>
      <c r="AG152" s="4">
        <f t="shared" si="484"/>
        <v>725.80085075832721</v>
      </c>
      <c r="AH152" s="5">
        <f>-((AH102-AF102)+(AH103-AF103))+(AH115-AF115)</f>
        <v>308.01258094167588</v>
      </c>
      <c r="AI152" s="5">
        <f>-((AI102-AH102)+(AI103-AH103))+(AI115-AH115)</f>
        <v>393.13138213360889</v>
      </c>
      <c r="AJ152" s="5">
        <f t="shared" ref="AJ152" si="500">-((AJ102-AI102)+(AJ103-AI103))+(AJ115-AI115)</f>
        <v>315.52847344723159</v>
      </c>
      <c r="AK152" s="5">
        <f t="shared" ref="AK152" si="501">-((AK102-AJ102)+(AK103-AJ103))+(AK115-AJ115)</f>
        <v>650.1898336314207</v>
      </c>
      <c r="AL152" s="4">
        <f t="shared" si="485"/>
        <v>1666.8622701539371</v>
      </c>
      <c r="AM152" s="5">
        <f>-((AM102-AK102)+(AM103-AK103))+(AM115-AK115)</f>
        <v>1035.4907532404322</v>
      </c>
      <c r="AN152" s="5">
        <f>-((AN102-AM102)+(AN103-AM103))+(AN115-AM115)</f>
        <v>954.4009284936219</v>
      </c>
      <c r="AO152" s="5">
        <f t="shared" ref="AO152" si="502">-((AO102-AN102)+(AO103-AN103))+(AO115-AN115)</f>
        <v>1551.9982872058881</v>
      </c>
      <c r="AP152" s="5">
        <f t="shared" ref="AP152" si="503">-((AP102-AO102)+(AP103-AO103))+(AP115-AO115)</f>
        <v>1012.360648159105</v>
      </c>
      <c r="AQ152" s="4">
        <f t="shared" ref="AQ152" si="504">SUM(AM152:AP152)</f>
        <v>4554.2506170990473</v>
      </c>
    </row>
    <row r="153" spans="2:43" outlineLevel="1" x14ac:dyDescent="0.3">
      <c r="B153" s="347" t="s">
        <v>65</v>
      </c>
      <c r="C153" s="348"/>
      <c r="D153" s="169">
        <v>22.812000000000001</v>
      </c>
      <c r="E153" s="170">
        <v>-3.0859999999999999</v>
      </c>
      <c r="F153" s="170">
        <v>13.003</v>
      </c>
      <c r="G153" s="171">
        <v>51.082999999999998</v>
      </c>
      <c r="H153" s="172">
        <f t="shared" si="487"/>
        <v>83.811999999999998</v>
      </c>
      <c r="I153" s="169">
        <v>-10.625</v>
      </c>
      <c r="J153" s="55">
        <v>6.4470000000000001</v>
      </c>
      <c r="K153" s="55">
        <v>6.7619999999999996</v>
      </c>
      <c r="L153" s="55">
        <v>49.030999999999999</v>
      </c>
      <c r="M153" s="104">
        <f>SUM(I153:L153)</f>
        <v>51.614999999999995</v>
      </c>
      <c r="N153" s="55">
        <v>-19.898</v>
      </c>
      <c r="O153" s="55">
        <v>8.7949999999999999</v>
      </c>
      <c r="P153" s="55">
        <v>27.81</v>
      </c>
      <c r="Q153" s="55"/>
      <c r="R153" s="4">
        <f>SUM(N153:Q153)</f>
        <v>16.707000000000001</v>
      </c>
      <c r="S153" s="55"/>
      <c r="T153" s="55"/>
      <c r="U153" s="55"/>
      <c r="V153" s="55"/>
      <c r="W153" s="4">
        <f>SUM(S153:V153)</f>
        <v>0</v>
      </c>
      <c r="X153" s="55"/>
      <c r="Y153" s="55"/>
      <c r="Z153" s="55"/>
      <c r="AA153" s="55"/>
      <c r="AB153" s="4">
        <f>SUM(X153:AA153)</f>
        <v>0</v>
      </c>
      <c r="AC153" s="55"/>
      <c r="AD153" s="55"/>
      <c r="AE153" s="55"/>
      <c r="AF153" s="55"/>
      <c r="AG153" s="4">
        <f>SUM(AC153:AF153)</f>
        <v>0</v>
      </c>
      <c r="AH153" s="55"/>
      <c r="AI153" s="55"/>
      <c r="AJ153" s="55"/>
      <c r="AK153" s="55"/>
      <c r="AL153" s="4">
        <f>SUM(AH153:AK153)</f>
        <v>0</v>
      </c>
      <c r="AM153" s="55"/>
      <c r="AN153" s="55"/>
      <c r="AO153" s="55"/>
      <c r="AP153" s="55"/>
      <c r="AQ153" s="4">
        <f>SUM(AM153:AP153)</f>
        <v>0</v>
      </c>
    </row>
    <row r="154" spans="2:43" outlineLevel="1" x14ac:dyDescent="0.3">
      <c r="B154" s="347" t="s">
        <v>165</v>
      </c>
      <c r="C154" s="348"/>
      <c r="D154" s="169">
        <v>-0.442</v>
      </c>
      <c r="E154" s="170">
        <v>59.008000000000003</v>
      </c>
      <c r="F154" s="170">
        <v>-6.98</v>
      </c>
      <c r="G154" s="171">
        <v>4.05</v>
      </c>
      <c r="H154" s="172">
        <f t="shared" si="487"/>
        <v>55.635999999999996</v>
      </c>
      <c r="I154" s="169">
        <v>35.921999999999997</v>
      </c>
      <c r="J154" s="55">
        <v>41.624000000000002</v>
      </c>
      <c r="K154" s="55">
        <v>10.882999999999999</v>
      </c>
      <c r="L154" s="55">
        <v>-39.619</v>
      </c>
      <c r="M154" s="104">
        <f>SUM(I154:L154)</f>
        <v>48.809999999999988</v>
      </c>
      <c r="N154" s="55">
        <v>41.231999999999999</v>
      </c>
      <c r="O154" s="55">
        <v>2.0990000000000002</v>
      </c>
      <c r="P154" s="55">
        <v>28.957000000000001</v>
      </c>
      <c r="Q154" s="55"/>
      <c r="R154" s="4">
        <f t="shared" si="488"/>
        <v>72.288000000000011</v>
      </c>
      <c r="S154" s="55"/>
      <c r="T154" s="55"/>
      <c r="U154" s="55"/>
      <c r="V154" s="55"/>
      <c r="W154" s="4">
        <f t="shared" si="482"/>
        <v>0</v>
      </c>
      <c r="X154" s="55"/>
      <c r="Y154" s="55"/>
      <c r="Z154" s="55"/>
      <c r="AA154" s="55"/>
      <c r="AB154" s="4">
        <f t="shared" si="483"/>
        <v>0</v>
      </c>
      <c r="AC154" s="55"/>
      <c r="AD154" s="55"/>
      <c r="AE154" s="55"/>
      <c r="AF154" s="55"/>
      <c r="AG154" s="4">
        <f t="shared" si="484"/>
        <v>0</v>
      </c>
      <c r="AH154" s="55"/>
      <c r="AI154" s="55"/>
      <c r="AJ154" s="55"/>
      <c r="AK154" s="55"/>
      <c r="AL154" s="4">
        <f t="shared" si="485"/>
        <v>0</v>
      </c>
      <c r="AM154" s="55"/>
      <c r="AN154" s="55"/>
      <c r="AO154" s="55"/>
      <c r="AP154" s="55"/>
      <c r="AQ154" s="4">
        <f t="shared" ref="AQ154:AQ156" si="505">SUM(AM154:AP154)</f>
        <v>0</v>
      </c>
    </row>
    <row r="155" spans="2:43" s="126" customFormat="1" outlineLevel="1" x14ac:dyDescent="0.3">
      <c r="B155" s="163" t="s">
        <v>166</v>
      </c>
      <c r="C155" s="164"/>
      <c r="D155" s="169">
        <v>14.247999999999999</v>
      </c>
      <c r="E155" s="170">
        <v>11.315</v>
      </c>
      <c r="F155" s="170">
        <v>11.625999999999999</v>
      </c>
      <c r="G155" s="171">
        <v>21.63</v>
      </c>
      <c r="H155" s="172">
        <f t="shared" si="487"/>
        <v>58.819000000000003</v>
      </c>
      <c r="I155" s="169">
        <v>10.754</v>
      </c>
      <c r="J155" s="55">
        <v>16.414000000000001</v>
      </c>
      <c r="K155" s="55">
        <v>27.984999999999999</v>
      </c>
      <c r="L155" s="55">
        <v>16.981999999999999</v>
      </c>
      <c r="M155" s="104">
        <f>SUM(I155:L155)</f>
        <v>72.134999999999991</v>
      </c>
      <c r="N155" s="55">
        <v>27.501999999999999</v>
      </c>
      <c r="O155" s="55">
        <v>22.753</v>
      </c>
      <c r="P155" s="55">
        <v>30.23</v>
      </c>
      <c r="Q155" s="55"/>
      <c r="R155" s="4">
        <f t="shared" si="488"/>
        <v>80.484999999999999</v>
      </c>
      <c r="S155" s="55"/>
      <c r="T155" s="55"/>
      <c r="U155" s="55"/>
      <c r="V155" s="55"/>
      <c r="W155" s="4">
        <f t="shared" si="482"/>
        <v>0</v>
      </c>
      <c r="X155" s="55"/>
      <c r="Y155" s="55"/>
      <c r="Z155" s="55"/>
      <c r="AA155" s="55"/>
      <c r="AB155" s="4">
        <f t="shared" si="483"/>
        <v>0</v>
      </c>
      <c r="AC155" s="55"/>
      <c r="AD155" s="55"/>
      <c r="AE155" s="55"/>
      <c r="AF155" s="55"/>
      <c r="AG155" s="4">
        <f t="shared" si="484"/>
        <v>0</v>
      </c>
      <c r="AH155" s="55"/>
      <c r="AI155" s="55"/>
      <c r="AJ155" s="55"/>
      <c r="AK155" s="55"/>
      <c r="AL155" s="4">
        <f t="shared" si="485"/>
        <v>0</v>
      </c>
      <c r="AM155" s="55"/>
      <c r="AN155" s="55"/>
      <c r="AO155" s="55"/>
      <c r="AP155" s="55"/>
      <c r="AQ155" s="4">
        <f t="shared" si="505"/>
        <v>0</v>
      </c>
    </row>
    <row r="156" spans="2:43" ht="16.2" outlineLevel="1" x14ac:dyDescent="0.45">
      <c r="B156" s="347" t="s">
        <v>180</v>
      </c>
      <c r="C156" s="348"/>
      <c r="D156" s="173">
        <v>7.2910000000000004</v>
      </c>
      <c r="E156" s="174">
        <v>3.133</v>
      </c>
      <c r="F156" s="174">
        <v>5.3230000000000004</v>
      </c>
      <c r="G156" s="175">
        <v>-68.153000000000006</v>
      </c>
      <c r="H156" s="176">
        <f t="shared" si="487"/>
        <v>-52.406000000000006</v>
      </c>
      <c r="I156" s="173">
        <v>21.788</v>
      </c>
      <c r="J156" s="139">
        <v>-0.63300000000000001</v>
      </c>
      <c r="K156" s="139">
        <v>-20.54</v>
      </c>
      <c r="L156" s="139">
        <v>-18.981000000000002</v>
      </c>
      <c r="M156" s="140">
        <f>SUM(I156:L156)</f>
        <v>-18.366</v>
      </c>
      <c r="N156" s="139">
        <v>-29.536000000000001</v>
      </c>
      <c r="O156" s="139">
        <v>-3.0030000000000001</v>
      </c>
      <c r="P156" s="139">
        <v>-11.065</v>
      </c>
      <c r="Q156" s="139">
        <f t="shared" ref="Q156" si="506">-((Q105-P105)+(Q107-P107))+(Q116-P116)+(Q118-P118)</f>
        <v>-200.33021999999983</v>
      </c>
      <c r="R156" s="149">
        <f t="shared" si="488"/>
        <v>-243.93421999999981</v>
      </c>
      <c r="S156" s="139">
        <f>-((S105-Q105)+(S107-Q107))+(S116-Q116)+(S118-Q118)</f>
        <v>0</v>
      </c>
      <c r="T156" s="139">
        <f t="shared" ref="T156:V156" si="507">-((T105-S105)+(T107-S107))+(T116-S116)+(T118-S118)</f>
        <v>0</v>
      </c>
      <c r="U156" s="139">
        <f t="shared" si="507"/>
        <v>0</v>
      </c>
      <c r="V156" s="139">
        <f t="shared" si="507"/>
        <v>0</v>
      </c>
      <c r="W156" s="149">
        <f t="shared" si="482"/>
        <v>0</v>
      </c>
      <c r="X156" s="139">
        <f>-((X105-V105)+(X107-V107))+(X116-V116)+(X118-V118)</f>
        <v>0</v>
      </c>
      <c r="Y156" s="139">
        <f t="shared" ref="Y156:AA156" si="508">-((Y105-X105)+(Y107-X107))+(Y116-X116)+(Y118-X118)</f>
        <v>0</v>
      </c>
      <c r="Z156" s="139">
        <f t="shared" si="508"/>
        <v>0</v>
      </c>
      <c r="AA156" s="139">
        <f t="shared" si="508"/>
        <v>0</v>
      </c>
      <c r="AB156" s="149">
        <f t="shared" si="483"/>
        <v>0</v>
      </c>
      <c r="AC156" s="139">
        <f>-((AC105-AA105)+(AC107-AA107))+(AC116-AA116)+(AC118-AA118)</f>
        <v>0</v>
      </c>
      <c r="AD156" s="139">
        <f t="shared" ref="AD156:AF156" si="509">-((AD105-AC105)+(AD107-AC107))+(AD116-AC116)+(AD118-AC118)</f>
        <v>0</v>
      </c>
      <c r="AE156" s="139">
        <f t="shared" si="509"/>
        <v>0</v>
      </c>
      <c r="AF156" s="139">
        <f t="shared" si="509"/>
        <v>0</v>
      </c>
      <c r="AG156" s="149">
        <f t="shared" si="484"/>
        <v>0</v>
      </c>
      <c r="AH156" s="139">
        <f>-((AH105-AF105)+(AH107-AF107))+(AH116-AF116)+(AH118-AF118)</f>
        <v>0</v>
      </c>
      <c r="AI156" s="139">
        <f t="shared" ref="AI156" si="510">-((AI105-AH105)+(AI107-AH107))+(AI116-AH116)+(AI118-AH118)</f>
        <v>0</v>
      </c>
      <c r="AJ156" s="139">
        <f t="shared" ref="AJ156" si="511">-((AJ105-AI105)+(AJ107-AI107))+(AJ116-AI116)+(AJ118-AI118)</f>
        <v>0</v>
      </c>
      <c r="AK156" s="139">
        <f t="shared" ref="AK156" si="512">-((AK105-AJ105)+(AK107-AJ107))+(AK116-AJ116)+(AK118-AJ118)</f>
        <v>0</v>
      </c>
      <c r="AL156" s="149">
        <f t="shared" si="485"/>
        <v>0</v>
      </c>
      <c r="AM156" s="139">
        <f>-((AM105-AK105)+(AM107-AK107))+(AM116-AK116)+(AM118-AK118)</f>
        <v>0</v>
      </c>
      <c r="AN156" s="139">
        <f t="shared" ref="AN156" si="513">-((AN105-AM105)+(AN107-AM107))+(AN116-AM116)+(AN118-AM118)</f>
        <v>0</v>
      </c>
      <c r="AO156" s="139">
        <f t="shared" ref="AO156" si="514">-((AO105-AN105)+(AO107-AN107))+(AO116-AN116)+(AO118-AN118)</f>
        <v>0</v>
      </c>
      <c r="AP156" s="139">
        <f t="shared" ref="AP156" si="515">-((AP105-AO105)+(AP107-AO107))+(AP116-AO116)+(AP118-AO118)</f>
        <v>0</v>
      </c>
      <c r="AQ156" s="149">
        <f t="shared" si="505"/>
        <v>0</v>
      </c>
    </row>
    <row r="157" spans="2:43" outlineLevel="1" x14ac:dyDescent="0.3">
      <c r="B157" s="345" t="s">
        <v>181</v>
      </c>
      <c r="C157" s="346"/>
      <c r="D157" s="177">
        <f t="shared" ref="D157:AF157" si="516">SUM(D140:D156)</f>
        <v>36.358999999999938</v>
      </c>
      <c r="E157" s="178">
        <f t="shared" si="516"/>
        <v>56.024000000000036</v>
      </c>
      <c r="F157" s="178">
        <f t="shared" si="516"/>
        <v>-37.438999999999893</v>
      </c>
      <c r="G157" s="179">
        <f t="shared" si="516"/>
        <v>-38.46099999999992</v>
      </c>
      <c r="H157" s="180">
        <f t="shared" si="516"/>
        <v>16.483000000000118</v>
      </c>
      <c r="I157" s="177">
        <f t="shared" si="516"/>
        <v>-127.38200000000019</v>
      </c>
      <c r="J157" s="91">
        <f t="shared" si="516"/>
        <v>-181.34299999999988</v>
      </c>
      <c r="K157" s="91">
        <f t="shared" si="516"/>
        <v>-195.96899999999997</v>
      </c>
      <c r="L157" s="91">
        <f t="shared" si="516"/>
        <v>-244.74500000000012</v>
      </c>
      <c r="M157" s="105">
        <f t="shared" si="516"/>
        <v>-749.43900000000122</v>
      </c>
      <c r="N157" s="91">
        <f t="shared" si="516"/>
        <v>-228.5900000000004</v>
      </c>
      <c r="O157" s="91">
        <f t="shared" si="516"/>
        <v>-226.29299999999944</v>
      </c>
      <c r="P157" s="91">
        <f t="shared" si="516"/>
        <v>-461.94100000000026</v>
      </c>
      <c r="Q157" s="91">
        <f t="shared" si="516"/>
        <v>-85.963469999999717</v>
      </c>
      <c r="R157" s="105">
        <f t="shared" si="516"/>
        <v>-1002.7874699999993</v>
      </c>
      <c r="S157" s="91">
        <f t="shared" si="516"/>
        <v>57.793069095480746</v>
      </c>
      <c r="T157" s="91">
        <f t="shared" si="516"/>
        <v>211.29746205715429</v>
      </c>
      <c r="U157" s="91">
        <f t="shared" si="516"/>
        <v>80.559381277250793</v>
      </c>
      <c r="V157" s="91">
        <f t="shared" si="516"/>
        <v>259.21945349565033</v>
      </c>
      <c r="W157" s="105">
        <f t="shared" ref="W157" si="517">SUM(W140:W156)</f>
        <v>608.86936592553559</v>
      </c>
      <c r="X157" s="91">
        <f t="shared" si="516"/>
        <v>114.14451162085101</v>
      </c>
      <c r="Y157" s="91">
        <f t="shared" si="516"/>
        <v>249.24318233117256</v>
      </c>
      <c r="Z157" s="91">
        <f t="shared" si="516"/>
        <v>143.28645224911114</v>
      </c>
      <c r="AA157" s="91">
        <f t="shared" si="516"/>
        <v>351.65338962431804</v>
      </c>
      <c r="AB157" s="105">
        <f t="shared" ref="AB157" si="518">SUM(AB140:AB156)</f>
        <v>858.32753582545342</v>
      </c>
      <c r="AC157" s="91">
        <f t="shared" si="516"/>
        <v>397.62777906751961</v>
      </c>
      <c r="AD157" s="91">
        <f t="shared" si="516"/>
        <v>565.48035914531295</v>
      </c>
      <c r="AE157" s="91">
        <f t="shared" si="516"/>
        <v>519.17615200332762</v>
      </c>
      <c r="AF157" s="91">
        <f t="shared" si="516"/>
        <v>839.96001514468003</v>
      </c>
      <c r="AG157" s="105">
        <f t="shared" ref="AG157" si="519">SUM(AG140:AG156)</f>
        <v>2322.2443053608376</v>
      </c>
      <c r="AH157" s="91">
        <f t="shared" ref="AH157:AK157" si="520">SUM(AH140:AH156)</f>
        <v>1286.7806128888342</v>
      </c>
      <c r="AI157" s="91">
        <f t="shared" si="520"/>
        <v>1736.4868612271061</v>
      </c>
      <c r="AJ157" s="91">
        <f t="shared" si="520"/>
        <v>1867.3125849067442</v>
      </c>
      <c r="AK157" s="91">
        <f t="shared" si="520"/>
        <v>3348.2203155712464</v>
      </c>
      <c r="AL157" s="105">
        <f t="shared" ref="AL157:AP157" si="521">SUM(AL140:AL156)</f>
        <v>8238.8003745939259</v>
      </c>
      <c r="AM157" s="91">
        <f t="shared" si="521"/>
        <v>5966.9835882518209</v>
      </c>
      <c r="AN157" s="91">
        <f t="shared" si="521"/>
        <v>7710.5845932977354</v>
      </c>
      <c r="AO157" s="91">
        <f t="shared" si="521"/>
        <v>10996.859361098359</v>
      </c>
      <c r="AP157" s="91">
        <f t="shared" si="521"/>
        <v>12479.80015942701</v>
      </c>
      <c r="AQ157" s="105">
        <f t="shared" ref="AQ157" si="522">SUM(AQ140:AQ156)</f>
        <v>37154.227702074939</v>
      </c>
    </row>
    <row r="158" spans="2:43" ht="4.5" customHeight="1" outlineLevel="1" x14ac:dyDescent="0.3">
      <c r="B158" s="343"/>
      <c r="C158" s="344"/>
      <c r="D158" s="169"/>
      <c r="E158" s="170"/>
      <c r="F158" s="170"/>
      <c r="G158" s="171"/>
      <c r="H158" s="172"/>
      <c r="I158" s="169"/>
      <c r="J158" s="55"/>
      <c r="K158" s="55"/>
      <c r="L158" s="55"/>
      <c r="M158" s="104"/>
      <c r="N158" s="55"/>
      <c r="O158" s="55"/>
      <c r="P158" s="55"/>
      <c r="Q158" s="55"/>
      <c r="R158" s="104"/>
      <c r="S158" s="55"/>
      <c r="T158" s="55"/>
      <c r="U158" s="55"/>
      <c r="V158" s="55"/>
      <c r="W158" s="104"/>
      <c r="X158" s="55"/>
      <c r="Y158" s="55"/>
      <c r="Z158" s="55"/>
      <c r="AA158" s="55"/>
      <c r="AB158" s="104"/>
      <c r="AC158" s="55"/>
      <c r="AD158" s="55"/>
      <c r="AE158" s="55"/>
      <c r="AF158" s="55"/>
      <c r="AG158" s="104"/>
      <c r="AH158" s="55"/>
      <c r="AI158" s="55"/>
      <c r="AJ158" s="55"/>
      <c r="AK158" s="55"/>
      <c r="AL158" s="104"/>
      <c r="AM158" s="55"/>
      <c r="AN158" s="55"/>
      <c r="AO158" s="55"/>
      <c r="AP158" s="55"/>
      <c r="AQ158" s="104"/>
    </row>
    <row r="159" spans="2:43" outlineLevel="1" x14ac:dyDescent="0.3">
      <c r="B159" s="370" t="s">
        <v>13</v>
      </c>
      <c r="C159" s="371"/>
      <c r="D159" s="169"/>
      <c r="E159" s="170"/>
      <c r="F159" s="170"/>
      <c r="G159" s="171"/>
      <c r="H159" s="172"/>
      <c r="I159" s="169"/>
      <c r="J159" s="55"/>
      <c r="K159" s="55"/>
      <c r="L159" s="55"/>
      <c r="M159" s="104"/>
      <c r="N159" s="55"/>
      <c r="O159" s="55"/>
      <c r="P159" s="55"/>
      <c r="Q159" s="55"/>
      <c r="R159" s="104"/>
      <c r="S159" s="55"/>
      <c r="T159" s="55"/>
      <c r="U159" s="55"/>
      <c r="V159" s="55"/>
      <c r="W159" s="104"/>
      <c r="X159" s="55"/>
      <c r="Y159" s="55"/>
      <c r="Z159" s="55"/>
      <c r="AA159" s="55"/>
      <c r="AB159" s="104"/>
      <c r="AC159" s="55"/>
      <c r="AD159" s="55"/>
      <c r="AE159" s="55"/>
      <c r="AF159" s="55"/>
      <c r="AG159" s="104"/>
      <c r="AH159" s="55"/>
      <c r="AI159" s="55"/>
      <c r="AJ159" s="55"/>
      <c r="AK159" s="55"/>
      <c r="AL159" s="104"/>
      <c r="AM159" s="55"/>
      <c r="AN159" s="55"/>
      <c r="AO159" s="55"/>
      <c r="AP159" s="55"/>
      <c r="AQ159" s="104"/>
    </row>
    <row r="160" spans="2:43" s="126" customFormat="1" outlineLevel="1" x14ac:dyDescent="0.3">
      <c r="B160" s="217" t="s">
        <v>184</v>
      </c>
      <c r="C160" s="223"/>
      <c r="D160" s="169">
        <v>-14.914</v>
      </c>
      <c r="E160" s="170">
        <v>-20.981000000000002</v>
      </c>
      <c r="F160" s="170">
        <v>-15.53</v>
      </c>
      <c r="G160" s="171">
        <v>-23.364999999999998</v>
      </c>
      <c r="H160" s="172">
        <f>SUM(D160:G160)</f>
        <v>-74.790000000000006</v>
      </c>
      <c r="I160" s="169">
        <v>-22.905999999999999</v>
      </c>
      <c r="J160" s="55">
        <v>-19.786000000000001</v>
      </c>
      <c r="K160" s="55">
        <v>-14.467000000000001</v>
      </c>
      <c r="L160" s="55">
        <v>-20.798999999999999</v>
      </c>
      <c r="M160" s="104">
        <f>SUM(I160:L160)</f>
        <v>-77.957999999999998</v>
      </c>
      <c r="N160" s="55">
        <v>-23.207000000000001</v>
      </c>
      <c r="O160" s="55">
        <v>-17.923999999999999</v>
      </c>
      <c r="P160" s="55">
        <v>-17.248999999999999</v>
      </c>
      <c r="Q160" s="55"/>
      <c r="R160" s="104">
        <f>SUM(N160:Q160)</f>
        <v>-58.379999999999995</v>
      </c>
      <c r="S160" s="55"/>
      <c r="T160" s="55"/>
      <c r="U160" s="55"/>
      <c r="V160" s="55"/>
      <c r="W160" s="104">
        <f>SUM(S160:V160)</f>
        <v>0</v>
      </c>
      <c r="X160" s="55"/>
      <c r="Y160" s="55"/>
      <c r="Z160" s="55"/>
      <c r="AA160" s="55"/>
      <c r="AB160" s="104">
        <f>SUM(X160:AA160)</f>
        <v>0</v>
      </c>
      <c r="AC160" s="55"/>
      <c r="AD160" s="55"/>
      <c r="AE160" s="55"/>
      <c r="AF160" s="55"/>
      <c r="AG160" s="104">
        <f>SUM(AC160:AF160)</f>
        <v>0</v>
      </c>
      <c r="AH160" s="55"/>
      <c r="AI160" s="55"/>
      <c r="AJ160" s="55"/>
      <c r="AK160" s="55"/>
      <c r="AL160" s="104">
        <f>SUM(AH160:AK160)</f>
        <v>0</v>
      </c>
      <c r="AM160" s="55"/>
      <c r="AN160" s="55"/>
      <c r="AO160" s="55"/>
      <c r="AP160" s="55"/>
      <c r="AQ160" s="104">
        <f>SUM(AM160:AP160)</f>
        <v>0</v>
      </c>
    </row>
    <row r="161" spans="2:43" outlineLevel="1" x14ac:dyDescent="0.3">
      <c r="B161" s="347" t="s">
        <v>88</v>
      </c>
      <c r="C161" s="348"/>
      <c r="D161" s="169">
        <v>-13.334</v>
      </c>
      <c r="E161" s="170">
        <v>-19.869</v>
      </c>
      <c r="F161" s="170">
        <v>-21.032</v>
      </c>
      <c r="G161" s="171">
        <v>-15.491</v>
      </c>
      <c r="H161" s="172">
        <f>SUM(D161:G161)</f>
        <v>-69.725999999999999</v>
      </c>
      <c r="I161" s="169">
        <v>-13.036</v>
      </c>
      <c r="J161" s="55">
        <v>-27.538</v>
      </c>
      <c r="K161" s="55">
        <v>-37.82</v>
      </c>
      <c r="L161" s="55">
        <v>-12.853999999999999</v>
      </c>
      <c r="M161" s="104">
        <f>SUM(I161:L161)</f>
        <v>-91.248000000000005</v>
      </c>
      <c r="N161" s="55">
        <v>-8.4250000000000007</v>
      </c>
      <c r="O161" s="55">
        <v>-10.814</v>
      </c>
      <c r="P161" s="55">
        <v>-27.366</v>
      </c>
      <c r="Q161" s="55">
        <f>P161*(1+Q191)</f>
        <v>-27.639659999999999</v>
      </c>
      <c r="R161" s="104">
        <f>SUM(N161:Q161)</f>
        <v>-74.24466000000001</v>
      </c>
      <c r="S161" s="55">
        <f>Q161*(1+S191)</f>
        <v>-31.785608999999997</v>
      </c>
      <c r="T161" s="55">
        <f>S161*(1+T191)</f>
        <v>-36.553450349999991</v>
      </c>
      <c r="U161" s="55">
        <f>T161*(1+U191)</f>
        <v>-42.036467902499986</v>
      </c>
      <c r="V161" s="55">
        <f>U161*(1+V191)</f>
        <v>-48.341938087874979</v>
      </c>
      <c r="W161" s="104">
        <f>SUM(S161:V161)</f>
        <v>-158.71746534037496</v>
      </c>
      <c r="X161" s="55">
        <f>V161*(1+X191)</f>
        <v>-55.59322880105622</v>
      </c>
      <c r="Y161" s="55">
        <f>X161*(1+Y191)</f>
        <v>-63.932213121214652</v>
      </c>
      <c r="Z161" s="55">
        <f>Y161*(1+Z191)</f>
        <v>-73.52204508939684</v>
      </c>
      <c r="AA161" s="55">
        <f>Z161*(1+AA191)</f>
        <v>-84.550351852806358</v>
      </c>
      <c r="AB161" s="104">
        <f>SUM(X161:AA161)</f>
        <v>-277.59783886447406</v>
      </c>
      <c r="AC161" s="55">
        <f>AA161*(1+AC191)</f>
        <v>-97.232904630727305</v>
      </c>
      <c r="AD161" s="55">
        <f>AC161*(1+AD191)</f>
        <v>-111.81784032533639</v>
      </c>
      <c r="AE161" s="55">
        <f>AD161*(1+AE191)</f>
        <v>-128.59051637413685</v>
      </c>
      <c r="AF161" s="55">
        <f>AE161*(1+AF191)</f>
        <v>-147.87909383025737</v>
      </c>
      <c r="AG161" s="104">
        <f>SUM(AC161:AF161)</f>
        <v>-485.52035516045794</v>
      </c>
      <c r="AH161" s="55">
        <f>AF161*(1+AH191)</f>
        <v>-170.06095790479597</v>
      </c>
      <c r="AI161" s="55">
        <f>AH161*(1+AI191)</f>
        <v>-195.57010159051535</v>
      </c>
      <c r="AJ161" s="55">
        <f>AI161*(1+AJ191)</f>
        <v>-224.90561682909262</v>
      </c>
      <c r="AK161" s="55">
        <f>AJ161*(1+AK191)</f>
        <v>-258.64145935345647</v>
      </c>
      <c r="AL161" s="104">
        <f>SUM(AH161:AK161)</f>
        <v>-849.17813567786038</v>
      </c>
      <c r="AM161" s="55">
        <f>AK161*(1+AM191)</f>
        <v>-297.4376782564749</v>
      </c>
      <c r="AN161" s="55">
        <f>AM161*(1+AN191)</f>
        <v>-342.05332999494613</v>
      </c>
      <c r="AO161" s="55">
        <f>AN161*(1+AO191)</f>
        <v>-393.361329494188</v>
      </c>
      <c r="AP161" s="55">
        <f>AO161*(1+AP191)</f>
        <v>-452.36552891831616</v>
      </c>
      <c r="AQ161" s="104">
        <f>SUM(AM161:AP161)</f>
        <v>-1485.2178666639252</v>
      </c>
    </row>
    <row r="162" spans="2:43" outlineLevel="1" x14ac:dyDescent="0.3">
      <c r="B162" s="347" t="s">
        <v>192</v>
      </c>
      <c r="C162" s="348"/>
      <c r="D162" s="169">
        <v>0.29499999999999998</v>
      </c>
      <c r="E162" s="170">
        <v>1.129</v>
      </c>
      <c r="F162" s="170">
        <v>0.34100000000000003</v>
      </c>
      <c r="G162" s="171">
        <v>-0.43099999999999999</v>
      </c>
      <c r="H162" s="172">
        <f t="shared" ref="H162:H163" si="523">SUM(D162:G162)</f>
        <v>1.3339999999999999</v>
      </c>
      <c r="I162" s="169">
        <v>0.22500000000000001</v>
      </c>
      <c r="J162" s="55">
        <v>-0.63900000000000001</v>
      </c>
      <c r="K162" s="55">
        <v>-3.76</v>
      </c>
      <c r="L162" s="55">
        <v>2.262</v>
      </c>
      <c r="M162" s="104">
        <f>SUM(I162:L162)</f>
        <v>-1.9119999999999995</v>
      </c>
      <c r="N162" s="55">
        <v>-0.35599999999999998</v>
      </c>
      <c r="O162" s="55">
        <v>0.90700000000000003</v>
      </c>
      <c r="P162" s="55">
        <v>0.125</v>
      </c>
      <c r="Q162" s="55">
        <f t="shared" ref="Q162" si="524">Q118-P118</f>
        <v>0</v>
      </c>
      <c r="R162" s="104">
        <f t="shared" ref="R162:R163" si="525">SUM(N162:Q162)</f>
        <v>0.67600000000000005</v>
      </c>
      <c r="S162" s="55">
        <f>S118-Q118</f>
        <v>0</v>
      </c>
      <c r="T162" s="55">
        <f t="shared" ref="T162:V162" si="526">T118-S118</f>
        <v>0</v>
      </c>
      <c r="U162" s="55">
        <f t="shared" si="526"/>
        <v>0</v>
      </c>
      <c r="V162" s="55">
        <f t="shared" si="526"/>
        <v>0</v>
      </c>
      <c r="W162" s="104">
        <f t="shared" ref="W162:W163" si="527">SUM(S162:V162)</f>
        <v>0</v>
      </c>
      <c r="X162" s="55">
        <f>X118-V118</f>
        <v>0</v>
      </c>
      <c r="Y162" s="55">
        <f t="shared" ref="Y162:AA162" si="528">Y118-X118</f>
        <v>0</v>
      </c>
      <c r="Z162" s="55">
        <f t="shared" si="528"/>
        <v>0</v>
      </c>
      <c r="AA162" s="55">
        <f t="shared" si="528"/>
        <v>0</v>
      </c>
      <c r="AB162" s="104">
        <f t="shared" ref="AB162:AB163" si="529">SUM(X162:AA162)</f>
        <v>0</v>
      </c>
      <c r="AC162" s="55">
        <f>AC118-AA118</f>
        <v>0</v>
      </c>
      <c r="AD162" s="55">
        <f t="shared" ref="AD162:AF162" si="530">AD118-AC118</f>
        <v>0</v>
      </c>
      <c r="AE162" s="55">
        <f t="shared" si="530"/>
        <v>0</v>
      </c>
      <c r="AF162" s="55">
        <f t="shared" si="530"/>
        <v>0</v>
      </c>
      <c r="AG162" s="104">
        <f t="shared" ref="AG162:AG163" si="531">SUM(AC162:AF162)</f>
        <v>0</v>
      </c>
      <c r="AH162" s="55">
        <f>AH118-AF118</f>
        <v>0</v>
      </c>
      <c r="AI162" s="55">
        <f t="shared" ref="AI162" si="532">AI118-AH118</f>
        <v>0</v>
      </c>
      <c r="AJ162" s="55">
        <f t="shared" ref="AJ162" si="533">AJ118-AI118</f>
        <v>0</v>
      </c>
      <c r="AK162" s="55">
        <f t="shared" ref="AK162" si="534">AK118-AJ118</f>
        <v>0</v>
      </c>
      <c r="AL162" s="104">
        <f t="shared" ref="AL162:AL163" si="535">SUM(AH162:AK162)</f>
        <v>0</v>
      </c>
      <c r="AM162" s="55">
        <f>AM118-AK118</f>
        <v>0</v>
      </c>
      <c r="AN162" s="55">
        <f t="shared" ref="AN162" si="536">AN118-AM118</f>
        <v>0</v>
      </c>
      <c r="AO162" s="55">
        <f t="shared" ref="AO162" si="537">AO118-AN118</f>
        <v>0</v>
      </c>
      <c r="AP162" s="55">
        <f t="shared" ref="AP162" si="538">AP118-AO118</f>
        <v>0</v>
      </c>
      <c r="AQ162" s="104">
        <f t="shared" ref="AQ162:AQ163" si="539">SUM(AM162:AP162)</f>
        <v>0</v>
      </c>
    </row>
    <row r="163" spans="2:43" ht="16.2" outlineLevel="1" x14ac:dyDescent="0.45">
      <c r="B163" s="347" t="s">
        <v>114</v>
      </c>
      <c r="C163" s="348"/>
      <c r="D163" s="173">
        <f>-60.546+143.048+3.09</f>
        <v>85.592000000000013</v>
      </c>
      <c r="E163" s="174">
        <f>-170.908+89.662+92.014</f>
        <v>10.768000000000015</v>
      </c>
      <c r="F163" s="174">
        <f>-123.883+107.568+32.125</f>
        <v>15.810000000000002</v>
      </c>
      <c r="G163" s="175">
        <f>-71.597+45.022+14.721</f>
        <v>-11.853999999999996</v>
      </c>
      <c r="H163" s="176">
        <f t="shared" si="523"/>
        <v>100.31600000000003</v>
      </c>
      <c r="I163" s="173">
        <f>-90.94+51.948+31.887</f>
        <v>-7.1049999999999969</v>
      </c>
      <c r="J163" s="139">
        <f>-67.949+48.412+19.17</f>
        <v>-0.36699999999999733</v>
      </c>
      <c r="K163" s="139">
        <f>-66.444+43.887+31.125</f>
        <v>8.5679999999999978</v>
      </c>
      <c r="L163" s="139">
        <f>-146.582+114.832+22.58</f>
        <v>-9.1700000000000017</v>
      </c>
      <c r="M163" s="140">
        <f>SUM(I163:L163)</f>
        <v>-8.0739999999999981</v>
      </c>
      <c r="N163" s="139">
        <f>-34.962+8.188+63.025</f>
        <v>36.250999999999998</v>
      </c>
      <c r="O163" s="139">
        <f>-18.492+18.752+24.675</f>
        <v>24.934999999999999</v>
      </c>
      <c r="P163" s="139">
        <f>-128.136+171.747+24.855</f>
        <v>68.466000000000022</v>
      </c>
      <c r="Q163" s="139">
        <f t="shared" ref="Q163" si="540">-(Q101-P101)</f>
        <v>0</v>
      </c>
      <c r="R163" s="140">
        <f t="shared" si="525"/>
        <v>129.65200000000002</v>
      </c>
      <c r="S163" s="139">
        <f>-(S101-Q101)</f>
        <v>0</v>
      </c>
      <c r="T163" s="139">
        <f t="shared" ref="T163:V163" si="541">-(T101-S101)</f>
        <v>0</v>
      </c>
      <c r="U163" s="139">
        <f t="shared" si="541"/>
        <v>0</v>
      </c>
      <c r="V163" s="139">
        <f t="shared" si="541"/>
        <v>0</v>
      </c>
      <c r="W163" s="140">
        <f t="shared" si="527"/>
        <v>0</v>
      </c>
      <c r="X163" s="139">
        <f>-(X101-V101)</f>
        <v>0</v>
      </c>
      <c r="Y163" s="139">
        <f t="shared" ref="Y163:AA163" si="542">-(Y101-X101)</f>
        <v>0</v>
      </c>
      <c r="Z163" s="139">
        <f t="shared" si="542"/>
        <v>0</v>
      </c>
      <c r="AA163" s="139">
        <f t="shared" si="542"/>
        <v>0</v>
      </c>
      <c r="AB163" s="140">
        <f t="shared" si="529"/>
        <v>0</v>
      </c>
      <c r="AC163" s="139">
        <f>-(AC101-AA101)</f>
        <v>0</v>
      </c>
      <c r="AD163" s="139">
        <f t="shared" ref="AD163:AF163" si="543">-(AD101-AC101)</f>
        <v>0</v>
      </c>
      <c r="AE163" s="139">
        <f t="shared" si="543"/>
        <v>0</v>
      </c>
      <c r="AF163" s="139">
        <f t="shared" si="543"/>
        <v>0</v>
      </c>
      <c r="AG163" s="140">
        <f t="shared" si="531"/>
        <v>0</v>
      </c>
      <c r="AH163" s="139">
        <f>-(AH101-AF101)</f>
        <v>0</v>
      </c>
      <c r="AI163" s="139">
        <f t="shared" ref="AI163" si="544">-(AI101-AH101)</f>
        <v>0</v>
      </c>
      <c r="AJ163" s="139">
        <f t="shared" ref="AJ163" si="545">-(AJ101-AI101)</f>
        <v>0</v>
      </c>
      <c r="AK163" s="139">
        <f t="shared" ref="AK163" si="546">-(AK101-AJ101)</f>
        <v>0</v>
      </c>
      <c r="AL163" s="140">
        <f t="shared" si="535"/>
        <v>0</v>
      </c>
      <c r="AM163" s="139">
        <f>-(AM101-AK101)</f>
        <v>0</v>
      </c>
      <c r="AN163" s="139">
        <f t="shared" ref="AN163" si="547">-(AN101-AM101)</f>
        <v>0</v>
      </c>
      <c r="AO163" s="139">
        <f t="shared" ref="AO163" si="548">-(AO101-AN101)</f>
        <v>0</v>
      </c>
      <c r="AP163" s="139">
        <f t="shared" ref="AP163" si="549">-(AP101-AO101)</f>
        <v>0</v>
      </c>
      <c r="AQ163" s="140">
        <f t="shared" si="539"/>
        <v>0</v>
      </c>
    </row>
    <row r="164" spans="2:43" outlineLevel="1" x14ac:dyDescent="0.3">
      <c r="B164" s="345" t="s">
        <v>183</v>
      </c>
      <c r="C164" s="346"/>
      <c r="D164" s="177">
        <f>SUM(D160:D163)</f>
        <v>57.639000000000017</v>
      </c>
      <c r="E164" s="178">
        <f t="shared" ref="E164:R164" si="550">SUM(E160:E163)</f>
        <v>-28.952999999999989</v>
      </c>
      <c r="F164" s="178">
        <f t="shared" si="550"/>
        <v>-20.410999999999994</v>
      </c>
      <c r="G164" s="179">
        <f t="shared" si="550"/>
        <v>-51.140999999999991</v>
      </c>
      <c r="H164" s="180">
        <f t="shared" si="550"/>
        <v>-42.865999999999985</v>
      </c>
      <c r="I164" s="177">
        <f t="shared" si="550"/>
        <v>-42.821999999999996</v>
      </c>
      <c r="J164" s="91">
        <f t="shared" si="550"/>
        <v>-48.33</v>
      </c>
      <c r="K164" s="91">
        <f t="shared" si="550"/>
        <v>-47.478999999999999</v>
      </c>
      <c r="L164" s="91">
        <f t="shared" si="550"/>
        <v>-40.561</v>
      </c>
      <c r="M164" s="105">
        <f>SUM(M160:M163)</f>
        <v>-179.19200000000001</v>
      </c>
      <c r="N164" s="94">
        <f t="shared" si="550"/>
        <v>4.2629999999999946</v>
      </c>
      <c r="O164" s="91">
        <f t="shared" si="550"/>
        <v>-2.8960000000000008</v>
      </c>
      <c r="P164" s="91">
        <f t="shared" si="550"/>
        <v>23.976000000000028</v>
      </c>
      <c r="Q164" s="91">
        <f t="shared" si="550"/>
        <v>-27.639659999999999</v>
      </c>
      <c r="R164" s="105">
        <f t="shared" si="550"/>
        <v>-2.2966600000000028</v>
      </c>
      <c r="S164" s="94">
        <f t="shared" ref="S164" si="551">SUM(S160:S163)</f>
        <v>-31.785608999999997</v>
      </c>
      <c r="T164" s="91">
        <f t="shared" ref="T164" si="552">SUM(T160:T163)</f>
        <v>-36.553450349999991</v>
      </c>
      <c r="U164" s="91">
        <f t="shared" ref="U164" si="553">SUM(U160:U163)</f>
        <v>-42.036467902499986</v>
      </c>
      <c r="V164" s="91">
        <f t="shared" ref="V164:W164" si="554">SUM(V160:V163)</f>
        <v>-48.341938087874979</v>
      </c>
      <c r="W164" s="105">
        <f t="shared" si="554"/>
        <v>-158.71746534037496</v>
      </c>
      <c r="X164" s="94">
        <f t="shared" ref="X164" si="555">SUM(X160:X163)</f>
        <v>-55.59322880105622</v>
      </c>
      <c r="Y164" s="91">
        <f t="shared" ref="Y164" si="556">SUM(Y160:Y163)</f>
        <v>-63.932213121214652</v>
      </c>
      <c r="Z164" s="91">
        <f t="shared" ref="Z164" si="557">SUM(Z160:Z163)</f>
        <v>-73.52204508939684</v>
      </c>
      <c r="AA164" s="91">
        <f t="shared" ref="AA164" si="558">SUM(AA160:AA163)</f>
        <v>-84.550351852806358</v>
      </c>
      <c r="AB164" s="105">
        <f t="shared" ref="AB164" si="559">SUM(AB160:AB163)</f>
        <v>-277.59783886447406</v>
      </c>
      <c r="AC164" s="94">
        <f t="shared" ref="AC164" si="560">SUM(AC160:AC163)</f>
        <v>-97.232904630727305</v>
      </c>
      <c r="AD164" s="91">
        <f t="shared" ref="AD164" si="561">SUM(AD160:AD163)</f>
        <v>-111.81784032533639</v>
      </c>
      <c r="AE164" s="91">
        <f t="shared" ref="AE164" si="562">SUM(AE160:AE163)</f>
        <v>-128.59051637413685</v>
      </c>
      <c r="AF164" s="91">
        <f t="shared" ref="AF164" si="563">SUM(AF160:AF163)</f>
        <v>-147.87909383025737</v>
      </c>
      <c r="AG164" s="105">
        <f t="shared" ref="AG164" si="564">SUM(AG160:AG163)</f>
        <v>-485.52035516045794</v>
      </c>
      <c r="AH164" s="94">
        <f t="shared" ref="AH164:AK164" si="565">SUM(AH160:AH163)</f>
        <v>-170.06095790479597</v>
      </c>
      <c r="AI164" s="91">
        <f t="shared" si="565"/>
        <v>-195.57010159051535</v>
      </c>
      <c r="AJ164" s="91">
        <f t="shared" si="565"/>
        <v>-224.90561682909262</v>
      </c>
      <c r="AK164" s="91">
        <f t="shared" si="565"/>
        <v>-258.64145935345647</v>
      </c>
      <c r="AL164" s="105">
        <f t="shared" ref="AL164:AP164" si="566">SUM(AL160:AL163)</f>
        <v>-849.17813567786038</v>
      </c>
      <c r="AM164" s="94">
        <f t="shared" si="566"/>
        <v>-297.4376782564749</v>
      </c>
      <c r="AN164" s="91">
        <f t="shared" si="566"/>
        <v>-342.05332999494613</v>
      </c>
      <c r="AO164" s="91">
        <f t="shared" si="566"/>
        <v>-393.361329494188</v>
      </c>
      <c r="AP164" s="91">
        <f t="shared" si="566"/>
        <v>-452.36552891831616</v>
      </c>
      <c r="AQ164" s="105">
        <f t="shared" ref="AQ164" si="567">SUM(AQ160:AQ163)</f>
        <v>-1485.2178666639252</v>
      </c>
    </row>
    <row r="165" spans="2:43" ht="4.5" customHeight="1" outlineLevel="1" x14ac:dyDescent="0.3">
      <c r="B165" s="343"/>
      <c r="C165" s="344"/>
      <c r="D165" s="169"/>
      <c r="E165" s="170"/>
      <c r="F165" s="170"/>
      <c r="G165" s="171"/>
      <c r="H165" s="172"/>
      <c r="I165" s="169"/>
      <c r="J165" s="55"/>
      <c r="K165" s="55"/>
      <c r="L165" s="55"/>
      <c r="M165" s="104"/>
      <c r="N165" s="54"/>
      <c r="O165" s="55"/>
      <c r="P165" s="55"/>
      <c r="Q165" s="55"/>
      <c r="R165" s="104"/>
      <c r="S165" s="54"/>
      <c r="T165" s="55"/>
      <c r="U165" s="55"/>
      <c r="V165" s="55"/>
      <c r="W165" s="104"/>
      <c r="X165" s="54"/>
      <c r="Y165" s="55"/>
      <c r="Z165" s="55"/>
      <c r="AA165" s="55"/>
      <c r="AB165" s="104"/>
      <c r="AC165" s="54"/>
      <c r="AD165" s="55"/>
      <c r="AE165" s="55"/>
      <c r="AF165" s="55"/>
      <c r="AG165" s="104"/>
      <c r="AH165" s="54"/>
      <c r="AI165" s="55"/>
      <c r="AJ165" s="55"/>
      <c r="AK165" s="55"/>
      <c r="AL165" s="104"/>
      <c r="AM165" s="54"/>
      <c r="AN165" s="55"/>
      <c r="AO165" s="55"/>
      <c r="AP165" s="55"/>
      <c r="AQ165" s="104"/>
    </row>
    <row r="166" spans="2:43" outlineLevel="1" x14ac:dyDescent="0.3">
      <c r="B166" s="370" t="s">
        <v>14</v>
      </c>
      <c r="C166" s="371"/>
      <c r="D166" s="169"/>
      <c r="E166" s="170"/>
      <c r="F166" s="170"/>
      <c r="G166" s="171"/>
      <c r="H166" s="172"/>
      <c r="I166" s="169"/>
      <c r="J166" s="55"/>
      <c r="K166" s="55"/>
      <c r="L166" s="55"/>
      <c r="M166" s="104"/>
      <c r="N166" s="54"/>
      <c r="O166" s="55"/>
      <c r="P166" s="55"/>
      <c r="Q166" s="55"/>
      <c r="R166" s="104"/>
      <c r="S166" s="54"/>
      <c r="T166" s="55"/>
      <c r="U166" s="55"/>
      <c r="V166" s="55"/>
      <c r="W166" s="104"/>
      <c r="X166" s="54"/>
      <c r="Y166" s="55"/>
      <c r="Z166" s="55"/>
      <c r="AA166" s="55"/>
      <c r="AB166" s="104"/>
      <c r="AC166" s="54"/>
      <c r="AD166" s="55"/>
      <c r="AE166" s="55"/>
      <c r="AF166" s="55"/>
      <c r="AG166" s="104"/>
      <c r="AH166" s="54"/>
      <c r="AI166" s="55"/>
      <c r="AJ166" s="55"/>
      <c r="AK166" s="55"/>
      <c r="AL166" s="104"/>
      <c r="AM166" s="54"/>
      <c r="AN166" s="55"/>
      <c r="AO166" s="55"/>
      <c r="AP166" s="55"/>
      <c r="AQ166" s="104"/>
    </row>
    <row r="167" spans="2:43" outlineLevel="1" x14ac:dyDescent="0.3">
      <c r="B167" s="347" t="s">
        <v>185</v>
      </c>
      <c r="C167" s="348"/>
      <c r="D167" s="169">
        <v>32.448</v>
      </c>
      <c r="E167" s="170">
        <v>14.468999999999999</v>
      </c>
      <c r="F167" s="170">
        <v>9.8770000000000007</v>
      </c>
      <c r="G167" s="171">
        <v>3.75</v>
      </c>
      <c r="H167" s="172">
        <f t="shared" ref="H167:H171" si="568">SUM(D167:G167)</f>
        <v>60.544000000000004</v>
      </c>
      <c r="I167" s="169">
        <v>10.916</v>
      </c>
      <c r="J167" s="55">
        <v>23.803999999999998</v>
      </c>
      <c r="K167" s="55">
        <v>35.088999999999999</v>
      </c>
      <c r="L167" s="55">
        <v>8.1709999999999994</v>
      </c>
      <c r="M167" s="104">
        <f>SUM(I167:L167)</f>
        <v>77.97999999999999</v>
      </c>
      <c r="N167" s="54">
        <v>3.536</v>
      </c>
      <c r="O167" s="55">
        <v>4.2320000000000002</v>
      </c>
      <c r="P167" s="55">
        <v>3.819</v>
      </c>
      <c r="Q167" s="55"/>
      <c r="R167" s="104">
        <f t="shared" ref="R167:R171" si="569">SUM(N167:Q167)</f>
        <v>11.587</v>
      </c>
      <c r="S167" s="54"/>
      <c r="T167" s="55"/>
      <c r="U167" s="55"/>
      <c r="V167" s="55"/>
      <c r="W167" s="104">
        <f t="shared" ref="W167:W171" si="570">SUM(S167:V167)</f>
        <v>0</v>
      </c>
      <c r="X167" s="54"/>
      <c r="Y167" s="55"/>
      <c r="Z167" s="55"/>
      <c r="AA167" s="55"/>
      <c r="AB167" s="104">
        <f t="shared" ref="AB167:AB171" si="571">SUM(X167:AA167)</f>
        <v>0</v>
      </c>
      <c r="AC167" s="54"/>
      <c r="AD167" s="55"/>
      <c r="AE167" s="55"/>
      <c r="AF167" s="55"/>
      <c r="AG167" s="104">
        <f t="shared" ref="AG167:AG171" si="572">SUM(AC167:AF167)</f>
        <v>0</v>
      </c>
      <c r="AH167" s="54"/>
      <c r="AI167" s="55"/>
      <c r="AJ167" s="55"/>
      <c r="AK167" s="55"/>
      <c r="AL167" s="104">
        <f t="shared" ref="AL167:AL171" si="573">SUM(AH167:AK167)</f>
        <v>0</v>
      </c>
      <c r="AM167" s="54"/>
      <c r="AN167" s="55"/>
      <c r="AO167" s="55"/>
      <c r="AP167" s="55"/>
      <c r="AQ167" s="104">
        <f t="shared" ref="AQ167:AQ171" si="574">SUM(AM167:AP167)</f>
        <v>0</v>
      </c>
    </row>
    <row r="168" spans="2:43" outlineLevel="1" x14ac:dyDescent="0.3">
      <c r="B168" s="347" t="s">
        <v>186</v>
      </c>
      <c r="C168" s="348"/>
      <c r="D168" s="169">
        <v>400</v>
      </c>
      <c r="E168" s="170">
        <v>0</v>
      </c>
      <c r="F168" s="170">
        <v>0</v>
      </c>
      <c r="G168" s="171">
        <v>0</v>
      </c>
      <c r="H168" s="172">
        <f t="shared" si="568"/>
        <v>400</v>
      </c>
      <c r="I168" s="169">
        <v>1500</v>
      </c>
      <c r="J168" s="55">
        <f>J117-I117</f>
        <v>0</v>
      </c>
      <c r="K168" s="55">
        <v>0</v>
      </c>
      <c r="L168" s="55">
        <v>0</v>
      </c>
      <c r="M168" s="104">
        <f>SUM(I168:L168)</f>
        <v>1500</v>
      </c>
      <c r="N168" s="54"/>
      <c r="O168" s="55">
        <v>0</v>
      </c>
      <c r="P168" s="55">
        <v>0</v>
      </c>
      <c r="Q168" s="55">
        <f t="shared" ref="Q168" si="575">Q117-P117</f>
        <v>0</v>
      </c>
      <c r="R168" s="104">
        <f t="shared" si="569"/>
        <v>0</v>
      </c>
      <c r="S168" s="54">
        <f>S117-Q117</f>
        <v>0</v>
      </c>
      <c r="T168" s="55">
        <f t="shared" ref="T168:V168" si="576">T117-S117</f>
        <v>0</v>
      </c>
      <c r="U168" s="55">
        <f t="shared" si="576"/>
        <v>0</v>
      </c>
      <c r="V168" s="55">
        <f t="shared" si="576"/>
        <v>0</v>
      </c>
      <c r="W168" s="104">
        <f t="shared" si="570"/>
        <v>0</v>
      </c>
      <c r="X168" s="54">
        <f>X117-V117</f>
        <v>0</v>
      </c>
      <c r="Y168" s="55">
        <f t="shared" ref="Y168:AA168" si="577">Y117-X117</f>
        <v>0</v>
      </c>
      <c r="Z168" s="55">
        <f t="shared" si="577"/>
        <v>0</v>
      </c>
      <c r="AA168" s="55">
        <f t="shared" si="577"/>
        <v>0</v>
      </c>
      <c r="AB168" s="104">
        <f t="shared" si="571"/>
        <v>0</v>
      </c>
      <c r="AC168" s="54">
        <f>AC117-AA117</f>
        <v>0</v>
      </c>
      <c r="AD168" s="55">
        <f t="shared" ref="AD168:AF168" si="578">AD117-AC117</f>
        <v>0</v>
      </c>
      <c r="AE168" s="55">
        <f t="shared" si="578"/>
        <v>0</v>
      </c>
      <c r="AF168" s="55">
        <f t="shared" si="578"/>
        <v>0</v>
      </c>
      <c r="AG168" s="104">
        <f t="shared" si="572"/>
        <v>0</v>
      </c>
      <c r="AH168" s="54">
        <f>AH117-AF117</f>
        <v>0</v>
      </c>
      <c r="AI168" s="55">
        <f t="shared" ref="AI168" si="579">AI117-AH117</f>
        <v>0</v>
      </c>
      <c r="AJ168" s="55">
        <f t="shared" ref="AJ168" si="580">AJ117-AI117</f>
        <v>0</v>
      </c>
      <c r="AK168" s="55">
        <f t="shared" ref="AK168" si="581">AK117-AJ117</f>
        <v>0</v>
      </c>
      <c r="AL168" s="104">
        <f t="shared" si="573"/>
        <v>0</v>
      </c>
      <c r="AM168" s="54">
        <f>AM117-AK117</f>
        <v>0</v>
      </c>
      <c r="AN168" s="55">
        <f t="shared" ref="AN168" si="582">AN117-AM117</f>
        <v>0</v>
      </c>
      <c r="AO168" s="55">
        <f t="shared" ref="AO168" si="583">AO117-AN117</f>
        <v>0</v>
      </c>
      <c r="AP168" s="55">
        <f t="shared" ref="AP168" si="584">AP117-AO117</f>
        <v>0</v>
      </c>
      <c r="AQ168" s="104">
        <f t="shared" si="574"/>
        <v>0</v>
      </c>
    </row>
    <row r="169" spans="2:43" outlineLevel="1" x14ac:dyDescent="0.3">
      <c r="B169" s="347" t="s">
        <v>187</v>
      </c>
      <c r="C169" s="348"/>
      <c r="D169" s="169">
        <v>-6.7270000000000003</v>
      </c>
      <c r="E169" s="170">
        <v>-0.35299999999999998</v>
      </c>
      <c r="F169" s="170">
        <v>0</v>
      </c>
      <c r="G169" s="171">
        <v>0</v>
      </c>
      <c r="H169" s="172">
        <f t="shared" si="568"/>
        <v>-7.08</v>
      </c>
      <c r="I169" s="169">
        <v>-17.231999999999999</v>
      </c>
      <c r="J169" s="55">
        <v>-0.39700000000000002</v>
      </c>
      <c r="K169" s="55">
        <v>0</v>
      </c>
      <c r="L169" s="55">
        <v>0</v>
      </c>
      <c r="M169" s="104">
        <f t="shared" ref="M169:M171" si="585">SUM(I169:L169)</f>
        <v>-17.628999999999998</v>
      </c>
      <c r="N169" s="54"/>
      <c r="O169" s="55"/>
      <c r="P169" s="55"/>
      <c r="Q169" s="55"/>
      <c r="R169" s="104">
        <f t="shared" si="569"/>
        <v>0</v>
      </c>
      <c r="S169" s="54"/>
      <c r="T169" s="55"/>
      <c r="U169" s="55"/>
      <c r="V169" s="55"/>
      <c r="W169" s="104">
        <f t="shared" si="570"/>
        <v>0</v>
      </c>
      <c r="X169" s="54"/>
      <c r="Y169" s="55"/>
      <c r="Z169" s="55"/>
      <c r="AA169" s="55"/>
      <c r="AB169" s="104">
        <f t="shared" si="571"/>
        <v>0</v>
      </c>
      <c r="AC169" s="54"/>
      <c r="AD169" s="55"/>
      <c r="AE169" s="55"/>
      <c r="AF169" s="55"/>
      <c r="AG169" s="104">
        <f t="shared" si="572"/>
        <v>0</v>
      </c>
      <c r="AH169" s="54"/>
      <c r="AI169" s="55"/>
      <c r="AJ169" s="55"/>
      <c r="AK169" s="55"/>
      <c r="AL169" s="104">
        <f t="shared" si="573"/>
        <v>0</v>
      </c>
      <c r="AM169" s="54"/>
      <c r="AN169" s="55"/>
      <c r="AO169" s="55"/>
      <c r="AP169" s="55"/>
      <c r="AQ169" s="104">
        <f t="shared" si="574"/>
        <v>0</v>
      </c>
    </row>
    <row r="170" spans="2:43" outlineLevel="1" x14ac:dyDescent="0.3">
      <c r="B170" s="347" t="s">
        <v>174</v>
      </c>
      <c r="C170" s="348"/>
      <c r="D170" s="169">
        <v>32.731999999999999</v>
      </c>
      <c r="E170" s="170">
        <v>14.628</v>
      </c>
      <c r="F170" s="170">
        <v>21.06</v>
      </c>
      <c r="G170" s="171">
        <v>20.920999999999999</v>
      </c>
      <c r="H170" s="172">
        <f t="shared" si="568"/>
        <v>89.341000000000008</v>
      </c>
      <c r="I170" s="169">
        <v>29.001000000000001</v>
      </c>
      <c r="J170" s="55">
        <v>39.427</v>
      </c>
      <c r="K170" s="55">
        <v>37.725999999999999</v>
      </c>
      <c r="L170" s="55">
        <v>-25.683</v>
      </c>
      <c r="M170" s="104">
        <f t="shared" si="585"/>
        <v>80.471000000000004</v>
      </c>
      <c r="N170" s="54">
        <v>11.316000000000001</v>
      </c>
      <c r="O170" s="55">
        <v>13.323</v>
      </c>
      <c r="P170" s="55">
        <v>12.762</v>
      </c>
      <c r="Q170" s="55"/>
      <c r="R170" s="104">
        <f t="shared" si="569"/>
        <v>37.401000000000003</v>
      </c>
      <c r="S170" s="54"/>
      <c r="T170" s="55"/>
      <c r="U170" s="55"/>
      <c r="V170" s="55"/>
      <c r="W170" s="104">
        <f t="shared" si="570"/>
        <v>0</v>
      </c>
      <c r="X170" s="54"/>
      <c r="Y170" s="55"/>
      <c r="Z170" s="55"/>
      <c r="AA170" s="55"/>
      <c r="AB170" s="104">
        <f t="shared" si="571"/>
        <v>0</v>
      </c>
      <c r="AC170" s="54"/>
      <c r="AD170" s="55"/>
      <c r="AE170" s="55"/>
      <c r="AF170" s="55"/>
      <c r="AG170" s="104">
        <f t="shared" si="572"/>
        <v>0</v>
      </c>
      <c r="AH170" s="54"/>
      <c r="AI170" s="55"/>
      <c r="AJ170" s="55"/>
      <c r="AK170" s="55"/>
      <c r="AL170" s="104">
        <f t="shared" si="573"/>
        <v>0</v>
      </c>
      <c r="AM170" s="54"/>
      <c r="AN170" s="55"/>
      <c r="AO170" s="55"/>
      <c r="AP170" s="55"/>
      <c r="AQ170" s="104">
        <f t="shared" si="574"/>
        <v>0</v>
      </c>
    </row>
    <row r="171" spans="2:43" s="126" customFormat="1" ht="16.2" outlineLevel="1" x14ac:dyDescent="0.45">
      <c r="B171" s="163" t="s">
        <v>188</v>
      </c>
      <c r="C171" s="164"/>
      <c r="D171" s="173">
        <v>-0.26700000000000002</v>
      </c>
      <c r="E171" s="174">
        <v>-0.27100000000000002</v>
      </c>
      <c r="F171" s="174">
        <v>-0.27500000000000002</v>
      </c>
      <c r="G171" s="175">
        <v>-0.28000000000000003</v>
      </c>
      <c r="H171" s="176">
        <f t="shared" si="568"/>
        <v>-1.093</v>
      </c>
      <c r="I171" s="173">
        <v>-0.251</v>
      </c>
      <c r="J171" s="139">
        <v>-0.28699999999999998</v>
      </c>
      <c r="K171" s="139">
        <v>-6.0999999999999999E-2</v>
      </c>
      <c r="L171" s="139">
        <v>5.3999999999999999E-2</v>
      </c>
      <c r="M171" s="140">
        <f t="shared" si="585"/>
        <v>-0.54499999999999993</v>
      </c>
      <c r="N171" s="138">
        <v>5.5E-2</v>
      </c>
      <c r="O171" s="139">
        <v>5.7000000000000002E-2</v>
      </c>
      <c r="P171" s="139">
        <v>5.8000000000000003E-2</v>
      </c>
      <c r="Q171" s="139">
        <v>0</v>
      </c>
      <c r="R171" s="140">
        <f t="shared" si="569"/>
        <v>0.17</v>
      </c>
      <c r="S171" s="138">
        <v>0</v>
      </c>
      <c r="T171" s="139">
        <v>0</v>
      </c>
      <c r="U171" s="139">
        <v>0</v>
      </c>
      <c r="V171" s="139">
        <v>0</v>
      </c>
      <c r="W171" s="140">
        <f t="shared" si="570"/>
        <v>0</v>
      </c>
      <c r="X171" s="138">
        <v>0</v>
      </c>
      <c r="Y171" s="139">
        <v>0</v>
      </c>
      <c r="Z171" s="139">
        <v>0</v>
      </c>
      <c r="AA171" s="139">
        <v>0</v>
      </c>
      <c r="AB171" s="140">
        <f t="shared" si="571"/>
        <v>0</v>
      </c>
      <c r="AC171" s="138">
        <v>0</v>
      </c>
      <c r="AD171" s="139">
        <v>0</v>
      </c>
      <c r="AE171" s="139">
        <v>0</v>
      </c>
      <c r="AF171" s="139">
        <v>0</v>
      </c>
      <c r="AG171" s="140">
        <f t="shared" si="572"/>
        <v>0</v>
      </c>
      <c r="AH171" s="138">
        <v>0</v>
      </c>
      <c r="AI171" s="139">
        <v>0</v>
      </c>
      <c r="AJ171" s="139">
        <v>0</v>
      </c>
      <c r="AK171" s="139">
        <v>0</v>
      </c>
      <c r="AL171" s="140">
        <f t="shared" si="573"/>
        <v>0</v>
      </c>
      <c r="AM171" s="138">
        <v>0</v>
      </c>
      <c r="AN171" s="139">
        <v>0</v>
      </c>
      <c r="AO171" s="139">
        <v>0</v>
      </c>
      <c r="AP171" s="139">
        <v>0</v>
      </c>
      <c r="AQ171" s="140">
        <f t="shared" si="574"/>
        <v>0</v>
      </c>
    </row>
    <row r="172" spans="2:43" outlineLevel="1" x14ac:dyDescent="0.3">
      <c r="B172" s="345" t="s">
        <v>182</v>
      </c>
      <c r="C172" s="346"/>
      <c r="D172" s="177">
        <f t="shared" ref="D172:AF172" si="586">SUM(D167:D171)</f>
        <v>458.18599999999998</v>
      </c>
      <c r="E172" s="178">
        <f t="shared" si="586"/>
        <v>28.472999999999999</v>
      </c>
      <c r="F172" s="178">
        <f t="shared" si="586"/>
        <v>30.661999999999999</v>
      </c>
      <c r="G172" s="179">
        <f t="shared" si="586"/>
        <v>24.390999999999998</v>
      </c>
      <c r="H172" s="172">
        <f t="shared" si="586"/>
        <v>541.7120000000001</v>
      </c>
      <c r="I172" s="177">
        <f t="shared" si="586"/>
        <v>1522.434</v>
      </c>
      <c r="J172" s="91">
        <f t="shared" si="586"/>
        <v>62.547000000000004</v>
      </c>
      <c r="K172" s="91">
        <f t="shared" si="586"/>
        <v>72.753999999999991</v>
      </c>
      <c r="L172" s="91">
        <f t="shared" si="586"/>
        <v>-17.458000000000002</v>
      </c>
      <c r="M172" s="104">
        <f t="shared" si="586"/>
        <v>1640.277</v>
      </c>
      <c r="N172" s="94">
        <f>SUM(N167:N171)</f>
        <v>14.907</v>
      </c>
      <c r="O172" s="91">
        <f t="shared" si="586"/>
        <v>17.611999999999998</v>
      </c>
      <c r="P172" s="91">
        <f t="shared" si="586"/>
        <v>16.638999999999999</v>
      </c>
      <c r="Q172" s="91">
        <f t="shared" si="586"/>
        <v>0</v>
      </c>
      <c r="R172" s="104">
        <f t="shared" si="586"/>
        <v>49.158000000000001</v>
      </c>
      <c r="S172" s="94">
        <f t="shared" si="586"/>
        <v>0</v>
      </c>
      <c r="T172" s="91">
        <f t="shared" si="586"/>
        <v>0</v>
      </c>
      <c r="U172" s="91">
        <f t="shared" si="586"/>
        <v>0</v>
      </c>
      <c r="V172" s="91">
        <f t="shared" si="586"/>
        <v>0</v>
      </c>
      <c r="W172" s="104">
        <f t="shared" ref="W172" si="587">SUM(W167:W171)</f>
        <v>0</v>
      </c>
      <c r="X172" s="94">
        <f t="shared" si="586"/>
        <v>0</v>
      </c>
      <c r="Y172" s="91">
        <f t="shared" si="586"/>
        <v>0</v>
      </c>
      <c r="Z172" s="91">
        <f t="shared" si="586"/>
        <v>0</v>
      </c>
      <c r="AA172" s="91">
        <f t="shared" si="586"/>
        <v>0</v>
      </c>
      <c r="AB172" s="104">
        <f t="shared" ref="AB172" si="588">SUM(AB167:AB171)</f>
        <v>0</v>
      </c>
      <c r="AC172" s="94">
        <f t="shared" si="586"/>
        <v>0</v>
      </c>
      <c r="AD172" s="91">
        <f t="shared" si="586"/>
        <v>0</v>
      </c>
      <c r="AE172" s="91">
        <f t="shared" si="586"/>
        <v>0</v>
      </c>
      <c r="AF172" s="91">
        <f t="shared" si="586"/>
        <v>0</v>
      </c>
      <c r="AG172" s="104">
        <f t="shared" ref="AG172" si="589">SUM(AG167:AG171)</f>
        <v>0</v>
      </c>
      <c r="AH172" s="94">
        <f t="shared" ref="AH172:AL172" si="590">SUM(AH167:AH171)</f>
        <v>0</v>
      </c>
      <c r="AI172" s="91">
        <f t="shared" si="590"/>
        <v>0</v>
      </c>
      <c r="AJ172" s="91">
        <f t="shared" si="590"/>
        <v>0</v>
      </c>
      <c r="AK172" s="91">
        <f t="shared" si="590"/>
        <v>0</v>
      </c>
      <c r="AL172" s="104">
        <f t="shared" si="590"/>
        <v>0</v>
      </c>
      <c r="AM172" s="94">
        <f t="shared" ref="AM172:AQ172" si="591">SUM(AM167:AM171)</f>
        <v>0</v>
      </c>
      <c r="AN172" s="91">
        <f t="shared" si="591"/>
        <v>0</v>
      </c>
      <c r="AO172" s="91">
        <f t="shared" si="591"/>
        <v>0</v>
      </c>
      <c r="AP172" s="91">
        <f t="shared" si="591"/>
        <v>0</v>
      </c>
      <c r="AQ172" s="104">
        <f t="shared" si="591"/>
        <v>0</v>
      </c>
    </row>
    <row r="173" spans="2:43" s="47" customFormat="1" ht="16.2" outlineLevel="1" x14ac:dyDescent="0.45">
      <c r="B173" s="163" t="s">
        <v>89</v>
      </c>
      <c r="C173" s="164"/>
      <c r="D173" s="173">
        <v>0.30099999999999999</v>
      </c>
      <c r="E173" s="174">
        <v>1.25</v>
      </c>
      <c r="F173" s="174">
        <v>-3.839</v>
      </c>
      <c r="G173" s="175">
        <v>-4.3979999999999997</v>
      </c>
      <c r="H173" s="176">
        <f>SUM(D173:G173)</f>
        <v>-6.6859999999999999</v>
      </c>
      <c r="I173" s="173">
        <v>-11.061</v>
      </c>
      <c r="J173" s="139">
        <v>6.2210000000000001</v>
      </c>
      <c r="K173" s="139">
        <v>-7.7409999999999997</v>
      </c>
      <c r="L173" s="139">
        <v>-3.343</v>
      </c>
      <c r="M173" s="140">
        <f>SUM(I173:L173)</f>
        <v>-15.923999999999999</v>
      </c>
      <c r="N173" s="138">
        <v>5.3339999999999996</v>
      </c>
      <c r="O173" s="139">
        <v>-2.742</v>
      </c>
      <c r="P173" s="139">
        <v>-0.441</v>
      </c>
      <c r="Q173" s="229">
        <v>0</v>
      </c>
      <c r="R173" s="140">
        <f>SUM(N173:Q173)</f>
        <v>2.1509999999999998</v>
      </c>
      <c r="S173" s="228">
        <v>0</v>
      </c>
      <c r="T173" s="229">
        <v>0</v>
      </c>
      <c r="U173" s="229">
        <v>0</v>
      </c>
      <c r="V173" s="229">
        <v>0</v>
      </c>
      <c r="W173" s="140">
        <f>SUM(S173:V173)</f>
        <v>0</v>
      </c>
      <c r="X173" s="228">
        <v>0</v>
      </c>
      <c r="Y173" s="229">
        <v>0</v>
      </c>
      <c r="Z173" s="229">
        <v>0</v>
      </c>
      <c r="AA173" s="229">
        <v>0</v>
      </c>
      <c r="AB173" s="140">
        <f>SUM(X173:AA173)</f>
        <v>0</v>
      </c>
      <c r="AC173" s="228">
        <v>0</v>
      </c>
      <c r="AD173" s="229">
        <v>0</v>
      </c>
      <c r="AE173" s="229">
        <v>0</v>
      </c>
      <c r="AF173" s="229">
        <v>0</v>
      </c>
      <c r="AG173" s="140">
        <f>SUM(AC173:AF173)</f>
        <v>0</v>
      </c>
      <c r="AH173" s="228">
        <v>0</v>
      </c>
      <c r="AI173" s="229">
        <v>0</v>
      </c>
      <c r="AJ173" s="229">
        <v>0</v>
      </c>
      <c r="AK173" s="229">
        <v>0</v>
      </c>
      <c r="AL173" s="140">
        <f>SUM(AH173:AK173)</f>
        <v>0</v>
      </c>
      <c r="AM173" s="228">
        <v>0</v>
      </c>
      <c r="AN173" s="229">
        <v>0</v>
      </c>
      <c r="AO173" s="229">
        <v>0</v>
      </c>
      <c r="AP173" s="229">
        <v>0</v>
      </c>
      <c r="AQ173" s="140">
        <f>SUM(AM173:AP173)</f>
        <v>0</v>
      </c>
    </row>
    <row r="174" spans="2:43" outlineLevel="1" x14ac:dyDescent="0.3">
      <c r="B174" s="345" t="s">
        <v>15</v>
      </c>
      <c r="C174" s="346"/>
      <c r="D174" s="177">
        <f t="shared" ref="D174:AG174" si="592">D172+D164+D157+D173</f>
        <v>552.48500000000001</v>
      </c>
      <c r="E174" s="188">
        <f t="shared" si="592"/>
        <v>56.794000000000047</v>
      </c>
      <c r="F174" s="188">
        <f t="shared" si="592"/>
        <v>-31.026999999999887</v>
      </c>
      <c r="G174" s="189">
        <f t="shared" si="592"/>
        <v>-69.608999999999909</v>
      </c>
      <c r="H174" s="190">
        <f t="shared" si="592"/>
        <v>508.6430000000002</v>
      </c>
      <c r="I174" s="191">
        <f t="shared" si="592"/>
        <v>1341.1689999999999</v>
      </c>
      <c r="J174" s="91">
        <f t="shared" si="592"/>
        <v>-160.90499999999986</v>
      </c>
      <c r="K174" s="8">
        <f t="shared" si="592"/>
        <v>-178.43499999999995</v>
      </c>
      <c r="L174" s="8">
        <f t="shared" si="592"/>
        <v>-306.10700000000014</v>
      </c>
      <c r="M174" s="7">
        <f t="shared" si="592"/>
        <v>695.72199999999884</v>
      </c>
      <c r="N174" s="94">
        <f t="shared" si="592"/>
        <v>-204.08600000000041</v>
      </c>
      <c r="O174" s="8">
        <f t="shared" si="592"/>
        <v>-214.31899999999942</v>
      </c>
      <c r="P174" s="8">
        <f t="shared" si="592"/>
        <v>-421.76700000000022</v>
      </c>
      <c r="Q174" s="8">
        <f t="shared" si="592"/>
        <v>-113.60312999999971</v>
      </c>
      <c r="R174" s="7">
        <f t="shared" si="592"/>
        <v>-953.77512999999931</v>
      </c>
      <c r="S174" s="12">
        <f t="shared" si="592"/>
        <v>26.007460095480749</v>
      </c>
      <c r="T174" s="8">
        <f t="shared" si="592"/>
        <v>174.7440117071543</v>
      </c>
      <c r="U174" s="8">
        <f t="shared" si="592"/>
        <v>38.522913374750807</v>
      </c>
      <c r="V174" s="8">
        <f t="shared" si="592"/>
        <v>210.87751540777535</v>
      </c>
      <c r="W174" s="7">
        <f t="shared" si="592"/>
        <v>450.15190058516066</v>
      </c>
      <c r="X174" s="12">
        <f t="shared" si="592"/>
        <v>58.551282819794785</v>
      </c>
      <c r="Y174" s="8">
        <f t="shared" si="592"/>
        <v>185.3109692099579</v>
      </c>
      <c r="Z174" s="8">
        <f t="shared" si="592"/>
        <v>69.764407159714295</v>
      </c>
      <c r="AA174" s="8">
        <f t="shared" si="592"/>
        <v>267.10303777151171</v>
      </c>
      <c r="AB174" s="7">
        <f t="shared" si="592"/>
        <v>580.72969696097937</v>
      </c>
      <c r="AC174" s="12">
        <f t="shared" si="592"/>
        <v>300.39487443679229</v>
      </c>
      <c r="AD174" s="8">
        <f t="shared" si="592"/>
        <v>453.66251881997653</v>
      </c>
      <c r="AE174" s="8">
        <f t="shared" si="592"/>
        <v>390.58563562919073</v>
      </c>
      <c r="AF174" s="8">
        <f t="shared" si="592"/>
        <v>692.08092131442265</v>
      </c>
      <c r="AG174" s="7">
        <f t="shared" si="592"/>
        <v>1836.7239502003797</v>
      </c>
      <c r="AH174" s="12">
        <f t="shared" ref="AH174:AL174" si="593">AH172+AH164+AH157+AH173</f>
        <v>1116.7196549840382</v>
      </c>
      <c r="AI174" s="8">
        <f t="shared" si="593"/>
        <v>1540.9167596365908</v>
      </c>
      <c r="AJ174" s="8">
        <f t="shared" si="593"/>
        <v>1642.4069680776515</v>
      </c>
      <c r="AK174" s="8">
        <f t="shared" si="593"/>
        <v>3089.57885621779</v>
      </c>
      <c r="AL174" s="7">
        <f t="shared" si="593"/>
        <v>7389.6222389160657</v>
      </c>
      <c r="AM174" s="12">
        <f t="shared" ref="AM174:AQ174" si="594">AM172+AM164+AM157+AM173</f>
        <v>5669.5459099953459</v>
      </c>
      <c r="AN174" s="8">
        <f t="shared" si="594"/>
        <v>7368.5312633027897</v>
      </c>
      <c r="AO174" s="8">
        <f t="shared" si="594"/>
        <v>10603.498031604171</v>
      </c>
      <c r="AP174" s="8">
        <f t="shared" si="594"/>
        <v>12027.434630508695</v>
      </c>
      <c r="AQ174" s="7">
        <f t="shared" si="594"/>
        <v>35669.009835411016</v>
      </c>
    </row>
    <row r="175" spans="2:43" outlineLevel="1" x14ac:dyDescent="0.3">
      <c r="B175" s="345" t="s">
        <v>16</v>
      </c>
      <c r="C175" s="346"/>
      <c r="D175" s="177">
        <v>604.96500000000003</v>
      </c>
      <c r="E175" s="188">
        <f>D176</f>
        <v>1157.45</v>
      </c>
      <c r="F175" s="188">
        <f t="shared" ref="F175:G175" si="595">E176</f>
        <v>1214.2440000000001</v>
      </c>
      <c r="G175" s="189">
        <f t="shared" si="595"/>
        <v>1183.2170000000003</v>
      </c>
      <c r="H175" s="180">
        <f>D175</f>
        <v>604.96500000000003</v>
      </c>
      <c r="I175" s="191">
        <f>G176</f>
        <v>1113.6080000000004</v>
      </c>
      <c r="J175" s="91">
        <f>I176</f>
        <v>2454.777</v>
      </c>
      <c r="K175" s="8">
        <f t="shared" ref="K175:L175" si="596">J176</f>
        <v>2293.8720000000003</v>
      </c>
      <c r="L175" s="8">
        <f t="shared" si="596"/>
        <v>2115.4370000000004</v>
      </c>
      <c r="M175" s="7">
        <f>H176</f>
        <v>1113.6080000000002</v>
      </c>
      <c r="N175" s="94">
        <f>M176</f>
        <v>1809.329999999999</v>
      </c>
      <c r="O175" s="8">
        <f>N176</f>
        <v>1605.2439999999986</v>
      </c>
      <c r="P175" s="8">
        <f t="shared" ref="P175" si="597">O176</f>
        <v>1390.924999999999</v>
      </c>
      <c r="Q175" s="8">
        <f t="shared" ref="Q175" si="598">P176</f>
        <v>969.15799999999876</v>
      </c>
      <c r="R175" s="7">
        <f>M176</f>
        <v>1809.329999999999</v>
      </c>
      <c r="S175" s="12">
        <f>R176</f>
        <v>855.55486999999971</v>
      </c>
      <c r="T175" s="8">
        <f>S176</f>
        <v>881.56233009548043</v>
      </c>
      <c r="U175" s="8">
        <f t="shared" ref="U175" si="599">T176</f>
        <v>1056.3063418026347</v>
      </c>
      <c r="V175" s="8">
        <f t="shared" ref="V175" si="600">U176</f>
        <v>1094.8292551773854</v>
      </c>
      <c r="W175" s="7">
        <f>R176</f>
        <v>855.55486999999971</v>
      </c>
      <c r="X175" s="12">
        <f>W176</f>
        <v>1305.7067705851605</v>
      </c>
      <c r="Y175" s="8">
        <f>X176</f>
        <v>1364.2580534049553</v>
      </c>
      <c r="Z175" s="8">
        <f t="shared" ref="Z175" si="601">Y176</f>
        <v>1549.5690226149131</v>
      </c>
      <c r="AA175" s="8">
        <f t="shared" ref="AA175" si="602">Z176</f>
        <v>1619.3334297746273</v>
      </c>
      <c r="AB175" s="7">
        <f>W176</f>
        <v>1305.7067705851605</v>
      </c>
      <c r="AC175" s="12">
        <f>AB176</f>
        <v>1886.4364675461397</v>
      </c>
      <c r="AD175" s="8">
        <f>AC176</f>
        <v>2186.8313419829319</v>
      </c>
      <c r="AE175" s="8">
        <f t="shared" ref="AE175" si="603">AD176</f>
        <v>2640.4938608029083</v>
      </c>
      <c r="AF175" s="8">
        <f t="shared" ref="AF175" si="604">AE176</f>
        <v>3031.0794964320989</v>
      </c>
      <c r="AG175" s="7">
        <f>AB176</f>
        <v>1886.4364675461397</v>
      </c>
      <c r="AH175" s="12">
        <f>AG176</f>
        <v>3723.1604177465197</v>
      </c>
      <c r="AI175" s="8">
        <f>AH176</f>
        <v>4839.8800727305579</v>
      </c>
      <c r="AJ175" s="8">
        <f t="shared" ref="AJ175" si="605">AI176</f>
        <v>6380.7968323671485</v>
      </c>
      <c r="AK175" s="8">
        <f t="shared" ref="AK175" si="606">AJ176</f>
        <v>8023.2038004448004</v>
      </c>
      <c r="AL175" s="7">
        <f>AG176</f>
        <v>3723.1604177465197</v>
      </c>
      <c r="AM175" s="12">
        <f>AL176</f>
        <v>11112.782656662584</v>
      </c>
      <c r="AN175" s="8">
        <f>AM176</f>
        <v>16782.328566657932</v>
      </c>
      <c r="AO175" s="8">
        <f t="shared" ref="AO175" si="607">AN176</f>
        <v>24150.859829960722</v>
      </c>
      <c r="AP175" s="8">
        <f t="shared" ref="AP175" si="608">AO176</f>
        <v>34754.357861564895</v>
      </c>
      <c r="AQ175" s="7">
        <f>AL176</f>
        <v>11112.782656662584</v>
      </c>
    </row>
    <row r="176" spans="2:43" outlineLevel="1" x14ac:dyDescent="0.3">
      <c r="B176" s="345" t="s">
        <v>17</v>
      </c>
      <c r="C176" s="346"/>
      <c r="D176" s="177">
        <f>D175+D174</f>
        <v>1157.45</v>
      </c>
      <c r="E176" s="188">
        <f t="shared" ref="E176" si="609">E175+E174</f>
        <v>1214.2440000000001</v>
      </c>
      <c r="F176" s="188">
        <f>F175+F174</f>
        <v>1183.2170000000003</v>
      </c>
      <c r="G176" s="189">
        <f t="shared" ref="G176:H176" si="610">G175+G174</f>
        <v>1113.6080000000004</v>
      </c>
      <c r="H176" s="190">
        <f t="shared" si="610"/>
        <v>1113.6080000000002</v>
      </c>
      <c r="I176" s="191">
        <f>I175+I174</f>
        <v>2454.777</v>
      </c>
      <c r="J176" s="91">
        <f t="shared" ref="J176" si="611">J175+J174</f>
        <v>2293.8720000000003</v>
      </c>
      <c r="K176" s="8">
        <f t="shared" ref="K176:L176" si="612">K175+K174</f>
        <v>2115.4370000000004</v>
      </c>
      <c r="L176" s="8">
        <f t="shared" si="612"/>
        <v>1809.3300000000002</v>
      </c>
      <c r="M176" s="7">
        <f>M175+M174</f>
        <v>1809.329999999999</v>
      </c>
      <c r="N176" s="94">
        <f t="shared" ref="N176" si="613">N175+N174</f>
        <v>1605.2439999999986</v>
      </c>
      <c r="O176" s="8">
        <f t="shared" ref="O176:P176" si="614">O175+O174</f>
        <v>1390.924999999999</v>
      </c>
      <c r="P176" s="8">
        <f t="shared" si="614"/>
        <v>969.15799999999876</v>
      </c>
      <c r="Q176" s="8">
        <f>Q175+Q174</f>
        <v>855.55486999999903</v>
      </c>
      <c r="R176" s="7">
        <f>R175+R174</f>
        <v>855.55486999999971</v>
      </c>
      <c r="S176" s="12">
        <f t="shared" ref="S176:U176" si="615">S175+S174</f>
        <v>881.56233009548043</v>
      </c>
      <c r="T176" s="8">
        <f t="shared" si="615"/>
        <v>1056.3063418026347</v>
      </c>
      <c r="U176" s="8">
        <f t="shared" si="615"/>
        <v>1094.8292551773854</v>
      </c>
      <c r="V176" s="8">
        <f>V175+V174</f>
        <v>1305.7067705851607</v>
      </c>
      <c r="W176" s="7">
        <f>W175+W174</f>
        <v>1305.7067705851605</v>
      </c>
      <c r="X176" s="12">
        <f t="shared" ref="X176:Z176" si="616">X175+X174</f>
        <v>1364.2580534049553</v>
      </c>
      <c r="Y176" s="8">
        <f t="shared" si="616"/>
        <v>1549.5690226149131</v>
      </c>
      <c r="Z176" s="8">
        <f t="shared" si="616"/>
        <v>1619.3334297746273</v>
      </c>
      <c r="AA176" s="8">
        <f>AA175+AA174</f>
        <v>1886.4364675461391</v>
      </c>
      <c r="AB176" s="7">
        <f>AB175+AB174</f>
        <v>1886.4364675461397</v>
      </c>
      <c r="AC176" s="12">
        <f t="shared" ref="AC176:AE176" si="617">AC175+AC174</f>
        <v>2186.8313419829319</v>
      </c>
      <c r="AD176" s="8">
        <f t="shared" si="617"/>
        <v>2640.4938608029083</v>
      </c>
      <c r="AE176" s="8">
        <f t="shared" si="617"/>
        <v>3031.0794964320989</v>
      </c>
      <c r="AF176" s="8">
        <f>AF175+AF174</f>
        <v>3723.1604177465215</v>
      </c>
      <c r="AG176" s="7">
        <f>AG175+AG174</f>
        <v>3723.1604177465197</v>
      </c>
      <c r="AH176" s="12">
        <f t="shared" ref="AH176:AJ176" si="618">AH175+AH174</f>
        <v>4839.8800727305579</v>
      </c>
      <c r="AI176" s="8">
        <f t="shared" si="618"/>
        <v>6380.7968323671485</v>
      </c>
      <c r="AJ176" s="8">
        <f t="shared" si="618"/>
        <v>8023.2038004448004</v>
      </c>
      <c r="AK176" s="8">
        <f>AK175+AK174</f>
        <v>11112.78265666259</v>
      </c>
      <c r="AL176" s="7">
        <f>AL175+AL174</f>
        <v>11112.782656662584</v>
      </c>
      <c r="AM176" s="12">
        <f t="shared" ref="AM176:AO176" si="619">AM175+AM174</f>
        <v>16782.328566657932</v>
      </c>
      <c r="AN176" s="8">
        <f t="shared" si="619"/>
        <v>24150.859829960722</v>
      </c>
      <c r="AO176" s="8">
        <f t="shared" si="619"/>
        <v>34754.357861564895</v>
      </c>
      <c r="AP176" s="8">
        <f>AP175+AP174</f>
        <v>46781.79249207359</v>
      </c>
      <c r="AQ176" s="7">
        <f>AQ175+AQ174</f>
        <v>46781.792492073597</v>
      </c>
    </row>
    <row r="177" spans="2:43" outlineLevel="1" x14ac:dyDescent="0.3">
      <c r="B177" s="347" t="s">
        <v>27</v>
      </c>
      <c r="C177" s="348"/>
      <c r="D177" s="181">
        <f t="shared" ref="D177:AQ177" si="620">(D100+D101-D117)/D30</f>
        <v>1.7831490013578284</v>
      </c>
      <c r="E177" s="192">
        <f t="shared" si="620"/>
        <v>1.8875466170345421</v>
      </c>
      <c r="F177" s="192">
        <f t="shared" si="620"/>
        <v>1.7720004067088471</v>
      </c>
      <c r="G177" s="193">
        <f t="shared" si="620"/>
        <v>1.638088015648048</v>
      </c>
      <c r="H177" s="194">
        <f t="shared" si="620"/>
        <v>1.6404813340650126</v>
      </c>
      <c r="I177" s="195">
        <f t="shared" si="620"/>
        <v>1.2856072603380753</v>
      </c>
      <c r="J177" s="182">
        <f t="shared" si="620"/>
        <v>0.90979300476728764</v>
      </c>
      <c r="K177" s="192">
        <f t="shared" si="620"/>
        <v>0.47906564352408393</v>
      </c>
      <c r="L177" s="193">
        <f t="shared" si="620"/>
        <v>-0.13838227341491394</v>
      </c>
      <c r="M177" s="194">
        <f t="shared" si="620"/>
        <v>-0.13895767423983341</v>
      </c>
      <c r="N177" s="115">
        <f t="shared" si="620"/>
        <v>-0.68436481861582543</v>
      </c>
      <c r="O177" s="192">
        <f t="shared" si="620"/>
        <v>-1.2298347156479248</v>
      </c>
      <c r="P177" s="192">
        <f t="shared" si="620"/>
        <v>-2.3511310730880592</v>
      </c>
      <c r="Q177" s="193">
        <f t="shared" si="620"/>
        <v>-2.6037594038553866</v>
      </c>
      <c r="R177" s="194">
        <f t="shared" si="620"/>
        <v>-2.6095768475767205</v>
      </c>
      <c r="S177" s="195">
        <f t="shared" si="620"/>
        <v>-2.5382366804595211</v>
      </c>
      <c r="T177" s="192">
        <f t="shared" si="620"/>
        <v>-2.1362766457244549</v>
      </c>
      <c r="U177" s="192">
        <f t="shared" si="620"/>
        <v>-2.0439487320707386</v>
      </c>
      <c r="V177" s="193">
        <f t="shared" si="620"/>
        <v>-1.5637913221649731</v>
      </c>
      <c r="W177" s="194">
        <f t="shared" si="620"/>
        <v>-1.5696530870630026</v>
      </c>
      <c r="X177" s="195">
        <f t="shared" si="620"/>
        <v>-1.4283174718246323</v>
      </c>
      <c r="Y177" s="192">
        <f t="shared" si="620"/>
        <v>-1.0093705824236607</v>
      </c>
      <c r="Z177" s="192">
        <f t="shared" si="620"/>
        <v>-0.85086256834204776</v>
      </c>
      <c r="AA177" s="193">
        <f t="shared" si="620"/>
        <v>-0.25299662019487978</v>
      </c>
      <c r="AB177" s="194">
        <f t="shared" si="620"/>
        <v>-0.2539449607353077</v>
      </c>
      <c r="AC177" s="195">
        <f t="shared" si="620"/>
        <v>0.41596137125060034</v>
      </c>
      <c r="AD177" s="192">
        <f t="shared" si="620"/>
        <v>1.4217283505389977</v>
      </c>
      <c r="AE177" s="192">
        <f t="shared" si="620"/>
        <v>2.2828402552892535</v>
      </c>
      <c r="AF177" s="193">
        <f t="shared" si="620"/>
        <v>3.8054180343987181</v>
      </c>
      <c r="AG177" s="194">
        <f t="shared" si="620"/>
        <v>3.8196823838296159</v>
      </c>
      <c r="AH177" s="195">
        <f t="shared" si="620"/>
        <v>6.2557473378137765</v>
      </c>
      <c r="AI177" s="192">
        <f t="shared" si="620"/>
        <v>9.6258885809933918</v>
      </c>
      <c r="AJ177" s="192">
        <f t="shared" si="620"/>
        <v>13.201623008916943</v>
      </c>
      <c r="AK177" s="193">
        <f t="shared" si="620"/>
        <v>19.92338708297218</v>
      </c>
      <c r="AL177" s="194">
        <f t="shared" si="620"/>
        <v>19.998068537842475</v>
      </c>
      <c r="AM177" s="195">
        <f t="shared" si="620"/>
        <v>32.238009397209275</v>
      </c>
      <c r="AN177" s="192">
        <f t="shared" si="620"/>
        <v>48.187043819398049</v>
      </c>
      <c r="AO177" s="192">
        <f t="shared" si="620"/>
        <v>71.076096062380699</v>
      </c>
      <c r="AP177" s="193">
        <f t="shared" si="620"/>
        <v>96.932875866065871</v>
      </c>
      <c r="AQ177" s="194">
        <f t="shared" si="620"/>
        <v>97.296222126633495</v>
      </c>
    </row>
    <row r="178" spans="2:43" s="126" customFormat="1" outlineLevel="1" x14ac:dyDescent="0.3">
      <c r="B178" s="217" t="s">
        <v>189</v>
      </c>
      <c r="C178" s="218"/>
      <c r="D178" s="181">
        <v>-27.952999999999999</v>
      </c>
      <c r="E178" s="192">
        <v>-39.720999999999997</v>
      </c>
      <c r="F178" s="192">
        <v>-36.220999999999997</v>
      </c>
      <c r="G178" s="193">
        <v>-39.286999999999999</v>
      </c>
      <c r="H178" s="194">
        <f>SUM(D178:G178)</f>
        <v>-143.18199999999999</v>
      </c>
      <c r="I178" s="195">
        <v>-35.716999999999999</v>
      </c>
      <c r="J178" s="182">
        <v>-47.963000000000179</v>
      </c>
      <c r="K178" s="182">
        <f>-14.467-37.82-3.76</f>
        <v>-56.046999999999997</v>
      </c>
      <c r="L178" s="182">
        <f>-20.799-12.854+2.262</f>
        <v>-31.390999999999998</v>
      </c>
      <c r="M178" s="194">
        <f>SUM(I178:L178)</f>
        <v>-171.11800000000017</v>
      </c>
      <c r="N178" s="115">
        <v>-31.988</v>
      </c>
      <c r="O178" s="182">
        <v>-27.831</v>
      </c>
      <c r="P178" s="182">
        <v>-44.49</v>
      </c>
      <c r="Q178" s="230">
        <v>0</v>
      </c>
      <c r="R178" s="194"/>
      <c r="S178" s="231">
        <v>0</v>
      </c>
      <c r="T178" s="230">
        <v>0</v>
      </c>
      <c r="U178" s="230">
        <v>0</v>
      </c>
      <c r="V178" s="230">
        <v>0</v>
      </c>
      <c r="W178" s="194"/>
      <c r="X178" s="231">
        <v>0</v>
      </c>
      <c r="Y178" s="230">
        <v>0</v>
      </c>
      <c r="Z178" s="230">
        <v>0</v>
      </c>
      <c r="AA178" s="230">
        <v>0</v>
      </c>
      <c r="AB178" s="194"/>
      <c r="AC178" s="231">
        <v>0</v>
      </c>
      <c r="AD178" s="230">
        <v>0</v>
      </c>
      <c r="AE178" s="230">
        <v>0</v>
      </c>
      <c r="AF178" s="230">
        <v>0</v>
      </c>
      <c r="AG178" s="194"/>
      <c r="AH178" s="231">
        <v>0</v>
      </c>
      <c r="AI178" s="230">
        <v>0</v>
      </c>
      <c r="AJ178" s="230">
        <v>0</v>
      </c>
      <c r="AK178" s="230">
        <v>0</v>
      </c>
      <c r="AL178" s="194"/>
      <c r="AM178" s="231">
        <v>0</v>
      </c>
      <c r="AN178" s="230">
        <v>0</v>
      </c>
      <c r="AO178" s="230">
        <v>0</v>
      </c>
      <c r="AP178" s="230">
        <v>0</v>
      </c>
      <c r="AQ178" s="194"/>
    </row>
    <row r="179" spans="2:43" s="126" customFormat="1" outlineLevel="1" x14ac:dyDescent="0.3">
      <c r="B179" s="217" t="s">
        <v>190</v>
      </c>
      <c r="C179" s="218"/>
      <c r="D179" s="181">
        <f>D157+D178</f>
        <v>8.4059999999999384</v>
      </c>
      <c r="E179" s="192">
        <f t="shared" ref="E179:R179" si="621">E157+E178</f>
        <v>16.30300000000004</v>
      </c>
      <c r="F179" s="192">
        <f t="shared" si="621"/>
        <v>-73.659999999999883</v>
      </c>
      <c r="G179" s="193">
        <f t="shared" si="621"/>
        <v>-77.747999999999919</v>
      </c>
      <c r="H179" s="194">
        <f>H157+H178</f>
        <v>-126.69899999999987</v>
      </c>
      <c r="I179" s="195">
        <f t="shared" si="621"/>
        <v>-163.09900000000019</v>
      </c>
      <c r="J179" s="192">
        <f t="shared" si="621"/>
        <v>-229.30600000000004</v>
      </c>
      <c r="K179" s="192">
        <f t="shared" si="621"/>
        <v>-252.01599999999996</v>
      </c>
      <c r="L179" s="192">
        <f>L157+L178</f>
        <v>-276.13600000000014</v>
      </c>
      <c r="M179" s="194">
        <f t="shared" si="621"/>
        <v>-920.55700000000138</v>
      </c>
      <c r="N179" s="291">
        <f t="shared" si="621"/>
        <v>-260.57800000000043</v>
      </c>
      <c r="O179" s="192">
        <f t="shared" si="621"/>
        <v>-254.12399999999943</v>
      </c>
      <c r="P179" s="192">
        <f t="shared" si="621"/>
        <v>-506.43100000000027</v>
      </c>
      <c r="Q179" s="192">
        <f t="shared" si="621"/>
        <v>-85.963469999999717</v>
      </c>
      <c r="R179" s="194">
        <f t="shared" si="621"/>
        <v>-1002.7874699999993</v>
      </c>
      <c r="S179" s="195">
        <f t="shared" ref="S179" si="622">S157+S178</f>
        <v>57.793069095480746</v>
      </c>
      <c r="T179" s="192">
        <f t="shared" ref="T179" si="623">T157+T178</f>
        <v>211.29746205715429</v>
      </c>
      <c r="U179" s="192">
        <f t="shared" ref="U179" si="624">U157+U178</f>
        <v>80.559381277250793</v>
      </c>
      <c r="V179" s="192">
        <f t="shared" ref="V179" si="625">V157+V178</f>
        <v>259.21945349565033</v>
      </c>
      <c r="W179" s="194">
        <f t="shared" ref="W179" si="626">W157+W178</f>
        <v>608.86936592553559</v>
      </c>
      <c r="X179" s="195">
        <f t="shared" ref="X179" si="627">X157+X178</f>
        <v>114.14451162085101</v>
      </c>
      <c r="Y179" s="192">
        <f t="shared" ref="Y179" si="628">Y157+Y178</f>
        <v>249.24318233117256</v>
      </c>
      <c r="Z179" s="192">
        <f t="shared" ref="Z179" si="629">Z157+Z178</f>
        <v>143.28645224911114</v>
      </c>
      <c r="AA179" s="192">
        <f t="shared" ref="AA179" si="630">AA157+AA178</f>
        <v>351.65338962431804</v>
      </c>
      <c r="AB179" s="194">
        <f t="shared" ref="AB179" si="631">AB157+AB178</f>
        <v>858.32753582545342</v>
      </c>
      <c r="AC179" s="195">
        <f t="shared" ref="AC179" si="632">AC157+AC178</f>
        <v>397.62777906751961</v>
      </c>
      <c r="AD179" s="192">
        <f t="shared" ref="AD179" si="633">AD157+AD178</f>
        <v>565.48035914531295</v>
      </c>
      <c r="AE179" s="192">
        <f t="shared" ref="AE179" si="634">AE157+AE178</f>
        <v>519.17615200332762</v>
      </c>
      <c r="AF179" s="192">
        <f t="shared" ref="AF179" si="635">AF157+AF178</f>
        <v>839.96001514468003</v>
      </c>
      <c r="AG179" s="194">
        <f t="shared" ref="AG179:AK179" si="636">AG157+AG178</f>
        <v>2322.2443053608376</v>
      </c>
      <c r="AH179" s="195">
        <f t="shared" si="636"/>
        <v>1286.7806128888342</v>
      </c>
      <c r="AI179" s="192">
        <f t="shared" si="636"/>
        <v>1736.4868612271061</v>
      </c>
      <c r="AJ179" s="192">
        <f t="shared" si="636"/>
        <v>1867.3125849067442</v>
      </c>
      <c r="AK179" s="192">
        <f t="shared" si="636"/>
        <v>3348.2203155712464</v>
      </c>
      <c r="AL179" s="194">
        <f t="shared" ref="AL179:AP179" si="637">AL157+AL178</f>
        <v>8238.8003745939259</v>
      </c>
      <c r="AM179" s="195">
        <f t="shared" si="637"/>
        <v>5966.9835882518209</v>
      </c>
      <c r="AN179" s="192">
        <f t="shared" si="637"/>
        <v>7710.5845932977354</v>
      </c>
      <c r="AO179" s="192">
        <f t="shared" si="637"/>
        <v>10996.859361098359</v>
      </c>
      <c r="AP179" s="192">
        <f t="shared" si="637"/>
        <v>12479.80015942701</v>
      </c>
      <c r="AQ179" s="194">
        <f t="shared" ref="AQ179" si="638">AQ157+AQ178</f>
        <v>37154.227702074939</v>
      </c>
    </row>
    <row r="180" spans="2:43" outlineLevel="1" x14ac:dyDescent="0.3">
      <c r="B180" s="347" t="s">
        <v>194</v>
      </c>
      <c r="C180" s="348"/>
      <c r="D180" s="181">
        <f t="shared" ref="D180:AQ180" si="639">D157+D161+(-D21*(1-$C$219))</f>
        <v>30.161919999999938</v>
      </c>
      <c r="E180" s="192">
        <f t="shared" si="639"/>
        <v>45.617880000000035</v>
      </c>
      <c r="F180" s="192">
        <f t="shared" si="639"/>
        <v>-48.895939999999889</v>
      </c>
      <c r="G180" s="193">
        <f t="shared" si="639"/>
        <v>-44.471369999999922</v>
      </c>
      <c r="H180" s="184">
        <f t="shared" si="639"/>
        <v>-17.587509999999881</v>
      </c>
      <c r="I180" s="181">
        <f t="shared" si="639"/>
        <v>-121.43473000000017</v>
      </c>
      <c r="J180" s="192">
        <f t="shared" si="639"/>
        <v>-183.8769299999999</v>
      </c>
      <c r="K180" s="192">
        <f t="shared" si="639"/>
        <v>-208.70256999999995</v>
      </c>
      <c r="L180" s="192">
        <f t="shared" si="639"/>
        <v>-232.44441000000012</v>
      </c>
      <c r="M180" s="184">
        <f t="shared" si="639"/>
        <v>-746.45864000000131</v>
      </c>
      <c r="N180" s="291">
        <f t="shared" si="639"/>
        <v>-211.78373000000042</v>
      </c>
      <c r="O180" s="192">
        <f t="shared" si="639"/>
        <v>-211.93394999999944</v>
      </c>
      <c r="P180" s="192">
        <f t="shared" si="639"/>
        <v>-464.07644000000022</v>
      </c>
      <c r="Q180" s="192">
        <f t="shared" si="639"/>
        <v>-88.320392099999708</v>
      </c>
      <c r="R180" s="184">
        <f t="shared" si="639"/>
        <v>-976.11451209999939</v>
      </c>
      <c r="S180" s="195">
        <f t="shared" si="639"/>
        <v>51.290197995480739</v>
      </c>
      <c r="T180" s="192">
        <f t="shared" si="639"/>
        <v>200.0267496071543</v>
      </c>
      <c r="U180" s="192">
        <f t="shared" si="639"/>
        <v>63.805651274750801</v>
      </c>
      <c r="V180" s="192">
        <f t="shared" si="639"/>
        <v>236.16025330777535</v>
      </c>
      <c r="W180" s="184">
        <f t="shared" si="639"/>
        <v>551.28285218516066</v>
      </c>
      <c r="X180" s="195">
        <f t="shared" si="639"/>
        <v>83.834020719794779</v>
      </c>
      <c r="Y180" s="192">
        <f t="shared" si="639"/>
        <v>210.5937071099579</v>
      </c>
      <c r="Z180" s="192">
        <f t="shared" si="639"/>
        <v>95.047145059714296</v>
      </c>
      <c r="AA180" s="192">
        <f t="shared" si="639"/>
        <v>292.38577567151168</v>
      </c>
      <c r="AB180" s="184">
        <f t="shared" si="639"/>
        <v>681.86064856097937</v>
      </c>
      <c r="AC180" s="195">
        <f t="shared" si="639"/>
        <v>325.67761233679227</v>
      </c>
      <c r="AD180" s="192">
        <f t="shared" si="639"/>
        <v>478.9452567199765</v>
      </c>
      <c r="AE180" s="192">
        <f t="shared" si="639"/>
        <v>415.86837352919071</v>
      </c>
      <c r="AF180" s="192">
        <f t="shared" si="639"/>
        <v>717.36365921442268</v>
      </c>
      <c r="AG180" s="184">
        <f t="shared" si="639"/>
        <v>1937.8549018003796</v>
      </c>
      <c r="AH180" s="195">
        <f t="shared" si="639"/>
        <v>1142.0023928840383</v>
      </c>
      <c r="AI180" s="192">
        <f t="shared" si="639"/>
        <v>1566.1994975365908</v>
      </c>
      <c r="AJ180" s="192">
        <f t="shared" si="639"/>
        <v>1667.6897059776516</v>
      </c>
      <c r="AK180" s="192">
        <f t="shared" si="639"/>
        <v>3114.86159411779</v>
      </c>
      <c r="AL180" s="184">
        <f t="shared" si="639"/>
        <v>7490.7531905160658</v>
      </c>
      <c r="AM180" s="195">
        <f t="shared" si="639"/>
        <v>5694.828647895346</v>
      </c>
      <c r="AN180" s="192">
        <f t="shared" si="639"/>
        <v>7393.8140012027898</v>
      </c>
      <c r="AO180" s="192">
        <f t="shared" si="639"/>
        <v>10628.78076950417</v>
      </c>
      <c r="AP180" s="192">
        <f t="shared" si="639"/>
        <v>12052.717368408694</v>
      </c>
      <c r="AQ180" s="184">
        <f t="shared" si="639"/>
        <v>35770.140787011012</v>
      </c>
    </row>
    <row r="181" spans="2:43" s="238" customFormat="1" outlineLevel="1" x14ac:dyDescent="0.3">
      <c r="B181" s="244" t="s">
        <v>197</v>
      </c>
      <c r="C181" s="245"/>
      <c r="D181" s="182"/>
      <c r="E181" s="192"/>
      <c r="F181" s="192"/>
      <c r="G181" s="192"/>
      <c r="H181" s="184"/>
      <c r="I181" s="182"/>
      <c r="J181" s="192"/>
      <c r="K181" s="192"/>
      <c r="L181" s="192"/>
      <c r="M181" s="242"/>
      <c r="N181" s="288"/>
      <c r="O181" s="241"/>
      <c r="P181" s="241"/>
      <c r="Q181" s="241"/>
      <c r="R181" s="242">
        <v>0</v>
      </c>
      <c r="S181" s="241"/>
      <c r="T181" s="241"/>
      <c r="U181" s="241"/>
      <c r="V181" s="241"/>
      <c r="W181" s="242">
        <f>R181+1</f>
        <v>1</v>
      </c>
      <c r="X181" s="241"/>
      <c r="Y181" s="241"/>
      <c r="Z181" s="241"/>
      <c r="AA181" s="241"/>
      <c r="AB181" s="242">
        <f>W181+1</f>
        <v>2</v>
      </c>
      <c r="AC181" s="241"/>
      <c r="AD181" s="241"/>
      <c r="AE181" s="241"/>
      <c r="AF181" s="241"/>
      <c r="AG181" s="242">
        <f>AB181+1</f>
        <v>3</v>
      </c>
      <c r="AH181" s="241"/>
      <c r="AI181" s="241"/>
      <c r="AJ181" s="241"/>
      <c r="AK181" s="241"/>
      <c r="AL181" s="242">
        <f>AG181+1</f>
        <v>4</v>
      </c>
      <c r="AM181" s="241"/>
      <c r="AN181" s="241"/>
      <c r="AO181" s="241"/>
      <c r="AP181" s="241"/>
      <c r="AQ181" s="242">
        <f>AL181+1</f>
        <v>5</v>
      </c>
    </row>
    <row r="182" spans="2:43" outlineLevel="1" x14ac:dyDescent="0.3">
      <c r="B182" s="364" t="s">
        <v>29</v>
      </c>
      <c r="C182" s="365"/>
      <c r="D182" s="196"/>
      <c r="E182" s="197"/>
      <c r="F182" s="197"/>
      <c r="G182" s="197"/>
      <c r="H182" s="198"/>
      <c r="I182" s="197"/>
      <c r="J182" s="197"/>
      <c r="K182" s="197"/>
      <c r="L182" s="197"/>
      <c r="M182" s="198">
        <f>M180/(1+$C$221)^M181</f>
        <v>-746.45864000000131</v>
      </c>
      <c r="N182" s="289"/>
      <c r="O182" s="197"/>
      <c r="P182" s="197"/>
      <c r="Q182" s="197"/>
      <c r="R182" s="198">
        <f>R180/(1+$C$221)^R181</f>
        <v>-976.11451209999939</v>
      </c>
      <c r="S182" s="197"/>
      <c r="T182" s="197"/>
      <c r="U182" s="197"/>
      <c r="V182" s="197"/>
      <c r="W182" s="198">
        <f>W180/(1+$C$221)^W181</f>
        <v>514.33081336515681</v>
      </c>
      <c r="X182" s="197"/>
      <c r="Y182" s="197"/>
      <c r="Z182" s="197"/>
      <c r="AA182" s="197"/>
      <c r="AB182" s="198">
        <f>AB180/(1+$C$221)^AB181</f>
        <v>593.51506447815314</v>
      </c>
      <c r="AC182" s="197"/>
      <c r="AD182" s="197"/>
      <c r="AE182" s="197"/>
      <c r="AF182" s="197"/>
      <c r="AG182" s="198">
        <f>AG180/(1+$C$221)^AG181</f>
        <v>1573.7126466290974</v>
      </c>
      <c r="AH182" s="197"/>
      <c r="AI182" s="197"/>
      <c r="AJ182" s="197"/>
      <c r="AK182" s="197"/>
      <c r="AL182" s="198">
        <f>AL180/(1+$C$221)^AL181</f>
        <v>5675.4163459697493</v>
      </c>
      <c r="AM182" s="197"/>
      <c r="AN182" s="197"/>
      <c r="AO182" s="197"/>
      <c r="AP182" s="197"/>
      <c r="AQ182" s="198">
        <f>AQ180/(1+$C$221)^AQ181</f>
        <v>25284.882973458924</v>
      </c>
    </row>
    <row r="183" spans="2:43" outlineLevel="1" x14ac:dyDescent="0.3">
      <c r="B183" s="367"/>
      <c r="C183" s="367"/>
      <c r="D183" s="114"/>
      <c r="E183" s="114"/>
      <c r="F183" s="114"/>
      <c r="G183" s="114"/>
      <c r="H183" s="114"/>
      <c r="I183" s="131"/>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row>
    <row r="184" spans="2:43" outlineLevel="1" x14ac:dyDescent="0.3">
      <c r="B184" s="113"/>
      <c r="C184" s="112"/>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row>
    <row r="185" spans="2:43" ht="15.6" outlineLevel="1" x14ac:dyDescent="0.3">
      <c r="B185" s="362" t="s">
        <v>24</v>
      </c>
      <c r="C185" s="363"/>
      <c r="D185" s="132" t="s">
        <v>43</v>
      </c>
      <c r="E185" s="132" t="s">
        <v>42</v>
      </c>
      <c r="F185" s="132" t="s">
        <v>41</v>
      </c>
      <c r="G185" s="132" t="s">
        <v>44</v>
      </c>
      <c r="H185" s="132" t="s">
        <v>44</v>
      </c>
      <c r="I185" s="132" t="s">
        <v>45</v>
      </c>
      <c r="J185" s="132" t="s">
        <v>46</v>
      </c>
      <c r="K185" s="132" t="s">
        <v>47</v>
      </c>
      <c r="L185" s="132" t="s">
        <v>49</v>
      </c>
      <c r="M185" s="132" t="s">
        <v>49</v>
      </c>
      <c r="N185" s="132" t="s">
        <v>50</v>
      </c>
      <c r="O185" s="132" t="s">
        <v>51</v>
      </c>
      <c r="P185" s="132" t="s">
        <v>52</v>
      </c>
      <c r="Q185" s="142" t="s">
        <v>48</v>
      </c>
      <c r="R185" s="142" t="s">
        <v>48</v>
      </c>
      <c r="S185" s="142" t="s">
        <v>53</v>
      </c>
      <c r="T185" s="142" t="s">
        <v>54</v>
      </c>
      <c r="U185" s="142" t="s">
        <v>55</v>
      </c>
      <c r="V185" s="142" t="s">
        <v>56</v>
      </c>
      <c r="W185" s="142" t="s">
        <v>56</v>
      </c>
      <c r="X185" s="142" t="s">
        <v>57</v>
      </c>
      <c r="Y185" s="142" t="s">
        <v>58</v>
      </c>
      <c r="Z185" s="142" t="s">
        <v>59</v>
      </c>
      <c r="AA185" s="142" t="s">
        <v>60</v>
      </c>
      <c r="AB185" s="142" t="s">
        <v>60</v>
      </c>
      <c r="AC185" s="142" t="s">
        <v>61</v>
      </c>
      <c r="AD185" s="142" t="s">
        <v>62</v>
      </c>
      <c r="AE185" s="142" t="s">
        <v>63</v>
      </c>
      <c r="AF185" s="142" t="s">
        <v>78</v>
      </c>
      <c r="AG185" s="142" t="s">
        <v>78</v>
      </c>
      <c r="AH185" s="142" t="s">
        <v>229</v>
      </c>
      <c r="AI185" s="142" t="s">
        <v>230</v>
      </c>
      <c r="AJ185" s="142" t="s">
        <v>231</v>
      </c>
      <c r="AK185" s="142" t="s">
        <v>232</v>
      </c>
      <c r="AL185" s="158" t="s">
        <v>232</v>
      </c>
      <c r="AM185" s="142" t="s">
        <v>258</v>
      </c>
      <c r="AN185" s="142" t="s">
        <v>259</v>
      </c>
      <c r="AO185" s="142" t="s">
        <v>260</v>
      </c>
      <c r="AP185" s="142" t="s">
        <v>261</v>
      </c>
      <c r="AQ185" s="158" t="s">
        <v>261</v>
      </c>
    </row>
    <row r="186" spans="2:43" ht="16.2" outlineLevel="1" x14ac:dyDescent="0.45">
      <c r="B186" s="360"/>
      <c r="C186" s="361"/>
      <c r="D186" s="133" t="s">
        <v>79</v>
      </c>
      <c r="E186" s="133" t="s">
        <v>80</v>
      </c>
      <c r="F186" s="133" t="s">
        <v>81</v>
      </c>
      <c r="G186" s="133" t="s">
        <v>82</v>
      </c>
      <c r="H186" s="135">
        <v>2014</v>
      </c>
      <c r="I186" s="133" t="s">
        <v>83</v>
      </c>
      <c r="J186" s="133" t="s">
        <v>203</v>
      </c>
      <c r="K186" s="133" t="s">
        <v>204</v>
      </c>
      <c r="L186" s="133" t="s">
        <v>223</v>
      </c>
      <c r="M186" s="133" t="s">
        <v>224</v>
      </c>
      <c r="N186" s="133" t="s">
        <v>252</v>
      </c>
      <c r="O186" s="133" t="s">
        <v>253</v>
      </c>
      <c r="P186" s="133" t="s">
        <v>254</v>
      </c>
      <c r="Q186" s="143" t="s">
        <v>90</v>
      </c>
      <c r="R186" s="144" t="s">
        <v>91</v>
      </c>
      <c r="S186" s="143" t="s">
        <v>92</v>
      </c>
      <c r="T186" s="143" t="s">
        <v>93</v>
      </c>
      <c r="U186" s="143" t="s">
        <v>94</v>
      </c>
      <c r="V186" s="143" t="s">
        <v>95</v>
      </c>
      <c r="W186" s="144" t="s">
        <v>96</v>
      </c>
      <c r="X186" s="143" t="s">
        <v>97</v>
      </c>
      <c r="Y186" s="143" t="s">
        <v>98</v>
      </c>
      <c r="Z186" s="143" t="s">
        <v>99</v>
      </c>
      <c r="AA186" s="143" t="s">
        <v>100</v>
      </c>
      <c r="AB186" s="144" t="s">
        <v>101</v>
      </c>
      <c r="AC186" s="143" t="s">
        <v>102</v>
      </c>
      <c r="AD186" s="143" t="s">
        <v>103</v>
      </c>
      <c r="AE186" s="143" t="s">
        <v>104</v>
      </c>
      <c r="AF186" s="143" t="s">
        <v>105</v>
      </c>
      <c r="AG186" s="144" t="s">
        <v>198</v>
      </c>
      <c r="AH186" s="143" t="s">
        <v>233</v>
      </c>
      <c r="AI186" s="143" t="s">
        <v>234</v>
      </c>
      <c r="AJ186" s="143" t="s">
        <v>235</v>
      </c>
      <c r="AK186" s="143" t="s">
        <v>236</v>
      </c>
      <c r="AL186" s="159" t="s">
        <v>237</v>
      </c>
      <c r="AM186" s="143" t="s">
        <v>262</v>
      </c>
      <c r="AN186" s="143" t="s">
        <v>263</v>
      </c>
      <c r="AO186" s="143" t="s">
        <v>264</v>
      </c>
      <c r="AP186" s="143" t="s">
        <v>265</v>
      </c>
      <c r="AQ186" s="159" t="s">
        <v>266</v>
      </c>
    </row>
    <row r="187" spans="2:43" ht="16.2" outlineLevel="1" x14ac:dyDescent="0.45">
      <c r="B187" s="358" t="s">
        <v>20</v>
      </c>
      <c r="C187" s="359"/>
      <c r="D187" s="2"/>
      <c r="E187" s="2"/>
      <c r="F187" s="2"/>
      <c r="G187" s="2"/>
      <c r="H187" s="40"/>
      <c r="I187" s="2"/>
      <c r="J187" s="3"/>
      <c r="K187" s="3"/>
      <c r="L187" s="3"/>
      <c r="M187" s="41"/>
      <c r="N187" s="3"/>
      <c r="O187" s="3"/>
      <c r="P187" s="3"/>
      <c r="Q187" s="3"/>
      <c r="R187" s="41"/>
      <c r="S187" s="3"/>
      <c r="T187" s="3"/>
      <c r="U187" s="3"/>
      <c r="V187" s="3"/>
      <c r="W187" s="41"/>
      <c r="X187" s="3"/>
      <c r="Y187" s="3"/>
      <c r="Z187" s="3"/>
      <c r="AA187" s="3"/>
      <c r="AB187" s="41"/>
      <c r="AC187" s="3"/>
      <c r="AD187" s="3"/>
      <c r="AE187" s="3"/>
      <c r="AF187" s="3"/>
      <c r="AG187" s="41"/>
      <c r="AH187" s="3"/>
      <c r="AI187" s="3"/>
      <c r="AJ187" s="3"/>
      <c r="AK187" s="3"/>
      <c r="AL187" s="41"/>
      <c r="AM187" s="3"/>
      <c r="AN187" s="3"/>
      <c r="AO187" s="3"/>
      <c r="AP187" s="3"/>
      <c r="AQ187" s="41"/>
    </row>
    <row r="188" spans="2:43" outlineLevel="1" x14ac:dyDescent="0.3">
      <c r="B188" s="356" t="s">
        <v>26</v>
      </c>
      <c r="C188" s="357"/>
      <c r="D188" s="62"/>
      <c r="E188" s="62">
        <f>E145/(AVERAGE(E106,D106))</f>
        <v>9.4313705539485745E-2</v>
      </c>
      <c r="F188" s="62">
        <f>F145/(AVERAGE(F106,E106))</f>
        <v>0.1004470688653966</v>
      </c>
      <c r="G188" s="62">
        <f>G145/(AVERAGE(G106,F106))</f>
        <v>9.7353259279917823E-2</v>
      </c>
      <c r="H188" s="53" t="s">
        <v>25</v>
      </c>
      <c r="I188" s="62">
        <f>I145/(AVERAGE(I106,G106))</f>
        <v>0.10258682205410377</v>
      </c>
      <c r="J188" s="62">
        <f>J145/(AVERAGE(J106,I106))</f>
        <v>9.8237141091761973E-2</v>
      </c>
      <c r="K188" s="62">
        <f>K145/(AVERAGE(K106,J106))</f>
        <v>9.1004468842864603E-2</v>
      </c>
      <c r="L188" s="62">
        <f>L145/(AVERAGE(L106,K106))</f>
        <v>8.7335062591631887E-2</v>
      </c>
      <c r="M188" s="66"/>
      <c r="N188" s="62">
        <f>N145/(AVERAGE(N106,L106))</f>
        <v>8.7132653842303912E-2</v>
      </c>
      <c r="O188" s="62">
        <f>O145/(AVERAGE(O106,N106))</f>
        <v>8.5871936509093999E-2</v>
      </c>
      <c r="P188" s="62">
        <f>P145/(AVERAGE(P106,O106))</f>
        <v>8.1242600214241414E-2</v>
      </c>
      <c r="Q188" s="67">
        <v>8.5000000000000006E-2</v>
      </c>
      <c r="R188" s="66"/>
      <c r="S188" s="67">
        <v>8.5000000000000006E-2</v>
      </c>
      <c r="T188" s="67">
        <v>8.5000000000000006E-2</v>
      </c>
      <c r="U188" s="67">
        <v>8.5000000000000006E-2</v>
      </c>
      <c r="V188" s="67">
        <v>8.5000000000000006E-2</v>
      </c>
      <c r="W188" s="66"/>
      <c r="X188" s="67">
        <v>8.5000000000000006E-2</v>
      </c>
      <c r="Y188" s="67">
        <v>8.5000000000000006E-2</v>
      </c>
      <c r="Z188" s="67">
        <v>8.5000000000000006E-2</v>
      </c>
      <c r="AA188" s="67">
        <v>8.5000000000000006E-2</v>
      </c>
      <c r="AB188" s="66"/>
      <c r="AC188" s="67">
        <v>8.5000000000000006E-2</v>
      </c>
      <c r="AD188" s="67">
        <v>8.5000000000000006E-2</v>
      </c>
      <c r="AE188" s="67">
        <v>8.5000000000000006E-2</v>
      </c>
      <c r="AF188" s="67">
        <v>8.5000000000000006E-2</v>
      </c>
      <c r="AG188" s="66"/>
      <c r="AH188" s="67">
        <v>8.5000000000000006E-2</v>
      </c>
      <c r="AI188" s="67">
        <v>8.5000000000000006E-2</v>
      </c>
      <c r="AJ188" s="67">
        <v>8.5000000000000006E-2</v>
      </c>
      <c r="AK188" s="67">
        <v>8.5000000000000006E-2</v>
      </c>
      <c r="AL188" s="66"/>
      <c r="AM188" s="67">
        <v>8.5000000000000006E-2</v>
      </c>
      <c r="AN188" s="67">
        <v>8.5000000000000006E-2</v>
      </c>
      <c r="AO188" s="67">
        <v>8.5000000000000006E-2</v>
      </c>
      <c r="AP188" s="67">
        <v>8.5000000000000006E-2</v>
      </c>
      <c r="AQ188" s="66"/>
    </row>
    <row r="189" spans="2:43" s="80" customFormat="1" outlineLevel="1" x14ac:dyDescent="0.3">
      <c r="B189" s="347" t="s">
        <v>40</v>
      </c>
      <c r="C189" s="355"/>
      <c r="D189" s="78"/>
      <c r="E189" s="78">
        <f>E157/D157-1</f>
        <v>0.54085645919855141</v>
      </c>
      <c r="F189" s="78">
        <f t="shared" ref="F189" si="640">F157/E157-1</f>
        <v>-1.6682671712123351</v>
      </c>
      <c r="G189" s="78">
        <f t="shared" ref="G189" si="641">G157/F157-1</f>
        <v>2.7297737653250165E-2</v>
      </c>
      <c r="H189" s="77"/>
      <c r="I189" s="78">
        <f>I157/G157-1</f>
        <v>2.3119783676971597</v>
      </c>
      <c r="J189" s="78">
        <f>J157/I157-1</f>
        <v>0.42361558147932676</v>
      </c>
      <c r="K189" s="78">
        <f>K157/J157-1</f>
        <v>8.0653788676707139E-2</v>
      </c>
      <c r="L189" s="78">
        <f>L157/K157-1</f>
        <v>0.24889650914175276</v>
      </c>
      <c r="M189" s="79"/>
      <c r="N189" s="78">
        <f>N157/L157-1</f>
        <v>-6.6007477170114681E-2</v>
      </c>
      <c r="O189" s="78">
        <f>O157/N157-1</f>
        <v>-1.0048558554621612E-2</v>
      </c>
      <c r="P189" s="78">
        <f t="shared" ref="P189" si="642">P157/O157-1</f>
        <v>1.0413402093745781</v>
      </c>
      <c r="Q189" s="78">
        <f t="shared" ref="Q189" si="643">Q157/P157-1</f>
        <v>-0.81390811813629949</v>
      </c>
      <c r="R189" s="79"/>
      <c r="S189" s="78">
        <f>S157/Q157-1</f>
        <v>-1.6722980016451283</v>
      </c>
      <c r="T189" s="78">
        <f>T157/S157-1</f>
        <v>2.6561038436644844</v>
      </c>
      <c r="U189" s="78">
        <f t="shared" ref="U189" si="644">U157/T157-1</f>
        <v>-0.6187394751790245</v>
      </c>
      <c r="V189" s="78">
        <f t="shared" ref="V189" si="645">V157/U157-1</f>
        <v>2.2177438479018141</v>
      </c>
      <c r="W189" s="79"/>
      <c r="X189" s="78">
        <f>X157/V157-1</f>
        <v>-0.55966070415789093</v>
      </c>
      <c r="Y189" s="78">
        <f>Y157/X157-1</f>
        <v>1.1835757040958139</v>
      </c>
      <c r="Z189" s="78">
        <f t="shared" ref="Z189" si="646">Z157/Y157-1</f>
        <v>-0.42511385503526189</v>
      </c>
      <c r="AA189" s="78">
        <f t="shared" ref="AA189" si="647">AA157/Z157-1</f>
        <v>1.45419845424709</v>
      </c>
      <c r="AB189" s="79"/>
      <c r="AC189" s="78">
        <f>AC157/AA157-1</f>
        <v>0.13073779693213661</v>
      </c>
      <c r="AD189" s="78">
        <f>AD157/AC157-1</f>
        <v>0.42213494356814274</v>
      </c>
      <c r="AE189" s="78">
        <f t="shared" ref="AE189" si="648">AE157/AD157-1</f>
        <v>-8.1884731084154949E-2</v>
      </c>
      <c r="AF189" s="78">
        <f t="shared" ref="AF189" si="649">AF157/AE157-1</f>
        <v>0.61787095170599504</v>
      </c>
      <c r="AG189" s="79"/>
      <c r="AH189" s="78">
        <f>AH157/AF157-1</f>
        <v>0.53195460460959088</v>
      </c>
      <c r="AI189" s="78">
        <f>AI157/AH157-1</f>
        <v>0.34948167841033695</v>
      </c>
      <c r="AJ189" s="78">
        <f t="shared" ref="AJ189" si="650">AJ157/AI157-1</f>
        <v>7.5339310996680231E-2</v>
      </c>
      <c r="AK189" s="78">
        <f t="shared" ref="AK189" si="651">AK157/AJ157-1</f>
        <v>0.79306900335514019</v>
      </c>
      <c r="AL189" s="79"/>
      <c r="AM189" s="78">
        <f>AM157/AK157-1</f>
        <v>0.78213588887856145</v>
      </c>
      <c r="AN189" s="78">
        <f>AN157/AM157-1</f>
        <v>0.29220811139464642</v>
      </c>
      <c r="AO189" s="78">
        <f t="shared" ref="AO189" si="652">AO157/AN157-1</f>
        <v>0.42620306256119012</v>
      </c>
      <c r="AP189" s="78">
        <f t="shared" ref="AP189" si="653">AP157/AO157-1</f>
        <v>0.13485130159748948</v>
      </c>
      <c r="AQ189" s="79"/>
    </row>
    <row r="190" spans="2:43" s="80" customFormat="1" outlineLevel="1" x14ac:dyDescent="0.3">
      <c r="B190" s="121" t="s">
        <v>75</v>
      </c>
      <c r="C190" s="122"/>
      <c r="D190" s="78"/>
      <c r="E190" s="78"/>
      <c r="F190" s="78"/>
      <c r="G190" s="78"/>
      <c r="H190" s="123">
        <f>-H161/H11</f>
        <v>1.2666731581410354E-2</v>
      </c>
      <c r="I190" s="78"/>
      <c r="J190" s="78"/>
      <c r="K190" s="78"/>
      <c r="L190" s="78"/>
      <c r="M190" s="123">
        <f>-M161/M11</f>
        <v>1.3459377822382764E-2</v>
      </c>
      <c r="N190" s="78"/>
      <c r="O190" s="78"/>
      <c r="P190" s="78"/>
      <c r="Q190" s="78"/>
      <c r="R190" s="123">
        <f>-R161/R11</f>
        <v>8.4147776162830246E-3</v>
      </c>
      <c r="S190" s="78"/>
      <c r="T190" s="78"/>
      <c r="U190" s="78"/>
      <c r="V190" s="78"/>
      <c r="W190" s="123">
        <f>-W161/W11</f>
        <v>1.4128191263613791E-2</v>
      </c>
      <c r="X190" s="78"/>
      <c r="Y190" s="78"/>
      <c r="Z190" s="78"/>
      <c r="AA190" s="78"/>
      <c r="AB190" s="123">
        <f>-AB161/AB11</f>
        <v>1.5576456734659298E-2</v>
      </c>
      <c r="AC190" s="78"/>
      <c r="AD190" s="78"/>
      <c r="AE190" s="78"/>
      <c r="AF190" s="78"/>
      <c r="AG190" s="123">
        <f>-AG161/AG11</f>
        <v>1.3981685871714784E-2</v>
      </c>
      <c r="AH190" s="78"/>
      <c r="AI190" s="78"/>
      <c r="AJ190" s="78"/>
      <c r="AK190" s="78"/>
      <c r="AL190" s="123">
        <f>-AL161/AL11</f>
        <v>1.1883575400400474E-2</v>
      </c>
      <c r="AM190" s="78"/>
      <c r="AN190" s="78"/>
      <c r="AO190" s="78"/>
      <c r="AP190" s="78"/>
      <c r="AQ190" s="123">
        <f>-AQ161/AQ11</f>
        <v>8.6010420613947952E-3</v>
      </c>
    </row>
    <row r="191" spans="2:43" s="98" customFormat="1" ht="16.2" outlineLevel="1" x14ac:dyDescent="0.45">
      <c r="B191" s="353" t="s">
        <v>28</v>
      </c>
      <c r="C191" s="354"/>
      <c r="D191" s="62"/>
      <c r="E191" s="62">
        <f>E161/D161-1</f>
        <v>0.49010049497525121</v>
      </c>
      <c r="F191" s="62">
        <f>F161/E161-1</f>
        <v>5.8533393728924521E-2</v>
      </c>
      <c r="G191" s="62">
        <f>G161/F161-1</f>
        <v>-0.26345568657284135</v>
      </c>
      <c r="H191" s="208"/>
      <c r="I191" s="62">
        <f>I161/G161-1</f>
        <v>-0.15847911690659089</v>
      </c>
      <c r="J191" s="62">
        <f>J161/I161-1</f>
        <v>1.1124578091439092</v>
      </c>
      <c r="K191" s="62">
        <f>K161/J161-1</f>
        <v>0.37337497276490672</v>
      </c>
      <c r="L191" s="62">
        <f>L161/K161-1</f>
        <v>-0.66012691697514547</v>
      </c>
      <c r="M191" s="209"/>
      <c r="N191" s="62">
        <f>N161/L161-1</f>
        <v>-0.34456200404543325</v>
      </c>
      <c r="O191" s="62">
        <f>O161/N161-1</f>
        <v>0.28356083086053396</v>
      </c>
      <c r="P191" s="62">
        <f>P161/O161-1</f>
        <v>1.530608470501202</v>
      </c>
      <c r="Q191" s="67">
        <v>0.01</v>
      </c>
      <c r="R191" s="209"/>
      <c r="S191" s="67">
        <v>0.15</v>
      </c>
      <c r="T191" s="67">
        <v>0.15</v>
      </c>
      <c r="U191" s="67">
        <v>0.15</v>
      </c>
      <c r="V191" s="67">
        <v>0.15</v>
      </c>
      <c r="W191" s="209"/>
      <c r="X191" s="67">
        <v>0.15</v>
      </c>
      <c r="Y191" s="67">
        <v>0.15</v>
      </c>
      <c r="Z191" s="67">
        <v>0.15</v>
      </c>
      <c r="AA191" s="67">
        <v>0.15</v>
      </c>
      <c r="AB191" s="209"/>
      <c r="AC191" s="67">
        <v>0.15</v>
      </c>
      <c r="AD191" s="67">
        <v>0.15</v>
      </c>
      <c r="AE191" s="67">
        <v>0.15</v>
      </c>
      <c r="AF191" s="67">
        <v>0.15</v>
      </c>
      <c r="AG191" s="209"/>
      <c r="AH191" s="67">
        <v>0.15</v>
      </c>
      <c r="AI191" s="67">
        <v>0.15</v>
      </c>
      <c r="AJ191" s="67">
        <v>0.15</v>
      </c>
      <c r="AK191" s="67">
        <v>0.15</v>
      </c>
      <c r="AL191" s="209"/>
      <c r="AM191" s="67">
        <v>0.15</v>
      </c>
      <c r="AN191" s="67">
        <v>0.15</v>
      </c>
      <c r="AO191" s="67">
        <v>0.15</v>
      </c>
      <c r="AP191" s="67">
        <v>0.15</v>
      </c>
      <c r="AQ191" s="209"/>
    </row>
    <row r="192" spans="2:43" s="126" customFormat="1" ht="16.2" outlineLevel="1" x14ac:dyDescent="0.45">
      <c r="B192" s="137"/>
      <c r="C192" s="137"/>
      <c r="D192" s="151"/>
      <c r="E192" s="151"/>
      <c r="F192" s="151"/>
      <c r="G192" s="151"/>
      <c r="H192" s="56"/>
      <c r="I192" s="151"/>
      <c r="J192" s="151"/>
      <c r="K192" s="151"/>
      <c r="L192" s="151"/>
      <c r="M192" s="56"/>
      <c r="N192" s="151"/>
      <c r="O192" s="151"/>
      <c r="P192" s="151"/>
      <c r="Q192" s="151"/>
      <c r="R192" s="56"/>
      <c r="S192" s="151"/>
      <c r="T192" s="151"/>
      <c r="U192" s="151"/>
      <c r="V192" s="151"/>
      <c r="W192" s="56"/>
      <c r="X192" s="151"/>
      <c r="Y192" s="151"/>
      <c r="Z192" s="151"/>
      <c r="AA192" s="151"/>
      <c r="AB192" s="56"/>
      <c r="AC192" s="151"/>
      <c r="AD192" s="151"/>
      <c r="AE192" s="151"/>
      <c r="AF192" s="151"/>
      <c r="AG192" s="56"/>
      <c r="AH192" s="151"/>
      <c r="AI192" s="151"/>
      <c r="AJ192" s="151"/>
      <c r="AK192" s="151"/>
      <c r="AL192" s="56"/>
      <c r="AM192" s="151"/>
      <c r="AN192" s="151"/>
      <c r="AO192" s="151"/>
      <c r="AP192" s="151"/>
      <c r="AQ192" s="56"/>
    </row>
    <row r="193" spans="2:43" ht="18" customHeight="1" x14ac:dyDescent="0.45">
      <c r="C193" s="111"/>
      <c r="D193" s="2"/>
      <c r="E193" s="2"/>
      <c r="F193" s="2"/>
      <c r="G193" s="2"/>
      <c r="H193" s="2"/>
      <c r="I193" s="2"/>
      <c r="J193" s="2"/>
      <c r="K193" s="2"/>
      <c r="L193" s="2"/>
      <c r="M193" s="3"/>
      <c r="N193" s="2"/>
      <c r="O193" s="2"/>
      <c r="P193" s="2"/>
      <c r="Q193" s="2"/>
      <c r="R193" s="3"/>
      <c r="S193" s="2"/>
      <c r="T193" s="2"/>
      <c r="U193" s="2"/>
      <c r="V193" s="2"/>
      <c r="W193" s="3"/>
      <c r="X193" s="2"/>
      <c r="Y193" s="2"/>
      <c r="Z193" s="2"/>
      <c r="AA193" s="2"/>
      <c r="AB193" s="3"/>
      <c r="AC193" s="2"/>
      <c r="AD193" s="2"/>
      <c r="AE193" s="2"/>
      <c r="AF193" s="2"/>
      <c r="AG193" s="3"/>
      <c r="AH193" s="2"/>
      <c r="AI193" s="2"/>
      <c r="AJ193" s="2"/>
      <c r="AK193" s="2"/>
      <c r="AL193" s="3"/>
      <c r="AM193" s="2"/>
      <c r="AN193" s="2"/>
      <c r="AO193" s="2"/>
      <c r="AP193" s="2"/>
      <c r="AQ193" s="3"/>
    </row>
    <row r="194" spans="2:43" ht="15.6" x14ac:dyDescent="0.3">
      <c r="B194" s="362" t="s">
        <v>19</v>
      </c>
      <c r="C194" s="366"/>
      <c r="D194" s="68"/>
      <c r="E194" s="68"/>
      <c r="F194" s="68"/>
      <c r="G194" s="68"/>
      <c r="H194" s="10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row>
    <row r="195" spans="2:43" x14ac:dyDescent="0.3">
      <c r="B195" s="127" t="s">
        <v>225</v>
      </c>
      <c r="C195" s="257">
        <v>114</v>
      </c>
      <c r="D195" s="70"/>
      <c r="E195" s="215"/>
      <c r="F195" s="22"/>
      <c r="G195" s="22"/>
      <c r="H195" s="108"/>
      <c r="I195" s="26"/>
      <c r="J195" s="27"/>
      <c r="K195" s="19"/>
      <c r="L195" s="19"/>
      <c r="M195" s="27"/>
      <c r="N195" s="26"/>
      <c r="O195" s="27"/>
      <c r="P195" s="19"/>
      <c r="Q195" s="19"/>
      <c r="R195" s="27"/>
      <c r="S195" s="26"/>
      <c r="T195" s="27"/>
      <c r="U195" s="19"/>
      <c r="V195" s="19"/>
      <c r="W195" s="27"/>
      <c r="X195" s="26"/>
      <c r="Y195" s="27"/>
      <c r="Z195" s="19"/>
      <c r="AA195" s="19"/>
      <c r="AB195" s="27"/>
      <c r="AC195" s="26"/>
      <c r="AD195" s="27"/>
      <c r="AE195" s="19"/>
      <c r="AF195" s="19"/>
      <c r="AG195" s="27"/>
      <c r="AH195" s="26"/>
      <c r="AI195" s="27"/>
      <c r="AJ195" s="19"/>
      <c r="AK195" s="19"/>
      <c r="AL195" s="27"/>
      <c r="AM195" s="26"/>
      <c r="AN195" s="27"/>
      <c r="AO195" s="19"/>
      <c r="AP195" s="19"/>
      <c r="AQ195" s="27"/>
    </row>
    <row r="196" spans="2:43" x14ac:dyDescent="0.3">
      <c r="B196" s="127" t="s">
        <v>226</v>
      </c>
      <c r="C196" s="256">
        <v>136</v>
      </c>
      <c r="D196" s="71"/>
      <c r="E196" s="170"/>
      <c r="F196" s="108"/>
      <c r="G196" s="108"/>
      <c r="H196" s="170"/>
      <c r="I196" s="108"/>
      <c r="J196" s="108"/>
      <c r="K196" s="109"/>
      <c r="L196" s="109"/>
      <c r="M196" s="109"/>
      <c r="N196" s="108"/>
      <c r="O196" s="108"/>
      <c r="P196" s="109"/>
      <c r="Q196" s="109"/>
      <c r="R196" s="109"/>
      <c r="S196" s="108"/>
      <c r="T196" s="108"/>
      <c r="U196" s="109"/>
      <c r="V196" s="109"/>
      <c r="W196" s="109"/>
      <c r="X196" s="108"/>
      <c r="Y196" s="108"/>
    </row>
    <row r="197" spans="2:43" x14ac:dyDescent="0.3">
      <c r="B197" s="127" t="s">
        <v>227</v>
      </c>
      <c r="C197" s="256">
        <v>102</v>
      </c>
      <c r="D197" s="71"/>
      <c r="E197" s="170"/>
      <c r="F197" s="108"/>
      <c r="G197" s="108"/>
      <c r="H197" s="108"/>
      <c r="I197" s="108"/>
      <c r="J197" s="108"/>
      <c r="K197" s="109"/>
      <c r="L197" s="109"/>
      <c r="M197" s="109"/>
      <c r="N197" s="108"/>
      <c r="O197" s="108"/>
      <c r="P197" s="109"/>
      <c r="Q197" s="109"/>
      <c r="R197" s="109"/>
      <c r="S197" s="108"/>
      <c r="T197" s="108"/>
      <c r="U197" s="109"/>
      <c r="V197" s="109"/>
      <c r="W197" s="109"/>
      <c r="X197" s="108"/>
      <c r="Y197" s="108"/>
    </row>
    <row r="198" spans="2:43" x14ac:dyDescent="0.3">
      <c r="B198" s="127" t="s">
        <v>206</v>
      </c>
      <c r="C198" s="236">
        <v>123.73399999999999</v>
      </c>
      <c r="D198" s="71"/>
      <c r="E198" s="170"/>
      <c r="F198" s="108"/>
      <c r="G198" s="108"/>
      <c r="H198" s="108"/>
      <c r="I198" s="108"/>
      <c r="J198" s="108"/>
      <c r="K198" s="109"/>
      <c r="L198" s="109"/>
      <c r="M198" s="109"/>
      <c r="N198" s="108"/>
      <c r="O198" s="108"/>
      <c r="P198" s="109"/>
      <c r="Q198" s="109"/>
      <c r="R198" s="109"/>
      <c r="S198" s="108"/>
      <c r="T198" s="108"/>
      <c r="U198" s="109"/>
      <c r="V198" s="109"/>
      <c r="W198" s="109"/>
      <c r="X198" s="108"/>
      <c r="Y198" s="108"/>
    </row>
    <row r="199" spans="2:43" s="238" customFormat="1" ht="16.2" x14ac:dyDescent="0.45">
      <c r="B199" s="9" t="s">
        <v>215</v>
      </c>
      <c r="C199" s="340">
        <f>P177</f>
        <v>-2.3511310730880592</v>
      </c>
      <c r="D199" s="71"/>
      <c r="E199" s="170"/>
      <c r="F199" s="108"/>
      <c r="G199" s="108"/>
      <c r="H199" s="108"/>
      <c r="I199" s="108"/>
      <c r="J199" s="108"/>
      <c r="K199" s="109"/>
      <c r="L199" s="109"/>
      <c r="M199" s="109"/>
      <c r="N199" s="108"/>
      <c r="O199" s="108"/>
      <c r="P199" s="109"/>
      <c r="Q199" s="109"/>
      <c r="R199" s="109"/>
      <c r="S199" s="108"/>
      <c r="T199" s="108"/>
      <c r="U199" s="109"/>
      <c r="V199" s="109"/>
      <c r="W199" s="109"/>
      <c r="X199" s="108"/>
      <c r="Y199" s="108"/>
      <c r="Z199" s="240"/>
      <c r="AA199" s="240"/>
      <c r="AB199" s="240"/>
      <c r="AC199" s="239"/>
      <c r="AD199" s="239"/>
      <c r="AE199" s="240"/>
      <c r="AF199" s="240"/>
      <c r="AG199" s="240"/>
      <c r="AH199" s="239"/>
      <c r="AI199" s="239"/>
      <c r="AJ199" s="240"/>
      <c r="AK199" s="240"/>
      <c r="AL199" s="240"/>
      <c r="AM199" s="239"/>
      <c r="AN199" s="239"/>
      <c r="AO199" s="240"/>
      <c r="AP199" s="240"/>
      <c r="AQ199" s="240"/>
    </row>
    <row r="200" spans="2:43" x14ac:dyDescent="0.3">
      <c r="B200" s="69" t="s">
        <v>212</v>
      </c>
      <c r="C200" s="274">
        <f>(W32)*C198+C199</f>
        <v>113.35120502392157</v>
      </c>
      <c r="D200" s="72"/>
      <c r="E200" s="170"/>
      <c r="F200" s="108"/>
      <c r="G200" s="216"/>
      <c r="H200" s="108"/>
      <c r="I200" s="108"/>
      <c r="J200" s="108"/>
      <c r="K200" s="109"/>
      <c r="L200" s="109"/>
      <c r="M200" s="109"/>
      <c r="N200" s="108"/>
      <c r="O200" s="108"/>
      <c r="P200" s="109"/>
      <c r="Q200" s="109"/>
      <c r="R200" s="109"/>
      <c r="S200" s="108"/>
      <c r="T200" s="108"/>
      <c r="U200" s="109"/>
      <c r="V200" s="109"/>
      <c r="W200" s="109"/>
      <c r="X200" s="108"/>
      <c r="Y200" s="108"/>
    </row>
    <row r="201" spans="2:43" s="238" customFormat="1" x14ac:dyDescent="0.3">
      <c r="B201" s="69" t="s">
        <v>222</v>
      </c>
      <c r="C201" s="273">
        <f>(C200*K30)/(Q90+S90+T90+U90)</f>
        <v>55.514789524193233</v>
      </c>
      <c r="D201" s="72"/>
      <c r="E201" s="170"/>
      <c r="F201" s="108"/>
      <c r="G201" s="216"/>
      <c r="H201" s="108"/>
      <c r="I201" s="108"/>
      <c r="J201" s="108"/>
      <c r="K201" s="109"/>
      <c r="L201" s="109"/>
      <c r="M201" s="109"/>
      <c r="N201" s="108"/>
      <c r="O201" s="108"/>
      <c r="P201" s="109"/>
      <c r="Q201" s="109"/>
      <c r="R201" s="109"/>
      <c r="S201" s="108"/>
      <c r="T201" s="108"/>
      <c r="U201" s="109"/>
      <c r="V201" s="109"/>
      <c r="W201" s="109"/>
      <c r="X201" s="108"/>
      <c r="Y201" s="108"/>
      <c r="Z201" s="240"/>
      <c r="AA201" s="240"/>
      <c r="AB201" s="240"/>
      <c r="AC201" s="239"/>
      <c r="AD201" s="239"/>
      <c r="AE201" s="240"/>
      <c r="AF201" s="240"/>
      <c r="AG201" s="240"/>
      <c r="AH201" s="239"/>
      <c r="AI201" s="239"/>
      <c r="AJ201" s="240"/>
      <c r="AK201" s="240"/>
      <c r="AL201" s="240"/>
      <c r="AM201" s="239"/>
      <c r="AN201" s="239"/>
      <c r="AO201" s="240"/>
      <c r="AP201" s="240"/>
      <c r="AQ201" s="240"/>
    </row>
    <row r="202" spans="2:43" s="238" customFormat="1" ht="108" customHeight="1" x14ac:dyDescent="0.3">
      <c r="B202" s="376" t="s">
        <v>257</v>
      </c>
      <c r="C202" s="377"/>
      <c r="D202" s="72"/>
      <c r="E202" s="170"/>
      <c r="F202" s="108"/>
      <c r="G202" s="216"/>
      <c r="H202" s="108"/>
      <c r="I202" s="108"/>
      <c r="J202" s="108"/>
      <c r="K202" s="109"/>
      <c r="L202" s="109"/>
      <c r="M202" s="109"/>
      <c r="N202" s="108"/>
      <c r="O202" s="108"/>
      <c r="P202" s="109"/>
      <c r="Q202" s="109"/>
      <c r="R202" s="109"/>
      <c r="S202" s="108"/>
      <c r="T202" s="108"/>
      <c r="U202" s="109"/>
      <c r="V202" s="109"/>
      <c r="W202" s="109"/>
      <c r="X202" s="108"/>
      <c r="Y202" s="108"/>
      <c r="Z202" s="240"/>
      <c r="AA202" s="240"/>
      <c r="AB202" s="240"/>
      <c r="AC202" s="239"/>
      <c r="AD202" s="239"/>
      <c r="AE202" s="240"/>
      <c r="AF202" s="240"/>
      <c r="AG202" s="240"/>
      <c r="AH202" s="239"/>
      <c r="AI202" s="239"/>
      <c r="AJ202" s="240"/>
      <c r="AK202" s="240"/>
      <c r="AL202" s="240"/>
      <c r="AM202" s="239"/>
      <c r="AN202" s="239"/>
      <c r="AO202" s="240"/>
      <c r="AP202" s="240"/>
      <c r="AQ202" s="240"/>
    </row>
    <row r="203" spans="2:43" s="238" customFormat="1" ht="48" customHeight="1" x14ac:dyDescent="0.3">
      <c r="B203" s="397" t="s">
        <v>228</v>
      </c>
      <c r="C203" s="377"/>
      <c r="D203" s="72"/>
      <c r="E203" s="170"/>
      <c r="F203" s="108"/>
      <c r="G203" s="216"/>
      <c r="H203" s="108"/>
      <c r="I203" s="108"/>
      <c r="J203" s="108"/>
      <c r="K203" s="109"/>
      <c r="L203" s="109"/>
      <c r="M203" s="109"/>
      <c r="N203" s="108"/>
      <c r="O203" s="108"/>
      <c r="P203" s="109"/>
      <c r="Q203" s="109"/>
      <c r="R203" s="109"/>
      <c r="S203" s="108"/>
      <c r="T203" s="108"/>
      <c r="U203" s="109"/>
      <c r="V203" s="109"/>
      <c r="W203" s="109"/>
      <c r="X203" s="108"/>
      <c r="Y203" s="108"/>
      <c r="Z203" s="240"/>
      <c r="AA203" s="240"/>
      <c r="AB203" s="240"/>
      <c r="AC203" s="239"/>
      <c r="AD203" s="239"/>
      <c r="AE203" s="240"/>
      <c r="AF203" s="240"/>
      <c r="AG203" s="240"/>
      <c r="AH203" s="239"/>
      <c r="AI203" s="239"/>
      <c r="AJ203" s="240"/>
      <c r="AK203" s="240"/>
      <c r="AL203" s="240"/>
      <c r="AM203" s="239"/>
      <c r="AN203" s="239"/>
      <c r="AO203" s="240"/>
      <c r="AP203" s="240"/>
      <c r="AQ203" s="240"/>
    </row>
    <row r="204" spans="2:43" s="238" customFormat="1" ht="200.55" customHeight="1" x14ac:dyDescent="0.3">
      <c r="B204" s="378" t="s">
        <v>245</v>
      </c>
      <c r="C204" s="379"/>
      <c r="D204" s="72"/>
      <c r="E204" s="170"/>
      <c r="F204" s="108"/>
      <c r="G204" s="216"/>
      <c r="H204" s="108"/>
      <c r="I204" s="108"/>
      <c r="J204" s="108"/>
      <c r="K204" s="109"/>
      <c r="L204" s="109"/>
      <c r="M204" s="109"/>
      <c r="N204" s="108"/>
      <c r="O204" s="108"/>
      <c r="P204" s="109"/>
      <c r="Q204" s="109"/>
      <c r="R204" s="109"/>
      <c r="S204" s="108"/>
      <c r="T204" s="108"/>
      <c r="U204" s="109"/>
      <c r="V204" s="109"/>
      <c r="W204" s="109"/>
      <c r="X204" s="108"/>
      <c r="Y204" s="108"/>
      <c r="Z204" s="240"/>
      <c r="AA204" s="240"/>
      <c r="AB204" s="240"/>
      <c r="AC204" s="239"/>
      <c r="AD204" s="239"/>
      <c r="AE204" s="240"/>
      <c r="AF204" s="240"/>
      <c r="AG204" s="240"/>
      <c r="AH204" s="239"/>
      <c r="AI204" s="239"/>
      <c r="AJ204" s="240"/>
      <c r="AK204" s="240"/>
      <c r="AL204" s="240"/>
      <c r="AM204" s="239"/>
      <c r="AN204" s="239"/>
      <c r="AO204" s="240"/>
      <c r="AP204" s="240"/>
      <c r="AQ204" s="240"/>
    </row>
    <row r="205" spans="2:43" ht="7.5" customHeight="1" x14ac:dyDescent="0.3">
      <c r="B205" s="47"/>
      <c r="C205" s="1"/>
    </row>
    <row r="206" spans="2:43" ht="15.6" x14ac:dyDescent="0.3">
      <c r="B206" s="362" t="s">
        <v>30</v>
      </c>
      <c r="C206" s="363"/>
    </row>
    <row r="207" spans="2:43" outlineLevel="1" x14ac:dyDescent="0.3">
      <c r="B207" s="23" t="s">
        <v>39</v>
      </c>
      <c r="C207" s="73"/>
    </row>
    <row r="208" spans="2:43" outlineLevel="1" x14ac:dyDescent="0.3">
      <c r="B208" s="9" t="s">
        <v>31</v>
      </c>
      <c r="C208" s="125">
        <v>115</v>
      </c>
    </row>
    <row r="209" spans="2:4" outlineLevel="1" x14ac:dyDescent="0.3">
      <c r="B209" s="9" t="s">
        <v>32</v>
      </c>
      <c r="C209" s="31">
        <f>P30</f>
        <v>438.38900000000001</v>
      </c>
      <c r="D209" s="35"/>
    </row>
    <row r="210" spans="2:4" outlineLevel="1" x14ac:dyDescent="0.3">
      <c r="B210" s="69" t="s">
        <v>33</v>
      </c>
      <c r="C210" s="13">
        <f>C209*C208</f>
        <v>50414.735000000001</v>
      </c>
      <c r="D210" s="35"/>
    </row>
    <row r="211" spans="2:4" outlineLevel="1" x14ac:dyDescent="0.3">
      <c r="B211" s="14" t="s">
        <v>69</v>
      </c>
      <c r="C211" s="249">
        <v>1.1518999999999999</v>
      </c>
      <c r="D211" s="35"/>
    </row>
    <row r="212" spans="2:4" outlineLevel="1" x14ac:dyDescent="0.3">
      <c r="B212" s="14" t="s">
        <v>207</v>
      </c>
      <c r="C212" s="81">
        <v>0.3</v>
      </c>
      <c r="D212" s="35"/>
    </row>
    <row r="213" spans="2:4" outlineLevel="1" x14ac:dyDescent="0.3">
      <c r="B213" s="14" t="s">
        <v>208</v>
      </c>
      <c r="C213" s="251">
        <v>0.15870000000000001</v>
      </c>
      <c r="D213" s="35"/>
    </row>
    <row r="214" spans="2:4" outlineLevel="1" x14ac:dyDescent="0.3">
      <c r="B214" s="69" t="s">
        <v>34</v>
      </c>
      <c r="C214" s="83">
        <f>C212*C213</f>
        <v>4.761E-2</v>
      </c>
      <c r="D214" s="35"/>
    </row>
    <row r="215" spans="2:4" outlineLevel="1" x14ac:dyDescent="0.3">
      <c r="B215" s="14" t="s">
        <v>70</v>
      </c>
      <c r="C215" s="250">
        <v>1.84E-2</v>
      </c>
      <c r="D215" s="35"/>
    </row>
    <row r="216" spans="2:4" outlineLevel="1" x14ac:dyDescent="0.3">
      <c r="B216" s="69" t="s">
        <v>35</v>
      </c>
      <c r="C216" s="83">
        <f>C215+(C211*C214)</f>
        <v>7.3241958999999995E-2</v>
      </c>
      <c r="D216" s="35"/>
    </row>
    <row r="217" spans="2:4" outlineLevel="1" x14ac:dyDescent="0.3">
      <c r="B217" s="14" t="s">
        <v>36</v>
      </c>
      <c r="C217" s="82">
        <f>C210/(C210+P117)</f>
        <v>0.95502889908202138</v>
      </c>
      <c r="D217" s="35"/>
    </row>
    <row r="218" spans="2:4" outlineLevel="1" x14ac:dyDescent="0.3">
      <c r="B218" s="14" t="s">
        <v>37</v>
      </c>
      <c r="C218" s="82">
        <f>-L78*4</f>
        <v>5.9402744960453641E-2</v>
      </c>
      <c r="D218" s="35"/>
    </row>
    <row r="219" spans="2:4" outlineLevel="1" x14ac:dyDescent="0.3">
      <c r="B219" s="14" t="s">
        <v>0</v>
      </c>
      <c r="C219" s="120">
        <v>0.28999999999999998</v>
      </c>
      <c r="D219" s="35"/>
    </row>
    <row r="220" spans="2:4" outlineLevel="1" x14ac:dyDescent="0.3">
      <c r="B220" s="14" t="s">
        <v>38</v>
      </c>
      <c r="C220" s="82">
        <f>C218*(1-C219)</f>
        <v>4.2175948921922085E-2</v>
      </c>
      <c r="D220" s="35"/>
    </row>
    <row r="221" spans="2:4" outlineLevel="1" x14ac:dyDescent="0.3">
      <c r="B221" s="69" t="s">
        <v>71</v>
      </c>
      <c r="C221" s="83">
        <f>(C217*C216)+((1-C217)*C220)</f>
        <v>7.1844886325659815E-2</v>
      </c>
      <c r="D221" s="35"/>
    </row>
    <row r="222" spans="2:4" ht="7.5" customHeight="1" outlineLevel="1" x14ac:dyDescent="0.3">
      <c r="B222" s="9"/>
      <c r="C222" s="73"/>
      <c r="D222" s="35"/>
    </row>
    <row r="223" spans="2:4" outlineLevel="1" x14ac:dyDescent="0.3">
      <c r="B223" s="23" t="s">
        <v>209</v>
      </c>
      <c r="C223" s="73"/>
      <c r="D223" s="35"/>
    </row>
    <row r="224" spans="2:4" outlineLevel="1" x14ac:dyDescent="0.3">
      <c r="B224" s="9" t="s">
        <v>72</v>
      </c>
      <c r="C224" s="250">
        <v>0.02</v>
      </c>
      <c r="D224" s="35"/>
    </row>
    <row r="225" spans="2:43" outlineLevel="1" x14ac:dyDescent="0.3">
      <c r="B225" s="9" t="s">
        <v>74</v>
      </c>
      <c r="C225" s="250">
        <v>0.02</v>
      </c>
      <c r="D225" s="35"/>
    </row>
    <row r="226" spans="2:43" outlineLevel="1" x14ac:dyDescent="0.3">
      <c r="B226" s="9" t="s">
        <v>116</v>
      </c>
      <c r="C226" s="250">
        <v>0.01</v>
      </c>
      <c r="D226" s="35"/>
    </row>
    <row r="227" spans="2:43" outlineLevel="1" x14ac:dyDescent="0.3">
      <c r="B227" s="9"/>
      <c r="C227" s="34"/>
      <c r="D227" s="35"/>
    </row>
    <row r="228" spans="2:43" outlineLevel="1" x14ac:dyDescent="0.3">
      <c r="B228" s="23" t="s">
        <v>76</v>
      </c>
      <c r="C228" s="73"/>
      <c r="D228" s="35"/>
    </row>
    <row r="229" spans="2:43" outlineLevel="1" x14ac:dyDescent="0.3">
      <c r="B229" s="9" t="s">
        <v>77</v>
      </c>
      <c r="C229" s="103">
        <f>((((AG157*(1+C225))-(C226*AG11*(1+C224))+(C220*AG117)))/(C221-C224))/(1+$C$221)^5</f>
        <v>28831.380993236577</v>
      </c>
      <c r="D229" s="35"/>
    </row>
    <row r="230" spans="2:43" outlineLevel="1" x14ac:dyDescent="0.3">
      <c r="B230" s="9" t="s">
        <v>73</v>
      </c>
      <c r="C230" s="31">
        <f>W182+AB182+AG182+AL182+AQ182</f>
        <v>33641.857843901082</v>
      </c>
      <c r="D230" s="35"/>
    </row>
    <row r="231" spans="2:43" outlineLevel="1" x14ac:dyDescent="0.3">
      <c r="B231" s="9" t="s">
        <v>215</v>
      </c>
      <c r="C231" s="81">
        <f>C199</f>
        <v>-2.3511310730880592</v>
      </c>
      <c r="D231" s="35"/>
    </row>
    <row r="232" spans="2:43" outlineLevel="1" x14ac:dyDescent="0.3">
      <c r="B232" s="69" t="s">
        <v>213</v>
      </c>
      <c r="C232" s="275">
        <f>(C229+C230)/C209+C231</f>
        <v>140.15527040399658</v>
      </c>
      <c r="D232" s="35"/>
    </row>
    <row r="233" spans="2:43" s="238" customFormat="1" ht="137.55000000000001" customHeight="1" outlineLevel="1" x14ac:dyDescent="0.3">
      <c r="B233" s="368" t="s">
        <v>268</v>
      </c>
      <c r="C233" s="369"/>
      <c r="D233" s="243"/>
      <c r="E233" s="239"/>
      <c r="F233" s="239"/>
      <c r="G233" s="239"/>
      <c r="H233" s="239"/>
      <c r="I233" s="239"/>
      <c r="J233" s="239"/>
      <c r="K233" s="240"/>
      <c r="L233" s="240"/>
      <c r="M233" s="240"/>
      <c r="N233" s="239"/>
      <c r="O233" s="239"/>
      <c r="P233" s="240"/>
      <c r="Q233" s="240"/>
      <c r="R233" s="240"/>
      <c r="S233" s="239"/>
      <c r="T233" s="239"/>
      <c r="U233" s="240"/>
      <c r="V233" s="240"/>
      <c r="W233" s="240"/>
      <c r="X233" s="239"/>
      <c r="Y233" s="239"/>
      <c r="Z233" s="240"/>
      <c r="AA233" s="240"/>
      <c r="AB233" s="240"/>
      <c r="AC233" s="239"/>
      <c r="AD233" s="239"/>
      <c r="AE233" s="240"/>
      <c r="AF233" s="240"/>
      <c r="AG233" s="240"/>
      <c r="AH233" s="239"/>
      <c r="AI233" s="239"/>
      <c r="AJ233" s="240"/>
      <c r="AK233" s="240"/>
      <c r="AL233" s="240"/>
      <c r="AM233" s="239"/>
      <c r="AN233" s="239"/>
      <c r="AO233" s="240"/>
      <c r="AP233" s="240"/>
      <c r="AQ233" s="240"/>
    </row>
    <row r="234" spans="2:43" ht="76.2" customHeight="1" outlineLevel="1" x14ac:dyDescent="0.3">
      <c r="B234" s="372" t="s">
        <v>205</v>
      </c>
      <c r="C234" s="373"/>
      <c r="D234" s="35"/>
    </row>
    <row r="235" spans="2:43" ht="91.5" customHeight="1" outlineLevel="1" x14ac:dyDescent="0.3">
      <c r="B235" s="374" t="s">
        <v>210</v>
      </c>
      <c r="C235" s="375"/>
      <c r="D235" s="35"/>
    </row>
    <row r="236" spans="2:43" ht="58.8" customHeight="1" outlineLevel="1" x14ac:dyDescent="0.3">
      <c r="B236" s="351" t="s">
        <v>211</v>
      </c>
      <c r="C236" s="352"/>
      <c r="D236" s="35"/>
    </row>
    <row r="237" spans="2:43" x14ac:dyDescent="0.3">
      <c r="C237" s="29"/>
    </row>
    <row r="238" spans="2:43" x14ac:dyDescent="0.3">
      <c r="C238" s="74"/>
    </row>
    <row r="239" spans="2:43" x14ac:dyDescent="0.3">
      <c r="C239" s="74"/>
    </row>
    <row r="242" spans="3:3" x14ac:dyDescent="0.3">
      <c r="C242" s="276" t="s">
        <v>239</v>
      </c>
    </row>
  </sheetData>
  <dataConsolidate/>
  <mergeCells count="125">
    <mergeCell ref="B39:C39"/>
    <mergeCell ref="B2:C2"/>
    <mergeCell ref="B32:C32"/>
    <mergeCell ref="B44:C44"/>
    <mergeCell ref="B37:C37"/>
    <mergeCell ref="B203:C203"/>
    <mergeCell ref="B38:C38"/>
    <mergeCell ref="B79:C79"/>
    <mergeCell ref="B75:C75"/>
    <mergeCell ref="B51:C51"/>
    <mergeCell ref="B54:C54"/>
    <mergeCell ref="B55:C55"/>
    <mergeCell ref="B62:C62"/>
    <mergeCell ref="B65:C65"/>
    <mergeCell ref="B66:C66"/>
    <mergeCell ref="B73:C73"/>
    <mergeCell ref="B40:C40"/>
    <mergeCell ref="B145:C145"/>
    <mergeCell ref="B34:C34"/>
    <mergeCell ref="B43:C43"/>
    <mergeCell ref="B99:C99"/>
    <mergeCell ref="B97:C97"/>
    <mergeCell ref="B3:C3"/>
    <mergeCell ref="B4:C4"/>
    <mergeCell ref="B9:C9"/>
    <mergeCell ref="B10:C10"/>
    <mergeCell ref="B31:C31"/>
    <mergeCell ref="B29:C29"/>
    <mergeCell ref="B25:C25"/>
    <mergeCell ref="B11:C11"/>
    <mergeCell ref="B14:C14"/>
    <mergeCell ref="B24:C24"/>
    <mergeCell ref="B23:C23"/>
    <mergeCell ref="B18:C18"/>
    <mergeCell ref="B22:C22"/>
    <mergeCell ref="B20:C20"/>
    <mergeCell ref="B27:C27"/>
    <mergeCell ref="B26:C26"/>
    <mergeCell ref="B19:C19"/>
    <mergeCell ref="B21:C21"/>
    <mergeCell ref="B30:C30"/>
    <mergeCell ref="B28:C28"/>
    <mergeCell ref="B136:C136"/>
    <mergeCell ref="B138:C138"/>
    <mergeCell ref="B139:C139"/>
    <mergeCell ref="B140:C140"/>
    <mergeCell ref="B146:C146"/>
    <mergeCell ref="B130:C130"/>
    <mergeCell ref="B129:C129"/>
    <mergeCell ref="B128:C128"/>
    <mergeCell ref="B137:C137"/>
    <mergeCell ref="B143:C143"/>
    <mergeCell ref="B133:C133"/>
    <mergeCell ref="B132:C132"/>
    <mergeCell ref="B131:C131"/>
    <mergeCell ref="B76:C76"/>
    <mergeCell ref="B124:C124"/>
    <mergeCell ref="B123:C123"/>
    <mergeCell ref="B122:C122"/>
    <mergeCell ref="B121:C121"/>
    <mergeCell ref="B112:C112"/>
    <mergeCell ref="B77:C77"/>
    <mergeCell ref="B108:C108"/>
    <mergeCell ref="B107:C107"/>
    <mergeCell ref="B109:C109"/>
    <mergeCell ref="B104:C104"/>
    <mergeCell ref="B102:C102"/>
    <mergeCell ref="B96:C96"/>
    <mergeCell ref="B78:C78"/>
    <mergeCell ref="B126:C126"/>
    <mergeCell ref="B125:C125"/>
    <mergeCell ref="B110:C110"/>
    <mergeCell ref="B106:C106"/>
    <mergeCell ref="B115:C115"/>
    <mergeCell ref="B101:C101"/>
    <mergeCell ref="B100:C100"/>
    <mergeCell ref="B98:C98"/>
    <mergeCell ref="B93:C93"/>
    <mergeCell ref="B119:C119"/>
    <mergeCell ref="B118:C118"/>
    <mergeCell ref="B116:C116"/>
    <mergeCell ref="B94:C94"/>
    <mergeCell ref="B233:C233"/>
    <mergeCell ref="B152:C152"/>
    <mergeCell ref="B151:C151"/>
    <mergeCell ref="B234:C234"/>
    <mergeCell ref="B235:C235"/>
    <mergeCell ref="B158:C158"/>
    <mergeCell ref="B170:C170"/>
    <mergeCell ref="B169:C169"/>
    <mergeCell ref="B168:C168"/>
    <mergeCell ref="B167:C167"/>
    <mergeCell ref="B166:C166"/>
    <mergeCell ref="B165:C165"/>
    <mergeCell ref="B164:C164"/>
    <mergeCell ref="B161:C161"/>
    <mergeCell ref="B163:C163"/>
    <mergeCell ref="B162:C162"/>
    <mergeCell ref="B159:C159"/>
    <mergeCell ref="B202:C202"/>
    <mergeCell ref="B204:C204"/>
    <mergeCell ref="B74:C74"/>
    <mergeCell ref="B150:C150"/>
    <mergeCell ref="B157:C157"/>
    <mergeCell ref="B156:C156"/>
    <mergeCell ref="B154:C154"/>
    <mergeCell ref="B153:C153"/>
    <mergeCell ref="B120:C120"/>
    <mergeCell ref="B236:C236"/>
    <mergeCell ref="B174:C174"/>
    <mergeCell ref="B172:C172"/>
    <mergeCell ref="B191:C191"/>
    <mergeCell ref="B189:C189"/>
    <mergeCell ref="B188:C188"/>
    <mergeCell ref="B187:C187"/>
    <mergeCell ref="B186:C186"/>
    <mergeCell ref="B185:C185"/>
    <mergeCell ref="B182:C182"/>
    <mergeCell ref="B177:C177"/>
    <mergeCell ref="B176:C176"/>
    <mergeCell ref="B175:C175"/>
    <mergeCell ref="B194:C194"/>
    <mergeCell ref="B206:C206"/>
    <mergeCell ref="B180:C180"/>
    <mergeCell ref="B183:C183"/>
  </mergeCells>
  <pageMargins left="0.7" right="0.7" top="0.75" bottom="0.75" header="0.3" footer="0.3"/>
  <pageSetup scale="40" orientation="landscape" r:id="rId1"/>
  <headerFooter>
    <oddFooter>&amp;CGutenberg Research LLC prohibits the redistribution of this document in whole or part without the written permission. 
© Gutenberg Research LLC 2016.</oddFooter>
  </headerFooter>
  <rowBreaks count="2" manualBreakCount="2">
    <brk id="94" max="16383" man="1"/>
    <brk id="19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2015-07-15T14:40:12Z</cp:lastPrinted>
  <dcterms:created xsi:type="dcterms:W3CDTF">2014-10-18T18:34:10Z</dcterms:created>
  <dcterms:modified xsi:type="dcterms:W3CDTF">2017-01-08T02:57:25Z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