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Admin\Documents\Articles (2-15-2016)\CLB\"/>
    </mc:Choice>
  </mc:AlternateContent>
  <bookViews>
    <workbookView xWindow="0" yWindow="0" windowWidth="22980" windowHeight="4740"/>
  </bookViews>
  <sheets>
    <sheet name="Earnings Model" sheetId="3" r:id="rId1"/>
  </sheets>
  <externalReferences>
    <externalReference r:id="rId2"/>
  </externalReferences>
  <definedNames>
    <definedName name="DATA">'[1]Estimates by Analyst'!$B$6:$M$50</definedName>
    <definedName name="_xlnm.Print_Area" localSheetId="0">'Earnings Model'!$A$1:$W$249</definedName>
  </definedNames>
  <calcPr calcId="171027"/>
</workbook>
</file>

<file path=xl/calcChain.xml><?xml version="1.0" encoding="utf-8"?>
<calcChain xmlns="http://schemas.openxmlformats.org/spreadsheetml/2006/main">
  <c r="C274" i="3" l="1"/>
  <c r="C273" i="3"/>
  <c r="C264" i="3"/>
  <c r="C263" i="3"/>
  <c r="C260" i="3"/>
  <c r="C258" i="3"/>
  <c r="AQ206" i="3"/>
  <c r="AQ213" i="3"/>
  <c r="AL213" i="3"/>
  <c r="C275" i="3"/>
  <c r="AM88" i="3"/>
  <c r="AH88" i="3"/>
  <c r="AM212" i="3"/>
  <c r="AN212" i="3" s="1"/>
  <c r="AO212" i="3" s="1"/>
  <c r="AP212" i="3" s="1"/>
  <c r="AM211" i="3"/>
  <c r="AM199" i="3"/>
  <c r="AM186" i="3"/>
  <c r="AM181" i="3"/>
  <c r="AM153" i="3"/>
  <c r="AM151" i="3"/>
  <c r="AM150" i="3"/>
  <c r="AN150" i="3" s="1"/>
  <c r="AM149" i="3"/>
  <c r="AM148" i="3"/>
  <c r="AN148" i="3" s="1"/>
  <c r="AM141" i="3"/>
  <c r="AN141" i="3" s="1"/>
  <c r="AO141" i="3" s="1"/>
  <c r="AP141" i="3" s="1"/>
  <c r="AQ141" i="3" s="1"/>
  <c r="AN139" i="3"/>
  <c r="AO139" i="3" s="1"/>
  <c r="AP139" i="3" s="1"/>
  <c r="AQ139" i="3" s="1"/>
  <c r="AM139" i="3"/>
  <c r="AO138" i="3"/>
  <c r="AP138" i="3" s="1"/>
  <c r="AQ138" i="3" s="1"/>
  <c r="AN138" i="3"/>
  <c r="AM138" i="3"/>
  <c r="AO135" i="3"/>
  <c r="AN135" i="3"/>
  <c r="AM135" i="3"/>
  <c r="AO134" i="3"/>
  <c r="AP134" i="3" s="1"/>
  <c r="AQ134" i="3" s="1"/>
  <c r="AN134" i="3"/>
  <c r="AM134" i="3"/>
  <c r="AP132" i="3"/>
  <c r="AQ132" i="3" s="1"/>
  <c r="AM132" i="3"/>
  <c r="AN132" i="3" s="1"/>
  <c r="AO132" i="3" s="1"/>
  <c r="AN131" i="3"/>
  <c r="AO131" i="3" s="1"/>
  <c r="AP131" i="3" s="1"/>
  <c r="AQ131" i="3" s="1"/>
  <c r="AM131" i="3"/>
  <c r="AN130" i="3"/>
  <c r="AO130" i="3" s="1"/>
  <c r="AP130" i="3" s="1"/>
  <c r="AQ130" i="3" s="1"/>
  <c r="AM130" i="3"/>
  <c r="AP129" i="3"/>
  <c r="AQ129" i="3" s="1"/>
  <c r="AO129" i="3"/>
  <c r="AN129" i="3"/>
  <c r="AM129" i="3"/>
  <c r="AN127" i="3"/>
  <c r="AO127" i="3" s="1"/>
  <c r="AP127" i="3" s="1"/>
  <c r="AQ127" i="3" s="1"/>
  <c r="AM127" i="3"/>
  <c r="AN126" i="3"/>
  <c r="AO126" i="3" s="1"/>
  <c r="AP126" i="3" s="1"/>
  <c r="AQ126" i="3" s="1"/>
  <c r="AM126" i="3"/>
  <c r="AP125" i="3"/>
  <c r="AQ125" i="3" s="1"/>
  <c r="AO125" i="3"/>
  <c r="AO177" i="3" s="1"/>
  <c r="AN125" i="3"/>
  <c r="AN177" i="3" s="1"/>
  <c r="AM125" i="3"/>
  <c r="AM177" i="3" s="1"/>
  <c r="AM124" i="3"/>
  <c r="AN124" i="3" s="1"/>
  <c r="AO124" i="3" s="1"/>
  <c r="AP124" i="3" s="1"/>
  <c r="AQ124" i="3" s="1"/>
  <c r="AN123" i="3"/>
  <c r="AM123" i="3"/>
  <c r="AM176" i="3" s="1"/>
  <c r="AM119" i="3"/>
  <c r="AN119" i="3" s="1"/>
  <c r="AO119" i="3" s="1"/>
  <c r="AP119" i="3" s="1"/>
  <c r="AQ119" i="3" s="1"/>
  <c r="AQ118" i="3"/>
  <c r="AP118" i="3"/>
  <c r="AM118" i="3"/>
  <c r="AN118" i="3" s="1"/>
  <c r="AO118" i="3" s="1"/>
  <c r="AO117" i="3"/>
  <c r="AP117" i="3" s="1"/>
  <c r="AQ117" i="3" s="1"/>
  <c r="AM117" i="3"/>
  <c r="AN117" i="3" s="1"/>
  <c r="AO113" i="3"/>
  <c r="AN113" i="3"/>
  <c r="AN174" i="3" s="1"/>
  <c r="AM113" i="3"/>
  <c r="AM174" i="3" s="1"/>
  <c r="AN112" i="3"/>
  <c r="AO112" i="3" s="1"/>
  <c r="AP112" i="3" s="1"/>
  <c r="AQ112" i="3" s="1"/>
  <c r="AM112" i="3"/>
  <c r="AM111" i="3"/>
  <c r="AN102" i="3"/>
  <c r="AO102" i="3" s="1"/>
  <c r="AP102" i="3" s="1"/>
  <c r="AM102" i="3"/>
  <c r="AN101" i="3"/>
  <c r="AO101" i="3" s="1"/>
  <c r="AP101" i="3" s="1"/>
  <c r="AM101" i="3"/>
  <c r="AN100" i="3"/>
  <c r="AO100" i="3" s="1"/>
  <c r="AP100" i="3" s="1"/>
  <c r="AM100" i="3"/>
  <c r="AN90" i="3"/>
  <c r="AO90" i="3" s="1"/>
  <c r="AP90" i="3" s="1"/>
  <c r="AM90" i="3"/>
  <c r="AN89" i="3"/>
  <c r="AO89" i="3" s="1"/>
  <c r="AP89" i="3" s="1"/>
  <c r="AM89" i="3"/>
  <c r="AN87" i="3"/>
  <c r="AO87" i="3" s="1"/>
  <c r="AP87" i="3" s="1"/>
  <c r="AN86" i="3"/>
  <c r="AO86" i="3" s="1"/>
  <c r="AP86" i="3" s="1"/>
  <c r="AM86" i="3"/>
  <c r="AN85" i="3"/>
  <c r="AO85" i="3" s="1"/>
  <c r="AP85" i="3" s="1"/>
  <c r="AP78" i="3"/>
  <c r="AM78" i="3"/>
  <c r="AN78" i="3" s="1"/>
  <c r="AO78" i="3" s="1"/>
  <c r="AP71" i="3"/>
  <c r="AO71" i="3"/>
  <c r="AN71" i="3"/>
  <c r="AO69" i="3"/>
  <c r="AP69" i="3" s="1"/>
  <c r="AN69" i="3"/>
  <c r="AM69" i="3"/>
  <c r="AO68" i="3"/>
  <c r="AO70" i="3" s="1"/>
  <c r="AN68" i="3"/>
  <c r="AN70" i="3" s="1"/>
  <c r="AM68" i="3"/>
  <c r="AM70" i="3" s="1"/>
  <c r="AO63" i="3"/>
  <c r="AP63" i="3" s="1"/>
  <c r="AN63" i="3"/>
  <c r="AO61" i="3"/>
  <c r="AP61" i="3" s="1"/>
  <c r="AN61" i="3"/>
  <c r="AM61" i="3"/>
  <c r="AN60" i="3"/>
  <c r="AN62" i="3" s="1"/>
  <c r="AM60" i="3"/>
  <c r="AM62" i="3" s="1"/>
  <c r="AN55" i="3"/>
  <c r="AO55" i="3" s="1"/>
  <c r="AP55" i="3" s="1"/>
  <c r="AM55" i="3"/>
  <c r="AN53" i="3"/>
  <c r="AO53" i="3" s="1"/>
  <c r="AP53" i="3" s="1"/>
  <c r="AM53" i="3"/>
  <c r="AM52" i="3"/>
  <c r="AM54" i="3" s="1"/>
  <c r="AM25" i="3" s="1"/>
  <c r="AO47" i="3"/>
  <c r="AP47" i="3" s="1"/>
  <c r="AP194" i="3" s="1"/>
  <c r="AP197" i="3" s="1"/>
  <c r="AN47" i="3"/>
  <c r="AM47" i="3"/>
  <c r="AP46" i="3"/>
  <c r="AM46" i="3"/>
  <c r="AN46" i="3" s="1"/>
  <c r="AO46" i="3" s="1"/>
  <c r="AM45" i="3"/>
  <c r="AQ39" i="3"/>
  <c r="AQ38" i="3"/>
  <c r="AQ37" i="3"/>
  <c r="AQ36" i="3"/>
  <c r="AP34" i="3"/>
  <c r="AO34" i="3"/>
  <c r="AN34" i="3"/>
  <c r="AQ34" i="3" s="1"/>
  <c r="AM21" i="3"/>
  <c r="AM115" i="3" s="1"/>
  <c r="AM20" i="3"/>
  <c r="AM16" i="3"/>
  <c r="T136" i="3"/>
  <c r="U136" i="3" s="1"/>
  <c r="V136" i="3" s="1"/>
  <c r="Q136" i="3"/>
  <c r="T162" i="3"/>
  <c r="S162" i="3"/>
  <c r="Q162" i="3"/>
  <c r="T102" i="3"/>
  <c r="U102" i="3" s="1"/>
  <c r="V102" i="3" s="1"/>
  <c r="Y102" i="3" s="1"/>
  <c r="Z102" i="3" s="1"/>
  <c r="AA102" i="3" s="1"/>
  <c r="AC102" i="3" s="1"/>
  <c r="AD102" i="3" s="1"/>
  <c r="AE102" i="3" s="1"/>
  <c r="AF102" i="3" s="1"/>
  <c r="AH102" i="3" s="1"/>
  <c r="AI102" i="3" s="1"/>
  <c r="AJ102" i="3" s="1"/>
  <c r="AK102" i="3" s="1"/>
  <c r="AK162" i="3" s="1"/>
  <c r="D102" i="3"/>
  <c r="P102" i="3"/>
  <c r="O102" i="3"/>
  <c r="N102" i="3"/>
  <c r="L102" i="3"/>
  <c r="K102" i="3"/>
  <c r="J102" i="3"/>
  <c r="I102" i="3"/>
  <c r="G102" i="3"/>
  <c r="F102" i="3"/>
  <c r="E102" i="3"/>
  <c r="AM95" i="3" l="1"/>
  <c r="AM93" i="3"/>
  <c r="AM23" i="3" s="1"/>
  <c r="AM83" i="3"/>
  <c r="AM84" i="3" s="1"/>
  <c r="AM162" i="3"/>
  <c r="AM109" i="3"/>
  <c r="AM171" i="3" s="1"/>
  <c r="AM48" i="3"/>
  <c r="AM29" i="3"/>
  <c r="AN45" i="3"/>
  <c r="AO45" i="3" s="1"/>
  <c r="AP45" i="3" s="1"/>
  <c r="AN52" i="3"/>
  <c r="AO60" i="3"/>
  <c r="AP68" i="3"/>
  <c r="AP70" i="3" s="1"/>
  <c r="AM18" i="3"/>
  <c r="AM22" i="3"/>
  <c r="AM30" i="3"/>
  <c r="AO194" i="3"/>
  <c r="AO197" i="3" s="1"/>
  <c r="AP113" i="3"/>
  <c r="AO174" i="3"/>
  <c r="AP135" i="3"/>
  <c r="AM19" i="3"/>
  <c r="AN149" i="3"/>
  <c r="AM152" i="3"/>
  <c r="AM194" i="3"/>
  <c r="AQ47" i="3"/>
  <c r="AM214" i="3"/>
  <c r="AN194" i="3"/>
  <c r="AN197" i="3" s="1"/>
  <c r="AM173" i="3"/>
  <c r="AN111" i="3"/>
  <c r="AN176" i="3"/>
  <c r="AO123" i="3"/>
  <c r="AN151" i="3"/>
  <c r="AO148" i="3"/>
  <c r="AN153" i="3"/>
  <c r="AO150" i="3"/>
  <c r="AP177" i="3"/>
  <c r="AQ177" i="3" s="1"/>
  <c r="AN181" i="3"/>
  <c r="AN211" i="3"/>
  <c r="AM163" i="3"/>
  <c r="U162" i="3"/>
  <c r="W162" i="3" s="1"/>
  <c r="Y162" i="3"/>
  <c r="AD162" i="3"/>
  <c r="AI162" i="3"/>
  <c r="X162" i="3"/>
  <c r="AC162" i="3"/>
  <c r="AH162" i="3"/>
  <c r="V162" i="3"/>
  <c r="Z162" i="3"/>
  <c r="AE162" i="3"/>
  <c r="AJ162" i="3"/>
  <c r="AA162" i="3"/>
  <c r="AF162" i="3"/>
  <c r="AO151" i="3" l="1"/>
  <c r="AP148" i="3"/>
  <c r="AP151" i="3" s="1"/>
  <c r="AN152" i="3"/>
  <c r="AO149" i="3"/>
  <c r="AQ135" i="3"/>
  <c r="AM116" i="3"/>
  <c r="AN54" i="3"/>
  <c r="AN25" i="3" s="1"/>
  <c r="AO52" i="3"/>
  <c r="AN16" i="3"/>
  <c r="AN173" i="3"/>
  <c r="AO111" i="3"/>
  <c r="AM122" i="3"/>
  <c r="AM110" i="3"/>
  <c r="AM172" i="3" s="1"/>
  <c r="AM31" i="3"/>
  <c r="AP174" i="3"/>
  <c r="AQ174" i="3" s="1"/>
  <c r="AQ113" i="3"/>
  <c r="AP60" i="3"/>
  <c r="AP62" i="3" s="1"/>
  <c r="AO62" i="3"/>
  <c r="AM136" i="3"/>
  <c r="AN186" i="3"/>
  <c r="AO181" i="3"/>
  <c r="AN214" i="3"/>
  <c r="AM94" i="3"/>
  <c r="AO211" i="3"/>
  <c r="AN163" i="3"/>
  <c r="AN21" i="3"/>
  <c r="AO153" i="3"/>
  <c r="AP150" i="3"/>
  <c r="AP153" i="3" s="1"/>
  <c r="AO176" i="3"/>
  <c r="AP123" i="3"/>
  <c r="AQ194" i="3"/>
  <c r="AQ197" i="3" s="1"/>
  <c r="AM197" i="3"/>
  <c r="AM92" i="3"/>
  <c r="AL162" i="3"/>
  <c r="AG162" i="3"/>
  <c r="AB162" i="3"/>
  <c r="AP211" i="3" l="1"/>
  <c r="AO186" i="3"/>
  <c r="AP181" i="3"/>
  <c r="AO214" i="3"/>
  <c r="AN83" i="3"/>
  <c r="AN84" i="3" s="1"/>
  <c r="AN95" i="3"/>
  <c r="AN31" i="3"/>
  <c r="AO173" i="3"/>
  <c r="AP111" i="3"/>
  <c r="AP52" i="3"/>
  <c r="AO54" i="3"/>
  <c r="AO25" i="3" s="1"/>
  <c r="AO16" i="3"/>
  <c r="AO152" i="3"/>
  <c r="AP149" i="3"/>
  <c r="AP152" i="3" s="1"/>
  <c r="AP176" i="3"/>
  <c r="AQ176" i="3" s="1"/>
  <c r="AQ123" i="3"/>
  <c r="AN115" i="3"/>
  <c r="AO21" i="3" s="1"/>
  <c r="AQ181" i="3"/>
  <c r="AM32" i="3"/>
  <c r="AM128" i="3"/>
  <c r="AM175" i="3"/>
  <c r="AN162" i="3"/>
  <c r="AN30" i="3"/>
  <c r="AN29" i="3"/>
  <c r="AN18" i="3"/>
  <c r="AN48" i="3"/>
  <c r="AN20" i="3"/>
  <c r="AN109" i="3"/>
  <c r="AN171" i="3" s="1"/>
  <c r="AN19" i="3"/>
  <c r="AN22" i="3"/>
  <c r="AN32" i="3" l="1"/>
  <c r="AN122" i="3"/>
  <c r="AN110" i="3"/>
  <c r="AN172" i="3" s="1"/>
  <c r="AN92" i="3"/>
  <c r="AQ186" i="3"/>
  <c r="AQ111" i="3"/>
  <c r="AP173" i="3"/>
  <c r="AP214" i="3"/>
  <c r="AP186" i="3"/>
  <c r="AP54" i="3"/>
  <c r="AP25" i="3" s="1"/>
  <c r="AP16" i="3"/>
  <c r="AP21" i="3"/>
  <c r="AQ21" i="3" s="1"/>
  <c r="AN116" i="3"/>
  <c r="AM33" i="3"/>
  <c r="AO115" i="3"/>
  <c r="AO162" i="3"/>
  <c r="AO48" i="3"/>
  <c r="AO30" i="3"/>
  <c r="AO20" i="3"/>
  <c r="AO109" i="3"/>
  <c r="AO171" i="3" s="1"/>
  <c r="AO19" i="3"/>
  <c r="AO18" i="3"/>
  <c r="AQ173" i="3"/>
  <c r="AN136" i="3"/>
  <c r="AO83" i="3"/>
  <c r="AO84" i="3" s="1"/>
  <c r="AO29" i="3" s="1"/>
  <c r="AO31" i="3"/>
  <c r="AO95" i="3"/>
  <c r="AN94" i="3"/>
  <c r="AN93" i="3"/>
  <c r="AN88" i="3" s="1"/>
  <c r="AN23" i="3" s="1"/>
  <c r="AO163" i="3"/>
  <c r="AO110" i="3" l="1"/>
  <c r="AO172" i="3" s="1"/>
  <c r="AO122" i="3"/>
  <c r="AM96" i="3"/>
  <c r="AM97" i="3" s="1"/>
  <c r="AM98" i="3" s="1"/>
  <c r="AM40" i="3" s="1"/>
  <c r="AM160" i="3"/>
  <c r="AM179" i="3" s="1"/>
  <c r="AM35" i="3"/>
  <c r="AO92" i="3"/>
  <c r="AN33" i="3"/>
  <c r="AP109" i="3"/>
  <c r="AP162" i="3"/>
  <c r="AQ162" i="3" s="1"/>
  <c r="AP48" i="3"/>
  <c r="AP30" i="3"/>
  <c r="AQ30" i="3" s="1"/>
  <c r="AP20" i="3"/>
  <c r="AQ20" i="3" s="1"/>
  <c r="AP19" i="3"/>
  <c r="AQ19" i="3" s="1"/>
  <c r="AP18" i="3"/>
  <c r="AP92" i="3" s="1"/>
  <c r="AQ16" i="3"/>
  <c r="AN128" i="3"/>
  <c r="AN175" i="3"/>
  <c r="AQ18" i="3"/>
  <c r="AO32" i="3"/>
  <c r="AO33" i="3" s="1"/>
  <c r="AO136" i="3"/>
  <c r="AP115" i="3"/>
  <c r="AQ115" i="3" s="1"/>
  <c r="AO22" i="3"/>
  <c r="AO116" i="3" s="1"/>
  <c r="AP31" i="3"/>
  <c r="AP95" i="3"/>
  <c r="AP83" i="3"/>
  <c r="AP84" i="3" s="1"/>
  <c r="AP29" i="3" s="1"/>
  <c r="AO160" i="3" l="1"/>
  <c r="AO96" i="3"/>
  <c r="AO97" i="3" s="1"/>
  <c r="AO98" i="3" s="1"/>
  <c r="AO40" i="3" s="1"/>
  <c r="AO44" i="3" s="1"/>
  <c r="AO35" i="3"/>
  <c r="AP116" i="3"/>
  <c r="AQ116" i="3" s="1"/>
  <c r="AP22" i="3"/>
  <c r="AP163" i="3"/>
  <c r="AQ163" i="3" s="1"/>
  <c r="AP136" i="3"/>
  <c r="AM44" i="3"/>
  <c r="AO175" i="3"/>
  <c r="AO128" i="3"/>
  <c r="AP171" i="3"/>
  <c r="AQ171" i="3" s="1"/>
  <c r="AQ109" i="3"/>
  <c r="AM43" i="3"/>
  <c r="AM137" i="3"/>
  <c r="AM42" i="3"/>
  <c r="AQ22" i="3"/>
  <c r="AO93" i="3"/>
  <c r="AO88" i="3" s="1"/>
  <c r="AO23" i="3" s="1"/>
  <c r="AO94" i="3"/>
  <c r="AP122" i="3"/>
  <c r="AP110" i="3"/>
  <c r="AP33" i="3"/>
  <c r="AP32" i="3"/>
  <c r="AQ32" i="3" s="1"/>
  <c r="AQ214" i="3"/>
  <c r="AN160" i="3"/>
  <c r="AN179" i="3" s="1"/>
  <c r="AN96" i="3"/>
  <c r="AN97" i="3" s="1"/>
  <c r="AN98" i="3" s="1"/>
  <c r="AN40" i="3" s="1"/>
  <c r="AN44" i="3" s="1"/>
  <c r="AN35" i="3"/>
  <c r="AM206" i="3"/>
  <c r="AM213" i="3"/>
  <c r="AM202" i="3"/>
  <c r="AM198" i="3"/>
  <c r="AM200" i="3" s="1"/>
  <c r="AQ136" i="3" l="1"/>
  <c r="AO42" i="3"/>
  <c r="AO43" i="3"/>
  <c r="AN43" i="3"/>
  <c r="AN42" i="3"/>
  <c r="AN213" i="3"/>
  <c r="AN202" i="3"/>
  <c r="AN206" i="3"/>
  <c r="AN198" i="3"/>
  <c r="AP35" i="3"/>
  <c r="AP160" i="3"/>
  <c r="AP96" i="3"/>
  <c r="AP97" i="3" s="1"/>
  <c r="AP98" i="3" s="1"/>
  <c r="AP40" i="3" s="1"/>
  <c r="AP44" i="3" s="1"/>
  <c r="AN199" i="3"/>
  <c r="AN200" i="3" s="1"/>
  <c r="AM108" i="3"/>
  <c r="AM207" i="3"/>
  <c r="AP175" i="3"/>
  <c r="AQ175" i="3" s="1"/>
  <c r="AQ122" i="3"/>
  <c r="AP128" i="3"/>
  <c r="AQ128" i="3" s="1"/>
  <c r="AP172" i="3"/>
  <c r="AQ172" i="3" s="1"/>
  <c r="AQ110" i="3"/>
  <c r="AN137" i="3"/>
  <c r="AM140" i="3"/>
  <c r="AM142" i="3" s="1"/>
  <c r="AM143" i="3" s="1"/>
  <c r="AP94" i="3"/>
  <c r="AP93" i="3"/>
  <c r="AP88" i="3" s="1"/>
  <c r="AP23" i="3" s="1"/>
  <c r="AQ23" i="3" s="1"/>
  <c r="AQ25" i="3" s="1"/>
  <c r="AO179" i="3"/>
  <c r="AQ29" i="3" l="1"/>
  <c r="AQ31" i="3"/>
  <c r="AQ33" i="3" s="1"/>
  <c r="AO199" i="3"/>
  <c r="AN207" i="3"/>
  <c r="AN108" i="3"/>
  <c r="AP42" i="3"/>
  <c r="AP43" i="3"/>
  <c r="AQ40" i="3"/>
  <c r="AO202" i="3"/>
  <c r="AO198" i="3"/>
  <c r="AO213" i="3"/>
  <c r="AO206" i="3"/>
  <c r="AO137" i="3"/>
  <c r="AN140" i="3"/>
  <c r="AN142" i="3" s="1"/>
  <c r="AN143" i="3" s="1"/>
  <c r="AM201" i="3"/>
  <c r="AM114" i="3"/>
  <c r="AM120" i="3" s="1"/>
  <c r="AM144" i="3" s="1"/>
  <c r="AP179" i="3"/>
  <c r="AP206" i="3" l="1"/>
  <c r="AP202" i="3"/>
  <c r="AP198" i="3"/>
  <c r="AP213" i="3"/>
  <c r="AO200" i="3"/>
  <c r="AN144" i="3"/>
  <c r="AQ35" i="3"/>
  <c r="AQ160" i="3"/>
  <c r="AQ179" i="3" s="1"/>
  <c r="AP137" i="3"/>
  <c r="AO140" i="3"/>
  <c r="AO142" i="3" s="1"/>
  <c r="AO143" i="3" s="1"/>
  <c r="AN201" i="3"/>
  <c r="AN114" i="3"/>
  <c r="AN120" i="3" s="1"/>
  <c r="AQ198" i="3" l="1"/>
  <c r="AQ202" i="3"/>
  <c r="AQ46" i="3"/>
  <c r="AQ44" i="3" s="1"/>
  <c r="AQ45" i="3"/>
  <c r="AQ42" i="3" s="1"/>
  <c r="AQ137" i="3"/>
  <c r="AQ140" i="3" s="1"/>
  <c r="AP140" i="3"/>
  <c r="AP142" i="3" s="1"/>
  <c r="AO207" i="3"/>
  <c r="AP199" i="3"/>
  <c r="AP200" i="3" s="1"/>
  <c r="AO108" i="3"/>
  <c r="AO114" i="3" l="1"/>
  <c r="AO120" i="3" s="1"/>
  <c r="AO144" i="3" s="1"/>
  <c r="AO201" i="3"/>
  <c r="AP143" i="3"/>
  <c r="AQ142" i="3"/>
  <c r="AQ143" i="3" s="1"/>
  <c r="AP108" i="3"/>
  <c r="AQ43" i="3"/>
  <c r="AP201" i="3" l="1"/>
  <c r="AQ108" i="3"/>
  <c r="AP114" i="3"/>
  <c r="AP120" i="3" s="1"/>
  <c r="AP144" i="3" s="1"/>
  <c r="AP207" i="3"/>
  <c r="AQ201" i="3" l="1"/>
  <c r="AQ114" i="3"/>
  <c r="AQ120" i="3" s="1"/>
  <c r="AQ144" i="3" s="1"/>
  <c r="O175" i="3" l="1"/>
  <c r="Q62" i="3" l="1"/>
  <c r="Q60" i="3"/>
  <c r="N186" i="3"/>
  <c r="R168" i="3"/>
  <c r="Q138" i="3"/>
  <c r="P212" i="3" l="1"/>
  <c r="Q22" i="3" l="1"/>
  <c r="Q116" i="3" s="1"/>
  <c r="Q21" i="3"/>
  <c r="Q163" i="3"/>
  <c r="S212" i="3"/>
  <c r="T212" i="3" s="1"/>
  <c r="U212" i="3" s="1"/>
  <c r="V212" i="3" s="1"/>
  <c r="X212" i="3" s="1"/>
  <c r="Y212" i="3" s="1"/>
  <c r="Z212" i="3" s="1"/>
  <c r="AA212" i="3" s="1"/>
  <c r="AC212" i="3" s="1"/>
  <c r="AD212" i="3" s="1"/>
  <c r="AE212" i="3" s="1"/>
  <c r="AF212" i="3" s="1"/>
  <c r="AH212" i="3" s="1"/>
  <c r="AI212" i="3" s="1"/>
  <c r="AJ212" i="3" s="1"/>
  <c r="AK212" i="3" s="1"/>
  <c r="S211" i="3"/>
  <c r="T211" i="3" s="1"/>
  <c r="U211" i="3" s="1"/>
  <c r="O212" i="3"/>
  <c r="N212" i="3"/>
  <c r="J212" i="3"/>
  <c r="K212" i="3"/>
  <c r="I212" i="3"/>
  <c r="F212" i="3"/>
  <c r="E212" i="3"/>
  <c r="S47" i="3" l="1"/>
  <c r="T47" i="3" l="1"/>
  <c r="U47" i="3" s="1"/>
  <c r="V47" i="3" l="1"/>
  <c r="W47" i="3"/>
  <c r="X47" i="3" l="1"/>
  <c r="Y47" i="3" l="1"/>
  <c r="W204" i="3"/>
  <c r="AB204" i="3" s="1"/>
  <c r="AG204" i="3" s="1"/>
  <c r="AL204" i="3" s="1"/>
  <c r="AQ204" i="3" s="1"/>
  <c r="C254" i="3"/>
  <c r="C261" i="3" s="1"/>
  <c r="C265" i="3" s="1"/>
  <c r="P150" i="3"/>
  <c r="Q150" i="3" s="1"/>
  <c r="O150" i="3"/>
  <c r="N150" i="3"/>
  <c r="K150" i="3"/>
  <c r="J150" i="3"/>
  <c r="I150" i="3"/>
  <c r="F150" i="3"/>
  <c r="E150" i="3"/>
  <c r="E149" i="3"/>
  <c r="F149" i="3"/>
  <c r="AQ205" i="3" l="1"/>
  <c r="Z47" i="3"/>
  <c r="R116" i="3"/>
  <c r="N201" i="3"/>
  <c r="N197" i="3"/>
  <c r="Q139" i="3"/>
  <c r="S139" i="3" s="1"/>
  <c r="P114" i="3"/>
  <c r="Q123" i="3"/>
  <c r="R123" i="3" s="1"/>
  <c r="Q111" i="3"/>
  <c r="Q173" i="3" s="1"/>
  <c r="P140" i="3"/>
  <c r="P142" i="3" s="1"/>
  <c r="Q135" i="3"/>
  <c r="R135" i="3" s="1"/>
  <c r="R138" i="3"/>
  <c r="S135" i="3" l="1"/>
  <c r="AA47" i="3"/>
  <c r="AB47" i="3" s="1"/>
  <c r="S22" i="3"/>
  <c r="S116" i="3" s="1"/>
  <c r="S138" i="3"/>
  <c r="T138" i="3" s="1"/>
  <c r="U138" i="3" s="1"/>
  <c r="V138" i="3" s="1"/>
  <c r="X138" i="3" s="1"/>
  <c r="Y138" i="3" s="1"/>
  <c r="Z138" i="3" s="1"/>
  <c r="AA138" i="3" s="1"/>
  <c r="Q176" i="3"/>
  <c r="R111" i="3"/>
  <c r="R136" i="3"/>
  <c r="S136" i="3" s="1"/>
  <c r="R139" i="3"/>
  <c r="T139" i="3"/>
  <c r="AC47" i="3" l="1"/>
  <c r="W138" i="3"/>
  <c r="AC138" i="3"/>
  <c r="AD138" i="3" s="1"/>
  <c r="AE138" i="3" s="1"/>
  <c r="AF138" i="3" s="1"/>
  <c r="AB138" i="3"/>
  <c r="W136" i="3"/>
  <c r="X136" i="3" s="1"/>
  <c r="Y136" i="3" s="1"/>
  <c r="Z136" i="3" s="1"/>
  <c r="AA136" i="3" s="1"/>
  <c r="U139" i="3"/>
  <c r="AD47" i="3" l="1"/>
  <c r="AH138" i="3"/>
  <c r="AI138" i="3" s="1"/>
  <c r="AJ138" i="3" s="1"/>
  <c r="AK138" i="3" s="1"/>
  <c r="AL138" i="3" s="1"/>
  <c r="AG138" i="3"/>
  <c r="AB136" i="3"/>
  <c r="AC136" i="3" s="1"/>
  <c r="AD136" i="3" s="1"/>
  <c r="AE136" i="3" s="1"/>
  <c r="AF136" i="3" s="1"/>
  <c r="V139" i="3"/>
  <c r="W139" i="3" s="1"/>
  <c r="AE47" i="3" l="1"/>
  <c r="AG136" i="3"/>
  <c r="AH136" i="3" s="1"/>
  <c r="AI136" i="3" s="1"/>
  <c r="AJ136" i="3" s="1"/>
  <c r="AK136" i="3" s="1"/>
  <c r="AL136" i="3" s="1"/>
  <c r="X139" i="3"/>
  <c r="AF47" i="3" l="1"/>
  <c r="AG47" i="3"/>
  <c r="Y139" i="3"/>
  <c r="AH47" i="3" l="1"/>
  <c r="Z139" i="3"/>
  <c r="AI47" i="3" l="1"/>
  <c r="AA139" i="3"/>
  <c r="AB139" i="3" s="1"/>
  <c r="AJ47" i="3" l="1"/>
  <c r="AC139" i="3"/>
  <c r="AK47" i="3" l="1"/>
  <c r="AL47" i="3"/>
  <c r="AD139" i="3"/>
  <c r="AE139" i="3" l="1"/>
  <c r="AF139" i="3" l="1"/>
  <c r="AG139" i="3" s="1"/>
  <c r="AH139" i="3" l="1"/>
  <c r="AI139" i="3" l="1"/>
  <c r="AJ139" i="3" l="1"/>
  <c r="AK139" i="3" l="1"/>
  <c r="AL139" i="3" l="1"/>
  <c r="I47" i="3"/>
  <c r="D47" i="3"/>
  <c r="I197" i="3"/>
  <c r="P201" i="3" l="1"/>
  <c r="C222" i="3" s="1"/>
  <c r="O201" i="3"/>
  <c r="L201" i="3"/>
  <c r="K201" i="3"/>
  <c r="J201" i="3"/>
  <c r="I201" i="3"/>
  <c r="G201" i="3"/>
  <c r="F201" i="3"/>
  <c r="E201" i="3"/>
  <c r="D201" i="3"/>
  <c r="R165" i="3" l="1"/>
  <c r="V211" i="3"/>
  <c r="X211" i="3" s="1"/>
  <c r="Y211" i="3" s="1"/>
  <c r="Z211" i="3" s="1"/>
  <c r="AA211" i="3" s="1"/>
  <c r="AC211" i="3" s="1"/>
  <c r="AD211" i="3" s="1"/>
  <c r="AE211" i="3" s="1"/>
  <c r="AF211" i="3" s="1"/>
  <c r="AH211" i="3" s="1"/>
  <c r="AI211" i="3" s="1"/>
  <c r="AJ211" i="3" s="1"/>
  <c r="AK211" i="3" s="1"/>
  <c r="N211" i="3"/>
  <c r="I211" i="3"/>
  <c r="T135" i="3"/>
  <c r="Q134" i="3"/>
  <c r="P128" i="3"/>
  <c r="P143" i="3" s="1"/>
  <c r="Q126" i="3"/>
  <c r="Q125" i="3"/>
  <c r="Q124" i="3"/>
  <c r="S123" i="3"/>
  <c r="Q119" i="3"/>
  <c r="Q118" i="3"/>
  <c r="Q117" i="3"/>
  <c r="O114" i="3"/>
  <c r="P120" i="3"/>
  <c r="N114" i="3"/>
  <c r="N120" i="3" s="1"/>
  <c r="Q113" i="3"/>
  <c r="Q112" i="3"/>
  <c r="S111" i="3"/>
  <c r="O153" i="3"/>
  <c r="N153" i="3"/>
  <c r="K153" i="3"/>
  <c r="J153" i="3"/>
  <c r="I153" i="3"/>
  <c r="N149" i="3"/>
  <c r="N152" i="3" s="1"/>
  <c r="F153" i="3"/>
  <c r="E153" i="3"/>
  <c r="P149" i="3"/>
  <c r="P152" i="3" s="1"/>
  <c r="O149" i="3"/>
  <c r="O152" i="3" s="1"/>
  <c r="K149" i="3"/>
  <c r="K152" i="3" s="1"/>
  <c r="J149" i="3"/>
  <c r="J152" i="3" s="1"/>
  <c r="I149" i="3"/>
  <c r="I152" i="3" s="1"/>
  <c r="F152" i="3"/>
  <c r="E152" i="3"/>
  <c r="T22" i="3" l="1"/>
  <c r="T116" i="3" s="1"/>
  <c r="U135" i="3"/>
  <c r="S112" i="3"/>
  <c r="T112" i="3" s="1"/>
  <c r="U112" i="3" s="1"/>
  <c r="V112" i="3" s="1"/>
  <c r="R112" i="3"/>
  <c r="S119" i="3"/>
  <c r="T119" i="3" s="1"/>
  <c r="U119" i="3" s="1"/>
  <c r="V119" i="3" s="1"/>
  <c r="R119" i="3"/>
  <c r="S126" i="3"/>
  <c r="T126" i="3" s="1"/>
  <c r="U126" i="3" s="1"/>
  <c r="V126" i="3" s="1"/>
  <c r="R126" i="3"/>
  <c r="T111" i="3"/>
  <c r="S173" i="3"/>
  <c r="S118" i="3"/>
  <c r="T118" i="3" s="1"/>
  <c r="U118" i="3" s="1"/>
  <c r="V118" i="3" s="1"/>
  <c r="R118" i="3"/>
  <c r="S125" i="3"/>
  <c r="R125" i="3"/>
  <c r="Q177" i="3"/>
  <c r="S113" i="3"/>
  <c r="R113" i="3"/>
  <c r="Q174" i="3"/>
  <c r="T123" i="3"/>
  <c r="S176" i="3"/>
  <c r="S117" i="3"/>
  <c r="T117" i="3" s="1"/>
  <c r="U117" i="3" s="1"/>
  <c r="V117" i="3" s="1"/>
  <c r="R117" i="3"/>
  <c r="S124" i="3"/>
  <c r="T124" i="3" s="1"/>
  <c r="U124" i="3" s="1"/>
  <c r="V124" i="3" s="1"/>
  <c r="R124" i="3"/>
  <c r="S134" i="3"/>
  <c r="T134" i="3" s="1"/>
  <c r="U134" i="3" s="1"/>
  <c r="V134" i="3" s="1"/>
  <c r="R134" i="3"/>
  <c r="Q149" i="3"/>
  <c r="S150" i="3"/>
  <c r="Q153" i="3"/>
  <c r="P153" i="3"/>
  <c r="U22" i="3" l="1"/>
  <c r="U116" i="3" s="1"/>
  <c r="T113" i="3"/>
  <c r="S174" i="3"/>
  <c r="X134" i="3"/>
  <c r="Y134" i="3" s="1"/>
  <c r="Z134" i="3" s="1"/>
  <c r="AA134" i="3" s="1"/>
  <c r="W134" i="3"/>
  <c r="X117" i="3"/>
  <c r="Y117" i="3" s="1"/>
  <c r="Z117" i="3" s="1"/>
  <c r="AA117" i="3" s="1"/>
  <c r="W117" i="3"/>
  <c r="X118" i="3"/>
  <c r="Y118" i="3" s="1"/>
  <c r="Z118" i="3" s="1"/>
  <c r="AA118" i="3" s="1"/>
  <c r="W118" i="3"/>
  <c r="X126" i="3"/>
  <c r="Y126" i="3" s="1"/>
  <c r="Z126" i="3" s="1"/>
  <c r="AA126" i="3" s="1"/>
  <c r="W126" i="3"/>
  <c r="X112" i="3"/>
  <c r="Y112" i="3" s="1"/>
  <c r="Z112" i="3" s="1"/>
  <c r="AA112" i="3" s="1"/>
  <c r="W112" i="3"/>
  <c r="X124" i="3"/>
  <c r="Y124" i="3" s="1"/>
  <c r="Z124" i="3" s="1"/>
  <c r="AA124" i="3" s="1"/>
  <c r="W124" i="3"/>
  <c r="U123" i="3"/>
  <c r="T176" i="3"/>
  <c r="T125" i="3"/>
  <c r="S177" i="3"/>
  <c r="U111" i="3"/>
  <c r="T173" i="3"/>
  <c r="X119" i="3"/>
  <c r="Y119" i="3" s="1"/>
  <c r="Z119" i="3" s="1"/>
  <c r="AA119" i="3" s="1"/>
  <c r="W119" i="3"/>
  <c r="V135" i="3"/>
  <c r="Q152" i="3"/>
  <c r="S149" i="3"/>
  <c r="T150" i="3"/>
  <c r="S153" i="3"/>
  <c r="V22" i="3" l="1"/>
  <c r="X135" i="3"/>
  <c r="W135" i="3"/>
  <c r="V123" i="3"/>
  <c r="U176" i="3"/>
  <c r="AC134" i="3"/>
  <c r="AD134" i="3" s="1"/>
  <c r="AE134" i="3" s="1"/>
  <c r="AF134" i="3" s="1"/>
  <c r="AB134" i="3"/>
  <c r="AC124" i="3"/>
  <c r="AD124" i="3" s="1"/>
  <c r="AE124" i="3" s="1"/>
  <c r="AF124" i="3" s="1"/>
  <c r="AB124" i="3"/>
  <c r="AC118" i="3"/>
  <c r="AD118" i="3" s="1"/>
  <c r="AE118" i="3" s="1"/>
  <c r="AF118" i="3" s="1"/>
  <c r="AB118" i="3"/>
  <c r="AC117" i="3"/>
  <c r="AD117" i="3" s="1"/>
  <c r="AE117" i="3" s="1"/>
  <c r="AF117" i="3" s="1"/>
  <c r="AB117" i="3"/>
  <c r="U113" i="3"/>
  <c r="T174" i="3"/>
  <c r="V111" i="3"/>
  <c r="U173" i="3"/>
  <c r="AC126" i="3"/>
  <c r="AD126" i="3" s="1"/>
  <c r="AE126" i="3" s="1"/>
  <c r="AF126" i="3" s="1"/>
  <c r="AB126" i="3"/>
  <c r="AC119" i="3"/>
  <c r="AD119" i="3" s="1"/>
  <c r="AE119" i="3" s="1"/>
  <c r="AF119" i="3" s="1"/>
  <c r="AB119" i="3"/>
  <c r="U125" i="3"/>
  <c r="T177" i="3"/>
  <c r="AC112" i="3"/>
  <c r="AD112" i="3" s="1"/>
  <c r="AE112" i="3" s="1"/>
  <c r="AF112" i="3" s="1"/>
  <c r="AB112" i="3"/>
  <c r="T149" i="3"/>
  <c r="S152" i="3"/>
  <c r="U150" i="3"/>
  <c r="T153" i="3"/>
  <c r="V116" i="3" l="1"/>
  <c r="W116" i="3" s="1"/>
  <c r="V125" i="3"/>
  <c r="U177" i="3"/>
  <c r="AH126" i="3"/>
  <c r="AI126" i="3" s="1"/>
  <c r="AJ126" i="3" s="1"/>
  <c r="AK126" i="3" s="1"/>
  <c r="AL126" i="3" s="1"/>
  <c r="AG126" i="3"/>
  <c r="V113" i="3"/>
  <c r="U174" i="3"/>
  <c r="AH118" i="3"/>
  <c r="AI118" i="3" s="1"/>
  <c r="AJ118" i="3" s="1"/>
  <c r="AK118" i="3" s="1"/>
  <c r="AL118" i="3" s="1"/>
  <c r="AG118" i="3"/>
  <c r="Y135" i="3"/>
  <c r="AH112" i="3"/>
  <c r="AI112" i="3" s="1"/>
  <c r="AJ112" i="3" s="1"/>
  <c r="AK112" i="3" s="1"/>
  <c r="AL112" i="3" s="1"/>
  <c r="AG112" i="3"/>
  <c r="AH119" i="3"/>
  <c r="AI119" i="3" s="1"/>
  <c r="AJ119" i="3" s="1"/>
  <c r="AK119" i="3" s="1"/>
  <c r="AL119" i="3" s="1"/>
  <c r="AG119" i="3"/>
  <c r="X111" i="3"/>
  <c r="V173" i="3"/>
  <c r="W173" i="3" s="1"/>
  <c r="W111" i="3"/>
  <c r="AH117" i="3"/>
  <c r="AI117" i="3" s="1"/>
  <c r="AJ117" i="3" s="1"/>
  <c r="AK117" i="3" s="1"/>
  <c r="AL117" i="3" s="1"/>
  <c r="AG117" i="3"/>
  <c r="AH124" i="3"/>
  <c r="AI124" i="3" s="1"/>
  <c r="AJ124" i="3" s="1"/>
  <c r="AK124" i="3" s="1"/>
  <c r="AL124" i="3" s="1"/>
  <c r="AG124" i="3"/>
  <c r="AH134" i="3"/>
  <c r="AI134" i="3" s="1"/>
  <c r="AJ134" i="3" s="1"/>
  <c r="AK134" i="3" s="1"/>
  <c r="AL134" i="3" s="1"/>
  <c r="AG134" i="3"/>
  <c r="X123" i="3"/>
  <c r="V176" i="3"/>
  <c r="W176" i="3" s="1"/>
  <c r="W123" i="3"/>
  <c r="U149" i="3"/>
  <c r="T152" i="3"/>
  <c r="V150" i="3"/>
  <c r="U153" i="3"/>
  <c r="X22" i="3" l="1"/>
  <c r="X116" i="3" s="1"/>
  <c r="Y22" i="3" s="1"/>
  <c r="Y116" i="3" s="1"/>
  <c r="Y111" i="3"/>
  <c r="X173" i="3"/>
  <c r="X125" i="3"/>
  <c r="W125" i="3"/>
  <c r="V177" i="3"/>
  <c r="W177" i="3" s="1"/>
  <c r="Z135" i="3"/>
  <c r="X113" i="3"/>
  <c r="W113" i="3"/>
  <c r="V174" i="3"/>
  <c r="W174" i="3" s="1"/>
  <c r="Y123" i="3"/>
  <c r="X176" i="3"/>
  <c r="V149" i="3"/>
  <c r="U152" i="3"/>
  <c r="X150" i="3"/>
  <c r="V153" i="3"/>
  <c r="Z22" i="3" l="1"/>
  <c r="Z116" i="3" s="1"/>
  <c r="Y125" i="3"/>
  <c r="X177" i="3"/>
  <c r="AA135" i="3"/>
  <c r="Z111" i="3"/>
  <c r="Y173" i="3"/>
  <c r="Z123" i="3"/>
  <c r="Y176" i="3"/>
  <c r="Y113" i="3"/>
  <c r="X174" i="3"/>
  <c r="X149" i="3"/>
  <c r="V152" i="3"/>
  <c r="Y150" i="3"/>
  <c r="X153" i="3"/>
  <c r="AA22" i="3" l="1"/>
  <c r="AA116" i="3" s="1"/>
  <c r="Z113" i="3"/>
  <c r="Y174" i="3"/>
  <c r="AC135" i="3"/>
  <c r="AB135" i="3"/>
  <c r="AA111" i="3"/>
  <c r="Z173" i="3"/>
  <c r="AA123" i="3"/>
  <c r="Z176" i="3"/>
  <c r="Z125" i="3"/>
  <c r="Y177" i="3"/>
  <c r="Y149" i="3"/>
  <c r="X152" i="3"/>
  <c r="Y153" i="3"/>
  <c r="Z150" i="3"/>
  <c r="AB116" i="3" l="1"/>
  <c r="AC22" i="3"/>
  <c r="AC123" i="3"/>
  <c r="AB123" i="3"/>
  <c r="AA176" i="3"/>
  <c r="AB176" i="3" s="1"/>
  <c r="AA113" i="3"/>
  <c r="Z174" i="3"/>
  <c r="AA125" i="3"/>
  <c r="Z177" i="3"/>
  <c r="AD135" i="3"/>
  <c r="AC111" i="3"/>
  <c r="AB111" i="3"/>
  <c r="AA173" i="3"/>
  <c r="AB173" i="3" s="1"/>
  <c r="Z149" i="3"/>
  <c r="Y152" i="3"/>
  <c r="AA150" i="3"/>
  <c r="Z153" i="3"/>
  <c r="AC116" i="3" l="1"/>
  <c r="AD22" i="3" s="1"/>
  <c r="AD123" i="3"/>
  <c r="AC176" i="3"/>
  <c r="AC113" i="3"/>
  <c r="AA174" i="3"/>
  <c r="AB174" i="3" s="1"/>
  <c r="AB113" i="3"/>
  <c r="AD111" i="3"/>
  <c r="AC173" i="3"/>
  <c r="AC125" i="3"/>
  <c r="AA177" i="3"/>
  <c r="AB177" i="3" s="1"/>
  <c r="AB125" i="3"/>
  <c r="AE135" i="3"/>
  <c r="AA149" i="3"/>
  <c r="Z152" i="3"/>
  <c r="AC150" i="3"/>
  <c r="AA153" i="3"/>
  <c r="AD116" i="3" l="1"/>
  <c r="AE22" i="3" s="1"/>
  <c r="AE116" i="3" s="1"/>
  <c r="AF135" i="3"/>
  <c r="AD113" i="3"/>
  <c r="AC174" i="3"/>
  <c r="AE123" i="3"/>
  <c r="AD176" i="3"/>
  <c r="AE111" i="3"/>
  <c r="AD173" i="3"/>
  <c r="AD125" i="3"/>
  <c r="AC177" i="3"/>
  <c r="AC149" i="3"/>
  <c r="AA152" i="3"/>
  <c r="AD150" i="3"/>
  <c r="AC153" i="3"/>
  <c r="AF22" i="3" l="1"/>
  <c r="AF116" i="3" s="1"/>
  <c r="AE125" i="3"/>
  <c r="AD177" i="3"/>
  <c r="AE113" i="3"/>
  <c r="AD174" i="3"/>
  <c r="AF123" i="3"/>
  <c r="AE176" i="3"/>
  <c r="AF111" i="3"/>
  <c r="AE173" i="3"/>
  <c r="AH135" i="3"/>
  <c r="AG135" i="3"/>
  <c r="AC152" i="3"/>
  <c r="AD149" i="3"/>
  <c r="AE150" i="3"/>
  <c r="AD153" i="3"/>
  <c r="AG116" i="3" l="1"/>
  <c r="AH22" i="3"/>
  <c r="AI135" i="3"/>
  <c r="AH123" i="3"/>
  <c r="AG123" i="3"/>
  <c r="AF176" i="3"/>
  <c r="AG176" i="3" s="1"/>
  <c r="AF125" i="3"/>
  <c r="AE177" i="3"/>
  <c r="AH111" i="3"/>
  <c r="AG111" i="3"/>
  <c r="AF173" i="3"/>
  <c r="AG173" i="3" s="1"/>
  <c r="AF113" i="3"/>
  <c r="AE174" i="3"/>
  <c r="AE149" i="3"/>
  <c r="AD152" i="3"/>
  <c r="AF150" i="3"/>
  <c r="AE153" i="3"/>
  <c r="AH116" i="3" l="1"/>
  <c r="AI22" i="3" s="1"/>
  <c r="AI116" i="3" s="1"/>
  <c r="AH113" i="3"/>
  <c r="AG113" i="3"/>
  <c r="AF174" i="3"/>
  <c r="AG174" i="3" s="1"/>
  <c r="AI111" i="3"/>
  <c r="AH173" i="3"/>
  <c r="AJ135" i="3"/>
  <c r="AI123" i="3"/>
  <c r="AH176" i="3"/>
  <c r="AH125" i="3"/>
  <c r="AF177" i="3"/>
  <c r="AG177" i="3" s="1"/>
  <c r="AG125" i="3"/>
  <c r="AF149" i="3"/>
  <c r="AE152" i="3"/>
  <c r="AH150" i="3"/>
  <c r="AF153" i="3"/>
  <c r="AJ22" i="3" l="1"/>
  <c r="AJ116" i="3"/>
  <c r="AK22" i="3" s="1"/>
  <c r="AI125" i="3"/>
  <c r="AH177" i="3"/>
  <c r="AK135" i="3"/>
  <c r="AI113" i="3"/>
  <c r="AH174" i="3"/>
  <c r="AJ123" i="3"/>
  <c r="AI176" i="3"/>
  <c r="AJ111" i="3"/>
  <c r="AI173" i="3"/>
  <c r="AH149" i="3"/>
  <c r="AF152" i="3"/>
  <c r="AI150" i="3"/>
  <c r="AH153" i="3"/>
  <c r="AK116" i="3" l="1"/>
  <c r="AL116" i="3" s="1"/>
  <c r="AK111" i="3"/>
  <c r="AJ173" i="3"/>
  <c r="AL135" i="3"/>
  <c r="AJ113" i="3"/>
  <c r="AI174" i="3"/>
  <c r="AK123" i="3"/>
  <c r="AJ176" i="3"/>
  <c r="AJ125" i="3"/>
  <c r="AI177" i="3"/>
  <c r="AI149" i="3"/>
  <c r="AH152" i="3"/>
  <c r="AJ150" i="3"/>
  <c r="AI153" i="3"/>
  <c r="AK113" i="3" l="1"/>
  <c r="AJ174" i="3"/>
  <c r="AK176" i="3"/>
  <c r="AL176" i="3" s="1"/>
  <c r="AL123" i="3"/>
  <c r="AK173" i="3"/>
  <c r="AL173" i="3" s="1"/>
  <c r="AL111" i="3"/>
  <c r="AK125" i="3"/>
  <c r="AJ177" i="3"/>
  <c r="AI152" i="3"/>
  <c r="AJ149" i="3"/>
  <c r="AK150" i="3"/>
  <c r="AK153" i="3" s="1"/>
  <c r="AJ153" i="3"/>
  <c r="AL113" i="3" l="1"/>
  <c r="AK174" i="3"/>
  <c r="AL174" i="3" s="1"/>
  <c r="AL125" i="3"/>
  <c r="AK177" i="3"/>
  <c r="AL177" i="3" s="1"/>
  <c r="AJ152" i="3"/>
  <c r="AK149" i="3"/>
  <c r="AK152" i="3" s="1"/>
  <c r="W24" i="3"/>
  <c r="R24" i="3"/>
  <c r="S100" i="3"/>
  <c r="T63" i="3"/>
  <c r="AL39" i="3"/>
  <c r="AL38" i="3"/>
  <c r="AL37" i="3"/>
  <c r="AL36" i="3"/>
  <c r="AI34" i="3"/>
  <c r="AJ34" i="3" s="1"/>
  <c r="AG39" i="3"/>
  <c r="AG38" i="3"/>
  <c r="AG37" i="3"/>
  <c r="AG36" i="3"/>
  <c r="AD34" i="3"/>
  <c r="AE34" i="3" s="1"/>
  <c r="AB39" i="3"/>
  <c r="AB38" i="3"/>
  <c r="AB37" i="3"/>
  <c r="AB36" i="3"/>
  <c r="Y34" i="3"/>
  <c r="Z34" i="3" s="1"/>
  <c r="AK34" i="3" l="1"/>
  <c r="AL34" i="3" s="1"/>
  <c r="AF34" i="3"/>
  <c r="AG34" i="3" s="1"/>
  <c r="AA34" i="3"/>
  <c r="AB34" i="3" s="1"/>
  <c r="T34" i="3" l="1"/>
  <c r="W39" i="3"/>
  <c r="W38" i="3"/>
  <c r="W37" i="3"/>
  <c r="W36" i="3"/>
  <c r="Q34" i="3"/>
  <c r="R34" i="3" l="1"/>
  <c r="Q141" i="3"/>
  <c r="U34" i="3"/>
  <c r="V34" i="3" s="1"/>
  <c r="Q46" i="3"/>
  <c r="Q194" i="3" s="1"/>
  <c r="Q197" i="3" s="1"/>
  <c r="Q45" i="3"/>
  <c r="S45" i="3" s="1"/>
  <c r="T100" i="3"/>
  <c r="U100" i="3" s="1"/>
  <c r="V100" i="3" s="1"/>
  <c r="X100" i="3" s="1"/>
  <c r="Y100" i="3" s="1"/>
  <c r="Z100" i="3" s="1"/>
  <c r="AA100" i="3" s="1"/>
  <c r="T87" i="3"/>
  <c r="U87" i="3" s="1"/>
  <c r="V87" i="3" s="1"/>
  <c r="X87" i="3" s="1"/>
  <c r="Y87" i="3" s="1"/>
  <c r="Z87" i="3" s="1"/>
  <c r="AA87" i="3" s="1"/>
  <c r="AC87" i="3" s="1"/>
  <c r="AD87" i="3" s="1"/>
  <c r="AE87" i="3" s="1"/>
  <c r="AF87" i="3" s="1"/>
  <c r="AI87" i="3" s="1"/>
  <c r="AJ87" i="3" s="1"/>
  <c r="AK87" i="3" s="1"/>
  <c r="S101" i="3"/>
  <c r="T101" i="3" s="1"/>
  <c r="U101" i="3" s="1"/>
  <c r="V101" i="3" s="1"/>
  <c r="X101" i="3" s="1"/>
  <c r="Y101" i="3" s="1"/>
  <c r="Z101" i="3" s="1"/>
  <c r="AA101" i="3" s="1"/>
  <c r="AC101" i="3" s="1"/>
  <c r="Y89" i="3"/>
  <c r="Z89" i="3" s="1"/>
  <c r="AA89" i="3" s="1"/>
  <c r="AC89" i="3" s="1"/>
  <c r="AD89" i="3" s="1"/>
  <c r="AE89" i="3" s="1"/>
  <c r="AF89" i="3" s="1"/>
  <c r="AH89" i="3" s="1"/>
  <c r="AI89" i="3" s="1"/>
  <c r="AJ89" i="3" s="1"/>
  <c r="AK89" i="3" s="1"/>
  <c r="T89" i="3"/>
  <c r="U89" i="3" s="1"/>
  <c r="V89" i="3" s="1"/>
  <c r="S86" i="3"/>
  <c r="Y85" i="3"/>
  <c r="T85" i="3"/>
  <c r="AI71" i="3"/>
  <c r="AJ71" i="3" s="1"/>
  <c r="AK71" i="3" s="1"/>
  <c r="AD71" i="3"/>
  <c r="AE71" i="3" s="1"/>
  <c r="AF71" i="3" s="1"/>
  <c r="Y71" i="3"/>
  <c r="Z71" i="3" s="1"/>
  <c r="T71" i="3"/>
  <c r="V71" i="3" s="1"/>
  <c r="AD63" i="3"/>
  <c r="AE63" i="3" s="1"/>
  <c r="AF63" i="3" s="1"/>
  <c r="AI63" i="3" s="1"/>
  <c r="AJ63" i="3" s="1"/>
  <c r="AK63" i="3" s="1"/>
  <c r="Y63" i="3"/>
  <c r="Z63" i="3" s="1"/>
  <c r="AA63" i="3" s="1"/>
  <c r="Y55" i="3"/>
  <c r="U69" i="3"/>
  <c r="V69" i="3" s="1"/>
  <c r="Y69" i="3" s="1"/>
  <c r="Z69" i="3" s="1"/>
  <c r="AA69" i="3" s="1"/>
  <c r="AC69" i="3" s="1"/>
  <c r="AD69" i="3" s="1"/>
  <c r="AE69" i="3" s="1"/>
  <c r="AF69" i="3" s="1"/>
  <c r="AH69" i="3" s="1"/>
  <c r="AI69" i="3" s="1"/>
  <c r="AJ69" i="3" s="1"/>
  <c r="AK69" i="3" s="1"/>
  <c r="U61" i="3"/>
  <c r="V53" i="3"/>
  <c r="Q52" i="3"/>
  <c r="Q54" i="3" s="1"/>
  <c r="M16" i="3"/>
  <c r="M25" i="3" s="1"/>
  <c r="R39" i="3"/>
  <c r="R38" i="3"/>
  <c r="R37" i="3"/>
  <c r="R28" i="3"/>
  <c r="R27" i="3"/>
  <c r="R26" i="3"/>
  <c r="P48" i="3"/>
  <c r="Q78" i="3"/>
  <c r="S78" i="3" s="1"/>
  <c r="T78" i="3" s="1"/>
  <c r="U78" i="3" s="1"/>
  <c r="V78" i="3" s="1"/>
  <c r="X78" i="3" s="1"/>
  <c r="Y78" i="3" s="1"/>
  <c r="Z78" i="3" s="1"/>
  <c r="AA78" i="3" s="1"/>
  <c r="AC78" i="3" s="1"/>
  <c r="AD78" i="3" s="1"/>
  <c r="AE78" i="3" s="1"/>
  <c r="S60" i="3"/>
  <c r="S62" i="3" s="1"/>
  <c r="N101" i="3"/>
  <c r="N100" i="3"/>
  <c r="P101" i="3"/>
  <c r="O101" i="3"/>
  <c r="P100" i="3"/>
  <c r="O100" i="3"/>
  <c r="L101" i="3"/>
  <c r="K101" i="3"/>
  <c r="J101" i="3"/>
  <c r="L100" i="3"/>
  <c r="K100" i="3"/>
  <c r="J100" i="3"/>
  <c r="I101" i="3"/>
  <c r="I100" i="3"/>
  <c r="G101" i="3"/>
  <c r="F101" i="3"/>
  <c r="G100" i="3"/>
  <c r="F100" i="3"/>
  <c r="E101" i="3"/>
  <c r="E100" i="3"/>
  <c r="T86" i="3" l="1"/>
  <c r="U86" i="3" s="1"/>
  <c r="V86" i="3" s="1"/>
  <c r="X86" i="3" s="1"/>
  <c r="S141" i="3"/>
  <c r="T141" i="3" s="1"/>
  <c r="U141" i="3" s="1"/>
  <c r="V141" i="3" s="1"/>
  <c r="R141" i="3"/>
  <c r="AF78" i="3"/>
  <c r="AH78" i="3" s="1"/>
  <c r="AI78" i="3" s="1"/>
  <c r="AJ78" i="3" s="1"/>
  <c r="AK78" i="3" s="1"/>
  <c r="W34" i="3"/>
  <c r="S52" i="3"/>
  <c r="V61" i="3"/>
  <c r="Y61" i="3" s="1"/>
  <c r="Z61" i="3" s="1"/>
  <c r="AA61" i="3" s="1"/>
  <c r="AC61" i="3" s="1"/>
  <c r="AD61" i="3" s="1"/>
  <c r="AE61" i="3" s="1"/>
  <c r="AF61" i="3" s="1"/>
  <c r="AH61" i="3" s="1"/>
  <c r="AI61" i="3" s="1"/>
  <c r="AJ61" i="3" s="1"/>
  <c r="AK61" i="3" s="1"/>
  <c r="Z55" i="3"/>
  <c r="AA55" i="3" s="1"/>
  <c r="AD55" i="3" s="1"/>
  <c r="AE55" i="3" s="1"/>
  <c r="AF55" i="3" s="1"/>
  <c r="AH55" i="3" s="1"/>
  <c r="AI55" i="3" s="1"/>
  <c r="AJ55" i="3" s="1"/>
  <c r="AK55" i="3" s="1"/>
  <c r="AD101" i="3"/>
  <c r="AE101" i="3" s="1"/>
  <c r="AF101" i="3" s="1"/>
  <c r="AH101" i="3" s="1"/>
  <c r="AI101" i="3" s="1"/>
  <c r="AJ101" i="3" s="1"/>
  <c r="AK101" i="3" s="1"/>
  <c r="AC100" i="3"/>
  <c r="AD100" i="3" s="1"/>
  <c r="AE100" i="3" s="1"/>
  <c r="AF100" i="3" s="1"/>
  <c r="AH100" i="3" s="1"/>
  <c r="AI100" i="3" s="1"/>
  <c r="AJ100" i="3" s="1"/>
  <c r="AK100" i="3" s="1"/>
  <c r="T45" i="3"/>
  <c r="S46" i="3"/>
  <c r="Z85" i="3"/>
  <c r="T90" i="3"/>
  <c r="U90" i="3" s="1"/>
  <c r="V90" i="3" s="1"/>
  <c r="Y90" i="3" s="1"/>
  <c r="Z90" i="3" s="1"/>
  <c r="AA90" i="3" s="1"/>
  <c r="AD90" i="3" s="1"/>
  <c r="AE90" i="3" s="1"/>
  <c r="AF90" i="3" s="1"/>
  <c r="AH90" i="3" s="1"/>
  <c r="AI90" i="3" s="1"/>
  <c r="AJ90" i="3" s="1"/>
  <c r="AK90" i="3" s="1"/>
  <c r="AI85" i="3"/>
  <c r="AA71" i="3"/>
  <c r="Y53" i="3"/>
  <c r="Z53" i="3" s="1"/>
  <c r="AA53" i="3" s="1"/>
  <c r="AC53" i="3" s="1"/>
  <c r="AD53" i="3" s="1"/>
  <c r="AE53" i="3" s="1"/>
  <c r="AF53" i="3" s="1"/>
  <c r="AH53" i="3" s="1"/>
  <c r="AI53" i="3" s="1"/>
  <c r="AJ53" i="3" s="1"/>
  <c r="AK53" i="3" s="1"/>
  <c r="T60" i="3"/>
  <c r="U60" i="3" s="1"/>
  <c r="AA85" i="3" l="1"/>
  <c r="Y86" i="3"/>
  <c r="T46" i="3"/>
  <c r="T194" i="3" s="1"/>
  <c r="S194" i="3"/>
  <c r="S197" i="3" s="1"/>
  <c r="X141" i="3"/>
  <c r="Y141" i="3" s="1"/>
  <c r="Z141" i="3" s="1"/>
  <c r="AA141" i="3" s="1"/>
  <c r="W141" i="3"/>
  <c r="V60" i="3"/>
  <c r="X60" i="3" s="1"/>
  <c r="Y60" i="3" s="1"/>
  <c r="U62" i="3"/>
  <c r="T62" i="3"/>
  <c r="T52" i="3"/>
  <c r="S54" i="3"/>
  <c r="AJ85" i="3"/>
  <c r="V85" i="3"/>
  <c r="V62" i="3" l="1"/>
  <c r="T197" i="3"/>
  <c r="AD85" i="3"/>
  <c r="Z86" i="3"/>
  <c r="AC141" i="3"/>
  <c r="AD141" i="3" s="1"/>
  <c r="AE141" i="3" s="1"/>
  <c r="AF141" i="3" s="1"/>
  <c r="AB141" i="3"/>
  <c r="X62" i="3"/>
  <c r="T54" i="3"/>
  <c r="U52" i="3"/>
  <c r="Z60" i="3"/>
  <c r="Y62" i="3"/>
  <c r="AK85" i="3"/>
  <c r="AE85" i="3" l="1"/>
  <c r="AA86" i="3"/>
  <c r="AH141" i="3"/>
  <c r="AI141" i="3" s="1"/>
  <c r="AJ141" i="3" s="1"/>
  <c r="AK141" i="3" s="1"/>
  <c r="AL141" i="3" s="1"/>
  <c r="AG141" i="3"/>
  <c r="V52" i="3"/>
  <c r="U54" i="3"/>
  <c r="AA60" i="3"/>
  <c r="Z62" i="3"/>
  <c r="AC86" i="3" l="1"/>
  <c r="AF85" i="3"/>
  <c r="X52" i="3"/>
  <c r="V54" i="3"/>
  <c r="AC60" i="3"/>
  <c r="AA62" i="3"/>
  <c r="AD86" i="3" l="1"/>
  <c r="AD60" i="3"/>
  <c r="AC62" i="3"/>
  <c r="Y52" i="3"/>
  <c r="X54" i="3"/>
  <c r="AE86" i="3" l="1"/>
  <c r="Y54" i="3"/>
  <c r="Z52" i="3"/>
  <c r="AE60" i="3"/>
  <c r="AD62" i="3"/>
  <c r="AF86" i="3" l="1"/>
  <c r="AF60" i="3"/>
  <c r="AE62" i="3"/>
  <c r="Z54" i="3"/>
  <c r="AA52" i="3"/>
  <c r="AH86" i="3" l="1"/>
  <c r="AA54" i="3"/>
  <c r="AC52" i="3"/>
  <c r="AH60" i="3"/>
  <c r="AF62" i="3"/>
  <c r="AI86" i="3" l="1"/>
  <c r="AI60" i="3"/>
  <c r="AH62" i="3"/>
  <c r="AC54" i="3"/>
  <c r="AD52" i="3"/>
  <c r="AJ86" i="3" l="1"/>
  <c r="AD54" i="3"/>
  <c r="AE52" i="3"/>
  <c r="AJ60" i="3"/>
  <c r="AI62" i="3"/>
  <c r="AK86" i="3" l="1"/>
  <c r="AK60" i="3"/>
  <c r="AK62" i="3" s="1"/>
  <c r="AJ62" i="3"/>
  <c r="AE54" i="3"/>
  <c r="AF52" i="3"/>
  <c r="Q132" i="3"/>
  <c r="Q131" i="3"/>
  <c r="Q130" i="3"/>
  <c r="Q129" i="3"/>
  <c r="Q127" i="3"/>
  <c r="R127" i="3" s="1"/>
  <c r="R129" i="3" l="1"/>
  <c r="S130" i="3"/>
  <c r="T130" i="3" s="1"/>
  <c r="U130" i="3" s="1"/>
  <c r="V130" i="3" s="1"/>
  <c r="R130" i="3"/>
  <c r="S131" i="3"/>
  <c r="T131" i="3" s="1"/>
  <c r="U131" i="3" s="1"/>
  <c r="V131" i="3" s="1"/>
  <c r="R131" i="3"/>
  <c r="S132" i="3"/>
  <c r="T132" i="3" s="1"/>
  <c r="U132" i="3" s="1"/>
  <c r="V132" i="3" s="1"/>
  <c r="R132" i="3"/>
  <c r="S129" i="3"/>
  <c r="T129" i="3" s="1"/>
  <c r="U129" i="3" s="1"/>
  <c r="V129" i="3" s="1"/>
  <c r="S127" i="3"/>
  <c r="T127" i="3" s="1"/>
  <c r="U127" i="3" s="1"/>
  <c r="V127" i="3" s="1"/>
  <c r="AF54" i="3"/>
  <c r="AH52" i="3"/>
  <c r="Q70" i="3"/>
  <c r="Q25" i="3" s="1"/>
  <c r="Q68" i="3"/>
  <c r="P63" i="3"/>
  <c r="P71" i="3"/>
  <c r="O71" i="3"/>
  <c r="N71" i="3"/>
  <c r="K71" i="3"/>
  <c r="J71" i="3"/>
  <c r="I71" i="3"/>
  <c r="F71" i="3"/>
  <c r="E71" i="3"/>
  <c r="D71" i="3"/>
  <c r="O63" i="3"/>
  <c r="N63" i="3"/>
  <c r="K63" i="3"/>
  <c r="J63" i="3"/>
  <c r="I63" i="3"/>
  <c r="F63" i="3"/>
  <c r="E63" i="3"/>
  <c r="D63" i="3"/>
  <c r="N48" i="3"/>
  <c r="O48" i="3"/>
  <c r="K48" i="3"/>
  <c r="J48" i="3"/>
  <c r="I48" i="3"/>
  <c r="O55" i="3"/>
  <c r="N55" i="3"/>
  <c r="P55" i="3"/>
  <c r="K55" i="3"/>
  <c r="J55" i="3"/>
  <c r="I55" i="3"/>
  <c r="F55" i="3"/>
  <c r="E55" i="3"/>
  <c r="D55" i="3"/>
  <c r="X132" i="3" l="1"/>
  <c r="Y132" i="3" s="1"/>
  <c r="Z132" i="3" s="1"/>
  <c r="AA132" i="3" s="1"/>
  <c r="W132" i="3"/>
  <c r="X130" i="3"/>
  <c r="Y130" i="3" s="1"/>
  <c r="Z130" i="3" s="1"/>
  <c r="AA130" i="3" s="1"/>
  <c r="W130" i="3"/>
  <c r="X127" i="3"/>
  <c r="Y127" i="3" s="1"/>
  <c r="Z127" i="3" s="1"/>
  <c r="AA127" i="3" s="1"/>
  <c r="W127" i="3"/>
  <c r="X129" i="3"/>
  <c r="Y129" i="3" s="1"/>
  <c r="Z129" i="3" s="1"/>
  <c r="AA129" i="3" s="1"/>
  <c r="W129" i="3"/>
  <c r="X131" i="3"/>
  <c r="Y131" i="3" s="1"/>
  <c r="Z131" i="3" s="1"/>
  <c r="AA131" i="3" s="1"/>
  <c r="W131" i="3"/>
  <c r="Q71" i="3"/>
  <c r="AH54" i="3"/>
  <c r="AI52" i="3"/>
  <c r="Q69" i="3"/>
  <c r="S68" i="3"/>
  <c r="S70" i="3" s="1"/>
  <c r="S25" i="3" s="1"/>
  <c r="Q16" i="3"/>
  <c r="Q18" i="3" s="1"/>
  <c r="L73" i="3"/>
  <c r="P69" i="3"/>
  <c r="O69" i="3"/>
  <c r="P61" i="3"/>
  <c r="O61" i="3"/>
  <c r="P53" i="3"/>
  <c r="O53" i="3"/>
  <c r="Q83" i="3" l="1"/>
  <c r="Q93" i="3"/>
  <c r="Q88" i="3" s="1"/>
  <c r="AC127" i="3"/>
  <c r="AD127" i="3" s="1"/>
  <c r="AE127" i="3" s="1"/>
  <c r="AF127" i="3" s="1"/>
  <c r="AB127" i="3"/>
  <c r="AC129" i="3"/>
  <c r="AD129" i="3" s="1"/>
  <c r="AE129" i="3" s="1"/>
  <c r="AF129" i="3" s="1"/>
  <c r="AB129" i="3"/>
  <c r="AC130" i="3"/>
  <c r="AD130" i="3" s="1"/>
  <c r="AE130" i="3" s="1"/>
  <c r="AF130" i="3" s="1"/>
  <c r="AB130" i="3"/>
  <c r="AC131" i="3"/>
  <c r="AD131" i="3" s="1"/>
  <c r="AE131" i="3" s="1"/>
  <c r="AF131" i="3" s="1"/>
  <c r="AB131" i="3"/>
  <c r="AC132" i="3"/>
  <c r="AD132" i="3" s="1"/>
  <c r="AE132" i="3" s="1"/>
  <c r="AF132" i="3" s="1"/>
  <c r="AB132" i="3"/>
  <c r="Q48" i="3"/>
  <c r="Q30" i="3"/>
  <c r="R30" i="3" s="1"/>
  <c r="Q19" i="3"/>
  <c r="R19" i="3" s="1"/>
  <c r="R22" i="3"/>
  <c r="R21" i="3"/>
  <c r="AI54" i="3"/>
  <c r="AJ52" i="3"/>
  <c r="T68" i="3"/>
  <c r="T70" i="3" s="1"/>
  <c r="T25" i="3" s="1"/>
  <c r="S16" i="3"/>
  <c r="S83" i="3" s="1"/>
  <c r="Q95" i="3"/>
  <c r="K69" i="3"/>
  <c r="J69" i="3"/>
  <c r="K61" i="3"/>
  <c r="J61" i="3"/>
  <c r="L56" i="3"/>
  <c r="L54" i="3"/>
  <c r="L52" i="3"/>
  <c r="N53" i="3" s="1"/>
  <c r="K53" i="3"/>
  <c r="J53" i="3"/>
  <c r="L81" i="3"/>
  <c r="L80" i="3"/>
  <c r="L79" i="3"/>
  <c r="L78" i="3"/>
  <c r="L76" i="3"/>
  <c r="L74" i="3"/>
  <c r="L72" i="3"/>
  <c r="L70" i="3"/>
  <c r="L68" i="3"/>
  <c r="L66" i="3"/>
  <c r="L65" i="3"/>
  <c r="L64" i="3"/>
  <c r="L62" i="3"/>
  <c r="L60" i="3"/>
  <c r="L58" i="3"/>
  <c r="L57" i="3"/>
  <c r="G81" i="3"/>
  <c r="G80" i="3"/>
  <c r="G79" i="3"/>
  <c r="G78" i="3"/>
  <c r="G76" i="3"/>
  <c r="G74" i="3"/>
  <c r="G73" i="3"/>
  <c r="G72" i="3"/>
  <c r="G70" i="3"/>
  <c r="G68" i="3"/>
  <c r="G69" i="3" s="1"/>
  <c r="G66" i="3"/>
  <c r="G65" i="3"/>
  <c r="G64" i="3"/>
  <c r="G62" i="3"/>
  <c r="G60" i="3"/>
  <c r="G61" i="3" s="1"/>
  <c r="F53" i="3"/>
  <c r="G58" i="3"/>
  <c r="G57" i="3"/>
  <c r="G54" i="3"/>
  <c r="G52" i="3"/>
  <c r="F69" i="3"/>
  <c r="F61" i="3"/>
  <c r="E69" i="3"/>
  <c r="E61" i="3"/>
  <c r="E53" i="3"/>
  <c r="D48" i="3"/>
  <c r="Q122" i="3" l="1"/>
  <c r="R122" i="3"/>
  <c r="Q84" i="3"/>
  <c r="AH131" i="3"/>
  <c r="AI131" i="3" s="1"/>
  <c r="AJ131" i="3" s="1"/>
  <c r="AK131" i="3" s="1"/>
  <c r="AL131" i="3" s="1"/>
  <c r="AG131" i="3"/>
  <c r="AH129" i="3"/>
  <c r="AI129" i="3" s="1"/>
  <c r="AJ129" i="3" s="1"/>
  <c r="AK129" i="3" s="1"/>
  <c r="AL129" i="3" s="1"/>
  <c r="AG129" i="3"/>
  <c r="Q175" i="3"/>
  <c r="AH132" i="3"/>
  <c r="AI132" i="3" s="1"/>
  <c r="AJ132" i="3" s="1"/>
  <c r="AK132" i="3" s="1"/>
  <c r="AL132" i="3" s="1"/>
  <c r="AG132" i="3"/>
  <c r="AH130" i="3"/>
  <c r="AI130" i="3" s="1"/>
  <c r="AJ130" i="3" s="1"/>
  <c r="AK130" i="3" s="1"/>
  <c r="AL130" i="3" s="1"/>
  <c r="AG130" i="3"/>
  <c r="AH127" i="3"/>
  <c r="AI127" i="3" s="1"/>
  <c r="AJ127" i="3" s="1"/>
  <c r="AK127" i="3" s="1"/>
  <c r="AL127" i="3" s="1"/>
  <c r="AG127" i="3"/>
  <c r="S48" i="3"/>
  <c r="Q110" i="3"/>
  <c r="R18" i="3"/>
  <c r="S30" i="3"/>
  <c r="S19" i="3"/>
  <c r="S94" i="3"/>
  <c r="S20" i="3"/>
  <c r="S18" i="3"/>
  <c r="AJ54" i="3"/>
  <c r="AK52" i="3"/>
  <c r="AK54" i="3" s="1"/>
  <c r="Q92" i="3"/>
  <c r="S95" i="3"/>
  <c r="Q29" i="3"/>
  <c r="U68" i="3"/>
  <c r="U70" i="3" s="1"/>
  <c r="U25" i="3" s="1"/>
  <c r="T16" i="3"/>
  <c r="T48" i="3" s="1"/>
  <c r="Q31" i="3"/>
  <c r="Q32" i="3" s="1"/>
  <c r="R32" i="3" s="1"/>
  <c r="Q94" i="3"/>
  <c r="L63" i="3"/>
  <c r="G63" i="3"/>
  <c r="L53" i="3"/>
  <c r="G55" i="3"/>
  <c r="G71" i="3"/>
  <c r="L71" i="3"/>
  <c r="L55" i="3"/>
  <c r="G53" i="3"/>
  <c r="I53" i="3"/>
  <c r="I61" i="3"/>
  <c r="L61" i="3"/>
  <c r="N61" i="3"/>
  <c r="L69" i="3"/>
  <c r="N69" i="3"/>
  <c r="I69" i="3"/>
  <c r="D69" i="3"/>
  <c r="D61" i="3"/>
  <c r="D53" i="3"/>
  <c r="S122" i="3" l="1"/>
  <c r="S175" i="3" s="1"/>
  <c r="T83" i="3"/>
  <c r="Q128" i="3"/>
  <c r="R128" i="3" s="1"/>
  <c r="Q172" i="3"/>
  <c r="R110" i="3"/>
  <c r="S110" i="3"/>
  <c r="S92" i="3"/>
  <c r="S84" i="3"/>
  <c r="S29" i="3" s="1"/>
  <c r="S31" i="3"/>
  <c r="T19" i="3"/>
  <c r="T20" i="3"/>
  <c r="T30" i="3"/>
  <c r="T31" i="3" s="1"/>
  <c r="T32" i="3" s="1"/>
  <c r="T33" i="3" s="1"/>
  <c r="T18" i="3"/>
  <c r="T95" i="3"/>
  <c r="V68" i="3"/>
  <c r="V70" i="3" s="1"/>
  <c r="V25" i="3" s="1"/>
  <c r="U16" i="3"/>
  <c r="U48" i="3" s="1"/>
  <c r="Q33" i="3"/>
  <c r="F48" i="3"/>
  <c r="E48" i="3"/>
  <c r="T122" i="3" l="1"/>
  <c r="S128" i="3"/>
  <c r="S172" i="3"/>
  <c r="T110" i="3"/>
  <c r="T172" i="3" s="1"/>
  <c r="T94" i="3"/>
  <c r="T92" i="3"/>
  <c r="Q35" i="3"/>
  <c r="Q137" i="3" s="1"/>
  <c r="Q160" i="3"/>
  <c r="U94" i="3"/>
  <c r="U20" i="3"/>
  <c r="U19" i="3"/>
  <c r="U30" i="3"/>
  <c r="U31" i="3" s="1"/>
  <c r="U32" i="3" s="1"/>
  <c r="U33" i="3" s="1"/>
  <c r="U18" i="3"/>
  <c r="S32" i="3"/>
  <c r="S33" i="3" s="1"/>
  <c r="S35" i="3" s="1"/>
  <c r="U95" i="3"/>
  <c r="U83" i="3"/>
  <c r="T84" i="3"/>
  <c r="T29" i="3" s="1"/>
  <c r="T160" i="3"/>
  <c r="T96" i="3"/>
  <c r="T97" i="3" s="1"/>
  <c r="T98" i="3" s="1"/>
  <c r="T40" i="3" s="1"/>
  <c r="T44" i="3" s="1"/>
  <c r="T35" i="3"/>
  <c r="Q96" i="3"/>
  <c r="X68" i="3"/>
  <c r="X70" i="3" s="1"/>
  <c r="X25" i="3" s="1"/>
  <c r="V16" i="3"/>
  <c r="O36" i="3"/>
  <c r="R36" i="3" s="1"/>
  <c r="M39" i="3"/>
  <c r="M38" i="3"/>
  <c r="M37" i="3"/>
  <c r="M36" i="3"/>
  <c r="M27" i="3"/>
  <c r="M28" i="3"/>
  <c r="M26" i="3"/>
  <c r="H26" i="3"/>
  <c r="L24" i="3"/>
  <c r="L23" i="3"/>
  <c r="L19" i="3"/>
  <c r="L18" i="3"/>
  <c r="L15" i="3"/>
  <c r="L14" i="3"/>
  <c r="H28" i="3"/>
  <c r="H39" i="3"/>
  <c r="H37" i="3"/>
  <c r="H36" i="3"/>
  <c r="S137" i="3" l="1"/>
  <c r="T137" i="3" s="1"/>
  <c r="Q42" i="3"/>
  <c r="V48" i="3"/>
  <c r="U122" i="3"/>
  <c r="L150" i="3"/>
  <c r="L153" i="3" s="1"/>
  <c r="Q43" i="3"/>
  <c r="T128" i="3"/>
  <c r="T175" i="3"/>
  <c r="U110" i="3"/>
  <c r="U172" i="3" s="1"/>
  <c r="L149" i="3"/>
  <c r="L152" i="3" s="1"/>
  <c r="U92" i="3"/>
  <c r="V19" i="3"/>
  <c r="W19" i="3" s="1"/>
  <c r="V94" i="3"/>
  <c r="V20" i="3"/>
  <c r="W20" i="3" s="1"/>
  <c r="V30" i="3"/>
  <c r="V18" i="3"/>
  <c r="W18" i="3" s="1"/>
  <c r="W16" i="3"/>
  <c r="Q97" i="3"/>
  <c r="Q98" i="3" s="1"/>
  <c r="Q40" i="3" s="1"/>
  <c r="Q44" i="3" s="1"/>
  <c r="T43" i="3"/>
  <c r="T42" i="3"/>
  <c r="U84" i="3"/>
  <c r="U29" i="3" s="1"/>
  <c r="S160" i="3"/>
  <c r="S96" i="3"/>
  <c r="S97" i="3" s="1"/>
  <c r="S98" i="3" s="1"/>
  <c r="S40" i="3" s="1"/>
  <c r="U160" i="3"/>
  <c r="U96" i="3"/>
  <c r="U97" i="3" s="1"/>
  <c r="U98" i="3" s="1"/>
  <c r="U40" i="3" s="1"/>
  <c r="U35" i="3"/>
  <c r="V83" i="3"/>
  <c r="V95" i="3"/>
  <c r="Y68" i="3"/>
  <c r="Y70" i="3" s="1"/>
  <c r="Y25" i="3" s="1"/>
  <c r="X16" i="3"/>
  <c r="X48" i="3" s="1"/>
  <c r="L48" i="3"/>
  <c r="D197" i="3"/>
  <c r="O196" i="3"/>
  <c r="O162" i="3"/>
  <c r="O172" i="3"/>
  <c r="O195" i="3"/>
  <c r="O194" i="3"/>
  <c r="O193" i="3"/>
  <c r="O192" i="3"/>
  <c r="O191" i="3"/>
  <c r="O189" i="3"/>
  <c r="O188" i="3"/>
  <c r="O185" i="3"/>
  <c r="O184" i="3"/>
  <c r="O183" i="3"/>
  <c r="O182" i="3"/>
  <c r="O181" i="3"/>
  <c r="O186" i="3" s="1"/>
  <c r="O178" i="3"/>
  <c r="O177" i="3"/>
  <c r="O176" i="3"/>
  <c r="O174" i="3"/>
  <c r="O173" i="3"/>
  <c r="O171" i="3"/>
  <c r="O169" i="3"/>
  <c r="O167" i="3"/>
  <c r="O166" i="3"/>
  <c r="O164" i="3"/>
  <c r="O163" i="3"/>
  <c r="P194" i="3" l="1"/>
  <c r="R194" i="3" s="1"/>
  <c r="P196" i="3"/>
  <c r="R196" i="3" s="1"/>
  <c r="R137" i="3"/>
  <c r="R140" i="3" s="1"/>
  <c r="Q140" i="3"/>
  <c r="Q142" i="3" s="1"/>
  <c r="V122" i="3"/>
  <c r="W122" i="3" s="1"/>
  <c r="U128" i="3"/>
  <c r="U175" i="3"/>
  <c r="P169" i="3"/>
  <c r="R169" i="3" s="1"/>
  <c r="P181" i="3"/>
  <c r="O215" i="3"/>
  <c r="P171" i="3"/>
  <c r="P176" i="3"/>
  <c r="R176" i="3" s="1"/>
  <c r="P182" i="3"/>
  <c r="R182" i="3" s="1"/>
  <c r="P193" i="3"/>
  <c r="R193" i="3" s="1"/>
  <c r="P162" i="3"/>
  <c r="R162" i="3" s="1"/>
  <c r="P172" i="3"/>
  <c r="R172" i="3" s="1"/>
  <c r="P173" i="3"/>
  <c r="R173" i="3" s="1"/>
  <c r="O211" i="3"/>
  <c r="P192" i="3"/>
  <c r="R192" i="3" s="1"/>
  <c r="P166" i="3"/>
  <c r="R166" i="3" s="1"/>
  <c r="P177" i="3"/>
  <c r="R177" i="3" s="1"/>
  <c r="P183" i="3"/>
  <c r="R183" i="3" s="1"/>
  <c r="P189" i="3"/>
  <c r="R189" i="3" s="1"/>
  <c r="P167" i="3"/>
  <c r="R167" i="3" s="1"/>
  <c r="P174" i="3"/>
  <c r="R174" i="3" s="1"/>
  <c r="P178" i="3"/>
  <c r="R178" i="3" s="1"/>
  <c r="P184" i="3"/>
  <c r="R184" i="3" s="1"/>
  <c r="P191" i="3"/>
  <c r="R191" i="3" s="1"/>
  <c r="P195" i="3"/>
  <c r="R195" i="3" s="1"/>
  <c r="V110" i="3"/>
  <c r="W22" i="3"/>
  <c r="V92" i="3"/>
  <c r="P163" i="3"/>
  <c r="P211" i="3" s="1"/>
  <c r="P175" i="3"/>
  <c r="R175" i="3" s="1"/>
  <c r="X30" i="3"/>
  <c r="X19" i="3"/>
  <c r="X18" i="3"/>
  <c r="X20" i="3"/>
  <c r="V84" i="3"/>
  <c r="V29" i="3" s="1"/>
  <c r="S44" i="3"/>
  <c r="W30" i="3"/>
  <c r="V31" i="3"/>
  <c r="V32" i="3" s="1"/>
  <c r="X83" i="3"/>
  <c r="S43" i="3"/>
  <c r="S42" i="3"/>
  <c r="X95" i="3"/>
  <c r="Z68" i="3"/>
  <c r="Z70" i="3" s="1"/>
  <c r="Z25" i="3" s="1"/>
  <c r="Y16" i="3"/>
  <c r="P188" i="3"/>
  <c r="P185" i="3"/>
  <c r="R185" i="3" s="1"/>
  <c r="O190" i="3"/>
  <c r="O197" i="3" s="1"/>
  <c r="O120" i="3"/>
  <c r="N128" i="3"/>
  <c r="O128" i="3"/>
  <c r="N140" i="3"/>
  <c r="N142" i="3" s="1"/>
  <c r="O140" i="3"/>
  <c r="O142" i="3" s="1"/>
  <c r="O47" i="3"/>
  <c r="N47" i="3"/>
  <c r="P16" i="3"/>
  <c r="O16" i="3"/>
  <c r="N16" i="3"/>
  <c r="N214" i="3" s="1"/>
  <c r="P148" i="3" l="1"/>
  <c r="P88" i="3"/>
  <c r="P25" i="3"/>
  <c r="P186" i="3"/>
  <c r="O148" i="3"/>
  <c r="O151" i="3" s="1"/>
  <c r="O25" i="3"/>
  <c r="R163" i="3"/>
  <c r="X122" i="3"/>
  <c r="P214" i="3"/>
  <c r="O214" i="3"/>
  <c r="R142" i="3"/>
  <c r="R143" i="3" s="1"/>
  <c r="Q143" i="3"/>
  <c r="R188" i="3"/>
  <c r="S140" i="3"/>
  <c r="S142" i="3" s="1"/>
  <c r="S143" i="3" s="1"/>
  <c r="W110" i="3"/>
  <c r="V172" i="3"/>
  <c r="W172" i="3" s="1"/>
  <c r="P215" i="3"/>
  <c r="Q181" i="3"/>
  <c r="N148" i="3"/>
  <c r="N151" i="3" s="1"/>
  <c r="P190" i="3"/>
  <c r="R190" i="3" s="1"/>
  <c r="Y83" i="3"/>
  <c r="Y48" i="3"/>
  <c r="Q148" i="3"/>
  <c r="Q109" i="3" s="1"/>
  <c r="P151" i="3"/>
  <c r="X110" i="3"/>
  <c r="X172" i="3" s="1"/>
  <c r="X94" i="3"/>
  <c r="X92" i="3"/>
  <c r="V33" i="3"/>
  <c r="W32" i="3"/>
  <c r="Y30" i="3"/>
  <c r="Y31" i="3" s="1"/>
  <c r="Y94" i="3"/>
  <c r="Y20" i="3"/>
  <c r="Y19" i="3"/>
  <c r="Y18" i="3"/>
  <c r="X84" i="3"/>
  <c r="X29" i="3" s="1"/>
  <c r="X31" i="3"/>
  <c r="Y95" i="3"/>
  <c r="N143" i="3"/>
  <c r="N144" i="3" s="1"/>
  <c r="R16" i="3"/>
  <c r="AA68" i="3"/>
  <c r="AA70" i="3" s="1"/>
  <c r="AA25" i="3" s="1"/>
  <c r="Z16" i="3"/>
  <c r="P86" i="3"/>
  <c r="P92" i="3"/>
  <c r="P89" i="3"/>
  <c r="P87" i="3"/>
  <c r="P85" i="3"/>
  <c r="N25" i="3"/>
  <c r="N85" i="3"/>
  <c r="N92" i="3"/>
  <c r="N87" i="3"/>
  <c r="N88" i="3"/>
  <c r="N86" i="3"/>
  <c r="N89" i="3"/>
  <c r="O85" i="3"/>
  <c r="O88" i="3"/>
  <c r="O86" i="3"/>
  <c r="O92" i="3"/>
  <c r="O89" i="3"/>
  <c r="O87" i="3"/>
  <c r="O143" i="3"/>
  <c r="O144" i="3" s="1"/>
  <c r="P144" i="3"/>
  <c r="P164" i="3"/>
  <c r="R164" i="3" s="1"/>
  <c r="Q115" i="3" l="1"/>
  <c r="Q186" i="3"/>
  <c r="R197" i="3"/>
  <c r="Q214" i="3"/>
  <c r="Y122" i="3"/>
  <c r="Q171" i="3"/>
  <c r="R109" i="3"/>
  <c r="T140" i="3"/>
  <c r="T142" i="3" s="1"/>
  <c r="T143" i="3" s="1"/>
  <c r="V128" i="3"/>
  <c r="V175" i="3"/>
  <c r="Y84" i="3"/>
  <c r="Y29" i="3" s="1"/>
  <c r="S181" i="3"/>
  <c r="S214" i="3" s="1"/>
  <c r="R115" i="3"/>
  <c r="R181" i="3"/>
  <c r="R186" i="3" s="1"/>
  <c r="Q151" i="3"/>
  <c r="S148" i="3"/>
  <c r="Z83" i="3"/>
  <c r="Z48" i="3"/>
  <c r="Y110" i="3"/>
  <c r="Y172" i="3" s="1"/>
  <c r="X175" i="3"/>
  <c r="Y92" i="3"/>
  <c r="N29" i="3"/>
  <c r="N84" i="3" s="1"/>
  <c r="Q20" i="3"/>
  <c r="R20" i="3" s="1"/>
  <c r="Q23" i="3"/>
  <c r="Y32" i="3"/>
  <c r="Y33" i="3" s="1"/>
  <c r="Z95" i="3"/>
  <c r="Z30" i="3"/>
  <c r="Z19" i="3"/>
  <c r="Z94" i="3"/>
  <c r="Z20" i="3"/>
  <c r="Z18" i="3"/>
  <c r="X32" i="3"/>
  <c r="X33" i="3" s="1"/>
  <c r="V160" i="3"/>
  <c r="V96" i="3"/>
  <c r="V97" i="3" s="1"/>
  <c r="V98" i="3" s="1"/>
  <c r="V40" i="3" s="1"/>
  <c r="W40" i="3" s="1"/>
  <c r="V35" i="3"/>
  <c r="AC68" i="3"/>
  <c r="AC70" i="3" s="1"/>
  <c r="AC25" i="3" s="1"/>
  <c r="AA16" i="3"/>
  <c r="P29" i="3"/>
  <c r="P31" i="3"/>
  <c r="N31" i="3"/>
  <c r="N33" i="3" s="1"/>
  <c r="O94" i="3"/>
  <c r="O95" i="3"/>
  <c r="O83" i="3"/>
  <c r="O93" i="3"/>
  <c r="O29" i="3"/>
  <c r="O84" i="3" s="1"/>
  <c r="N93" i="3"/>
  <c r="N94" i="3"/>
  <c r="N95" i="3"/>
  <c r="N83" i="3"/>
  <c r="O31" i="3"/>
  <c r="P93" i="3"/>
  <c r="P94" i="3"/>
  <c r="P95" i="3"/>
  <c r="P83" i="3"/>
  <c r="R171" i="3" l="1"/>
  <c r="Q179" i="3"/>
  <c r="Q206" i="3" s="1"/>
  <c r="R23" i="3"/>
  <c r="R25" i="3" s="1"/>
  <c r="P90" i="3"/>
  <c r="P84" i="3"/>
  <c r="R214" i="3"/>
  <c r="S21" i="3"/>
  <c r="S115" i="3" s="1"/>
  <c r="S163" i="3"/>
  <c r="Z122" i="3"/>
  <c r="W175" i="3"/>
  <c r="W128" i="3"/>
  <c r="Z84" i="3"/>
  <c r="Z29" i="3" s="1"/>
  <c r="T181" i="3"/>
  <c r="T214" i="3" s="1"/>
  <c r="S186" i="3"/>
  <c r="Z110" i="3"/>
  <c r="Z172" i="3" s="1"/>
  <c r="AA95" i="3"/>
  <c r="AA48" i="3"/>
  <c r="T148" i="3"/>
  <c r="S151" i="3"/>
  <c r="S109" i="3"/>
  <c r="S171" i="3" s="1"/>
  <c r="Y175" i="3"/>
  <c r="X128" i="3"/>
  <c r="Z92" i="3"/>
  <c r="N96" i="3"/>
  <c r="Y35" i="3"/>
  <c r="Y160" i="3"/>
  <c r="Y96" i="3"/>
  <c r="Y97" i="3" s="1"/>
  <c r="Y98" i="3" s="1"/>
  <c r="Y40" i="3" s="1"/>
  <c r="X35" i="3"/>
  <c r="X160" i="3"/>
  <c r="X96" i="3"/>
  <c r="X97" i="3" s="1"/>
  <c r="X98" i="3" s="1"/>
  <c r="X40" i="3" s="1"/>
  <c r="AA30" i="3"/>
  <c r="AA31" i="3" s="1"/>
  <c r="AA19" i="3"/>
  <c r="AB19" i="3" s="1"/>
  <c r="AA18" i="3"/>
  <c r="AB18" i="3" s="1"/>
  <c r="AA20" i="3"/>
  <c r="AB20" i="3" s="1"/>
  <c r="Z31" i="3"/>
  <c r="Z32" i="3" s="1"/>
  <c r="Z33" i="3" s="1"/>
  <c r="AB16" i="3"/>
  <c r="AA83" i="3"/>
  <c r="AD68" i="3"/>
  <c r="AD70" i="3" s="1"/>
  <c r="AD25" i="3" s="1"/>
  <c r="AC16" i="3"/>
  <c r="P33" i="3"/>
  <c r="N90" i="3"/>
  <c r="N35" i="3"/>
  <c r="N160" i="3"/>
  <c r="N179" i="3" s="1"/>
  <c r="N206" i="3" s="1"/>
  <c r="O33" i="3"/>
  <c r="O90" i="3"/>
  <c r="T21" i="3" l="1"/>
  <c r="R29" i="3"/>
  <c r="T93" i="3"/>
  <c r="T88" i="3" s="1"/>
  <c r="T23" i="3" s="1"/>
  <c r="T115" i="3"/>
  <c r="S93" i="3"/>
  <c r="S88" i="3" s="1"/>
  <c r="S23" i="3" s="1"/>
  <c r="T163" i="3"/>
  <c r="S179" i="3"/>
  <c r="S206" i="3" s="1"/>
  <c r="N198" i="3"/>
  <c r="N202" i="3"/>
  <c r="AA122" i="3"/>
  <c r="Q202" i="3"/>
  <c r="Q198" i="3"/>
  <c r="U181" i="3"/>
  <c r="U214" i="3" s="1"/>
  <c r="T186" i="3"/>
  <c r="U148" i="3"/>
  <c r="T151" i="3"/>
  <c r="Z175" i="3"/>
  <c r="Y128" i="3"/>
  <c r="T109" i="3"/>
  <c r="T171" i="3" s="1"/>
  <c r="AC95" i="3"/>
  <c r="AC48" i="3"/>
  <c r="AA110" i="3"/>
  <c r="AA94" i="3"/>
  <c r="AB22" i="3"/>
  <c r="AB30" i="3"/>
  <c r="P96" i="3"/>
  <c r="AA92" i="3"/>
  <c r="P35" i="3"/>
  <c r="P160" i="3"/>
  <c r="AA84" i="3"/>
  <c r="AA29" i="3" s="1"/>
  <c r="AA32" i="3"/>
  <c r="AA33" i="3" s="1"/>
  <c r="AC83" i="3"/>
  <c r="AC30" i="3"/>
  <c r="AC20" i="3"/>
  <c r="AC19" i="3"/>
  <c r="AC18" i="3"/>
  <c r="Z35" i="3"/>
  <c r="Z160" i="3"/>
  <c r="Z96" i="3"/>
  <c r="Z97" i="3" s="1"/>
  <c r="Z98" i="3" s="1"/>
  <c r="Z40" i="3" s="1"/>
  <c r="N97" i="3"/>
  <c r="N40" i="3"/>
  <c r="N44" i="3" s="1"/>
  <c r="AE68" i="3"/>
  <c r="AE70" i="3" s="1"/>
  <c r="AE25" i="3" s="1"/>
  <c r="AD16" i="3"/>
  <c r="AD48" i="3" s="1"/>
  <c r="N42" i="3"/>
  <c r="N43" i="3"/>
  <c r="O96" i="3"/>
  <c r="O35" i="3"/>
  <c r="O40" i="3" s="1"/>
  <c r="O160" i="3"/>
  <c r="O179" i="3" s="1"/>
  <c r="H199" i="3"/>
  <c r="L168" i="3"/>
  <c r="M168" i="3" s="1"/>
  <c r="L165" i="3"/>
  <c r="M165" i="3" s="1"/>
  <c r="G14" i="3"/>
  <c r="M141" i="3"/>
  <c r="M139" i="3"/>
  <c r="M138" i="3"/>
  <c r="M137" i="3"/>
  <c r="M136" i="3"/>
  <c r="M135" i="3"/>
  <c r="M132" i="3"/>
  <c r="M131" i="3"/>
  <c r="M130" i="3"/>
  <c r="M129" i="3"/>
  <c r="M127" i="3"/>
  <c r="M126" i="3"/>
  <c r="M125" i="3"/>
  <c r="M124" i="3"/>
  <c r="M123" i="3"/>
  <c r="M122" i="3"/>
  <c r="M119" i="3"/>
  <c r="M117" i="3"/>
  <c r="M116" i="3"/>
  <c r="M115" i="3"/>
  <c r="M113" i="3"/>
  <c r="M112" i="3"/>
  <c r="M111" i="3"/>
  <c r="M110" i="3"/>
  <c r="M109" i="3"/>
  <c r="M108" i="3"/>
  <c r="N199" i="3" s="1"/>
  <c r="K16" i="3"/>
  <c r="K148" i="3" s="1"/>
  <c r="K151" i="3" s="1"/>
  <c r="J190" i="3"/>
  <c r="K190" i="3" s="1"/>
  <c r="L190" i="3" s="1"/>
  <c r="J195" i="3"/>
  <c r="K195" i="3" s="1"/>
  <c r="L195" i="3" s="1"/>
  <c r="J194" i="3"/>
  <c r="J193" i="3"/>
  <c r="K193" i="3" s="1"/>
  <c r="L193" i="3" s="1"/>
  <c r="J192" i="3"/>
  <c r="K192" i="3" s="1"/>
  <c r="L192" i="3" s="1"/>
  <c r="J191" i="3"/>
  <c r="K191" i="3" s="1"/>
  <c r="L191" i="3" s="1"/>
  <c r="J189" i="3"/>
  <c r="K189" i="3" s="1"/>
  <c r="L189" i="3" s="1"/>
  <c r="J188" i="3"/>
  <c r="J185" i="3"/>
  <c r="K185" i="3" s="1"/>
  <c r="L185" i="3" s="1"/>
  <c r="J184" i="3"/>
  <c r="K184" i="3" s="1"/>
  <c r="L184" i="3" s="1"/>
  <c r="J183" i="3"/>
  <c r="J182" i="3"/>
  <c r="K182" i="3" s="1"/>
  <c r="L182" i="3" s="1"/>
  <c r="J181" i="3"/>
  <c r="J178" i="3"/>
  <c r="K178" i="3" s="1"/>
  <c r="L178" i="3" s="1"/>
  <c r="J177" i="3"/>
  <c r="K177" i="3" s="1"/>
  <c r="L177" i="3" s="1"/>
  <c r="J176" i="3"/>
  <c r="K176" i="3" s="1"/>
  <c r="L176" i="3" s="1"/>
  <c r="J175" i="3"/>
  <c r="J174" i="3"/>
  <c r="K174" i="3" s="1"/>
  <c r="L174" i="3" s="1"/>
  <c r="J173" i="3"/>
  <c r="K173" i="3" s="1"/>
  <c r="L173" i="3" s="1"/>
  <c r="J172" i="3"/>
  <c r="K172" i="3" s="1"/>
  <c r="L172" i="3" s="1"/>
  <c r="J171" i="3"/>
  <c r="K171" i="3" s="1"/>
  <c r="L171" i="3" s="1"/>
  <c r="J169" i="3"/>
  <c r="K169" i="3" s="1"/>
  <c r="L169" i="3" s="1"/>
  <c r="J167" i="3"/>
  <c r="K167" i="3" s="1"/>
  <c r="L167" i="3" s="1"/>
  <c r="J166" i="3"/>
  <c r="J163" i="3"/>
  <c r="J211" i="3" s="1"/>
  <c r="J162" i="3"/>
  <c r="J164" i="3"/>
  <c r="U21" i="3" l="1"/>
  <c r="U93" i="3" s="1"/>
  <c r="U88" i="3" s="1"/>
  <c r="U23" i="3" s="1"/>
  <c r="R31" i="3"/>
  <c r="R33" i="3" s="1"/>
  <c r="R160" i="3" s="1"/>
  <c r="R179" i="3" s="1"/>
  <c r="R206" i="3" s="1"/>
  <c r="P179" i="3"/>
  <c r="P206" i="3" s="1"/>
  <c r="P97" i="3"/>
  <c r="U115" i="3"/>
  <c r="U163" i="3"/>
  <c r="S213" i="3"/>
  <c r="S202" i="3"/>
  <c r="S198" i="3"/>
  <c r="N200" i="3"/>
  <c r="O199" i="3" s="1"/>
  <c r="T179" i="3"/>
  <c r="T198" i="3" s="1"/>
  <c r="AB110" i="3"/>
  <c r="AA172" i="3"/>
  <c r="AB172" i="3" s="1"/>
  <c r="AC122" i="3"/>
  <c r="K194" i="3"/>
  <c r="J47" i="3"/>
  <c r="K183" i="3"/>
  <c r="L183" i="3" s="1"/>
  <c r="M183" i="3" s="1"/>
  <c r="O202" i="3"/>
  <c r="O213" i="3"/>
  <c r="V181" i="3"/>
  <c r="U186" i="3"/>
  <c r="K181" i="3"/>
  <c r="K214" i="3" s="1"/>
  <c r="J215" i="3"/>
  <c r="Z128" i="3"/>
  <c r="N98" i="3"/>
  <c r="AC110" i="3"/>
  <c r="AC172" i="3" s="1"/>
  <c r="U109" i="3"/>
  <c r="U171" i="3" s="1"/>
  <c r="V148" i="3"/>
  <c r="U151" i="3"/>
  <c r="AC94" i="3"/>
  <c r="P40" i="3"/>
  <c r="R40" i="3" s="1"/>
  <c r="K175" i="3"/>
  <c r="AC92" i="3"/>
  <c r="AA35" i="3"/>
  <c r="AA160" i="3"/>
  <c r="AA96" i="3"/>
  <c r="AA97" i="3" s="1"/>
  <c r="AA98" i="3" s="1"/>
  <c r="AA40" i="3" s="1"/>
  <c r="AB40" i="3" s="1"/>
  <c r="AD30" i="3"/>
  <c r="AD31" i="3" s="1"/>
  <c r="AD19" i="3"/>
  <c r="AD94" i="3"/>
  <c r="AD18" i="3"/>
  <c r="AD20" i="3"/>
  <c r="P42" i="3"/>
  <c r="P43" i="3"/>
  <c r="AB32" i="3"/>
  <c r="AD95" i="3"/>
  <c r="AC31" i="3"/>
  <c r="AC84" i="3"/>
  <c r="AC29" i="3" s="1"/>
  <c r="AD83" i="3"/>
  <c r="AF68" i="3"/>
  <c r="AF70" i="3" s="1"/>
  <c r="AF25" i="3" s="1"/>
  <c r="AE16" i="3"/>
  <c r="O198" i="3"/>
  <c r="O206" i="3"/>
  <c r="K25" i="3"/>
  <c r="K89" i="3"/>
  <c r="K88" i="3"/>
  <c r="K92" i="3"/>
  <c r="K87" i="3"/>
  <c r="K86" i="3"/>
  <c r="K85" i="3"/>
  <c r="O97" i="3"/>
  <c r="O43" i="3"/>
  <c r="O42" i="3"/>
  <c r="K164" i="3"/>
  <c r="L164" i="3" s="1"/>
  <c r="K163" i="3"/>
  <c r="K211" i="3" s="1"/>
  <c r="K166" i="3"/>
  <c r="L166" i="3" s="1"/>
  <c r="K188" i="3"/>
  <c r="J197" i="3"/>
  <c r="K162" i="3"/>
  <c r="L162" i="3" s="1"/>
  <c r="M140" i="3"/>
  <c r="M114" i="3"/>
  <c r="M174" i="3"/>
  <c r="M178" i="3"/>
  <c r="M182" i="3"/>
  <c r="J186" i="3"/>
  <c r="M190" i="3"/>
  <c r="R35" i="3" l="1"/>
  <c r="R45" i="3" s="1"/>
  <c r="P202" i="3"/>
  <c r="R198" i="3"/>
  <c r="R202" i="3"/>
  <c r="R205" i="3" s="1"/>
  <c r="P213" i="3"/>
  <c r="Q213" i="3"/>
  <c r="V21" i="3"/>
  <c r="V115" i="3" s="1"/>
  <c r="V163" i="3"/>
  <c r="W163" i="3" s="1"/>
  <c r="AD122" i="3"/>
  <c r="AC175" i="3"/>
  <c r="T206" i="3"/>
  <c r="T202" i="3"/>
  <c r="T213" i="3"/>
  <c r="U179" i="3"/>
  <c r="W181" i="3"/>
  <c r="W214" i="3" s="1"/>
  <c r="V214" i="3"/>
  <c r="AA128" i="3"/>
  <c r="AA175" i="3"/>
  <c r="AB122" i="3"/>
  <c r="L194" i="3"/>
  <c r="L47" i="3" s="1"/>
  <c r="K47" i="3"/>
  <c r="L181" i="3"/>
  <c r="K215" i="3"/>
  <c r="M162" i="3"/>
  <c r="X181" i="3"/>
  <c r="X214" i="3" s="1"/>
  <c r="V186" i="3"/>
  <c r="AE83" i="3"/>
  <c r="AE84" i="3" s="1"/>
  <c r="AE29" i="3" s="1"/>
  <c r="AE48" i="3"/>
  <c r="AD110" i="3"/>
  <c r="AD172" i="3" s="1"/>
  <c r="X148" i="3"/>
  <c r="V151" i="3"/>
  <c r="V109" i="3"/>
  <c r="L175" i="3"/>
  <c r="L163" i="3"/>
  <c r="L211" i="3" s="1"/>
  <c r="P98" i="3"/>
  <c r="P44" i="3"/>
  <c r="AD92" i="3"/>
  <c r="N207" i="3"/>
  <c r="AD84" i="3"/>
  <c r="AD29" i="3" s="1"/>
  <c r="AC32" i="3"/>
  <c r="AC33" i="3" s="1"/>
  <c r="AD32" i="3"/>
  <c r="AD33" i="3" s="1"/>
  <c r="AE30" i="3"/>
  <c r="AE19" i="3"/>
  <c r="AE18" i="3"/>
  <c r="AE20" i="3"/>
  <c r="AE95" i="3"/>
  <c r="U46" i="3"/>
  <c r="U194" i="3" s="1"/>
  <c r="AH68" i="3"/>
  <c r="AH70" i="3" s="1"/>
  <c r="AH25" i="3" s="1"/>
  <c r="AF16" i="3"/>
  <c r="O200" i="3"/>
  <c r="O207" i="3" s="1"/>
  <c r="K29" i="3"/>
  <c r="K84" i="3" s="1"/>
  <c r="K95" i="3"/>
  <c r="K83" i="3"/>
  <c r="K94" i="3"/>
  <c r="K93" i="3"/>
  <c r="O44" i="3"/>
  <c r="O98" i="3"/>
  <c r="M166" i="3"/>
  <c r="M164" i="3"/>
  <c r="L188" i="3"/>
  <c r="K197" i="3"/>
  <c r="M193" i="3"/>
  <c r="M172" i="3"/>
  <c r="M191" i="3"/>
  <c r="M177" i="3"/>
  <c r="M176" i="3"/>
  <c r="M194" i="3"/>
  <c r="K186" i="3"/>
  <c r="M189" i="3"/>
  <c r="M171" i="3"/>
  <c r="M185" i="3"/>
  <c r="M169" i="3"/>
  <c r="M184" i="3"/>
  <c r="M173" i="3"/>
  <c r="M167" i="3"/>
  <c r="M192" i="3"/>
  <c r="M195" i="3"/>
  <c r="E194" i="3"/>
  <c r="E47" i="3" s="1"/>
  <c r="E193" i="3"/>
  <c r="E192" i="3"/>
  <c r="E164" i="3"/>
  <c r="F164" i="3" s="1"/>
  <c r="G165" i="3"/>
  <c r="H165" i="3" s="1"/>
  <c r="G32" i="3"/>
  <c r="W186" i="3" l="1"/>
  <c r="R42" i="3"/>
  <c r="R46" i="3"/>
  <c r="R44" i="3" s="1"/>
  <c r="U197" i="3"/>
  <c r="U198" i="3" s="1"/>
  <c r="U137" i="3"/>
  <c r="M47" i="3"/>
  <c r="X21" i="3"/>
  <c r="X115" i="3" s="1"/>
  <c r="V93" i="3"/>
  <c r="V88" i="3" s="1"/>
  <c r="V23" i="3" s="1"/>
  <c r="W23" i="3" s="1"/>
  <c r="W21" i="3"/>
  <c r="AE122" i="3"/>
  <c r="W109" i="3"/>
  <c r="V171" i="3"/>
  <c r="U206" i="3"/>
  <c r="U202" i="3"/>
  <c r="U213" i="3"/>
  <c r="AB175" i="3"/>
  <c r="AB128" i="3"/>
  <c r="Y181" i="3"/>
  <c r="Y214" i="3" s="1"/>
  <c r="X186" i="3"/>
  <c r="N215" i="3"/>
  <c r="L215" i="3"/>
  <c r="AF95" i="3"/>
  <c r="AF48" i="3"/>
  <c r="AD175" i="3"/>
  <c r="AC128" i="3"/>
  <c r="X109" i="3"/>
  <c r="X171" i="3" s="1"/>
  <c r="AE110" i="3"/>
  <c r="AE172" i="3" s="1"/>
  <c r="Y148" i="3"/>
  <c r="X151" i="3"/>
  <c r="AE94" i="3"/>
  <c r="M163" i="3"/>
  <c r="AE92" i="3"/>
  <c r="M175" i="3"/>
  <c r="AC35" i="3"/>
  <c r="AC160" i="3"/>
  <c r="AC96" i="3"/>
  <c r="AC97" i="3" s="1"/>
  <c r="AC98" i="3" s="1"/>
  <c r="AC40" i="3" s="1"/>
  <c r="AE31" i="3"/>
  <c r="AE32" i="3" s="1"/>
  <c r="AE33" i="3" s="1"/>
  <c r="P199" i="3"/>
  <c r="AG16" i="3"/>
  <c r="AF30" i="3"/>
  <c r="AF31" i="3" s="1"/>
  <c r="AF19" i="3"/>
  <c r="AG19" i="3" s="1"/>
  <c r="AF94" i="3"/>
  <c r="AF20" i="3"/>
  <c r="AG20" i="3" s="1"/>
  <c r="AF18" i="3"/>
  <c r="AD35" i="3"/>
  <c r="AD160" i="3"/>
  <c r="AD96" i="3"/>
  <c r="AD97" i="3" s="1"/>
  <c r="AD98" i="3" s="1"/>
  <c r="AD40" i="3" s="1"/>
  <c r="AF83" i="3"/>
  <c r="V46" i="3"/>
  <c r="V194" i="3" s="1"/>
  <c r="V197" i="3" s="1"/>
  <c r="U44" i="3"/>
  <c r="C223" i="3" s="1"/>
  <c r="U43" i="3"/>
  <c r="U45" i="3"/>
  <c r="AI68" i="3"/>
  <c r="AI70" i="3" s="1"/>
  <c r="AI25" i="3" s="1"/>
  <c r="AH16" i="3"/>
  <c r="AH48" i="3" s="1"/>
  <c r="G164" i="3"/>
  <c r="H164" i="3" s="1"/>
  <c r="L197" i="3"/>
  <c r="M188" i="3"/>
  <c r="M197" i="3" s="1"/>
  <c r="L186" i="3"/>
  <c r="M181" i="3"/>
  <c r="M214" i="3" s="1"/>
  <c r="W25" i="3" l="1"/>
  <c r="W194" i="3"/>
  <c r="W197" i="3" s="1"/>
  <c r="R43" i="3"/>
  <c r="V137" i="3"/>
  <c r="U140" i="3"/>
  <c r="U142" i="3" s="1"/>
  <c r="U143" i="3" s="1"/>
  <c r="W115" i="3"/>
  <c r="X163" i="3"/>
  <c r="W29" i="3"/>
  <c r="W31" i="3"/>
  <c r="W33" i="3" s="1"/>
  <c r="W160" i="3" s="1"/>
  <c r="X93" i="3"/>
  <c r="X88" i="3" s="1"/>
  <c r="X23" i="3" s="1"/>
  <c r="V179" i="3"/>
  <c r="V198" i="3" s="1"/>
  <c r="W171" i="3"/>
  <c r="AF122" i="3"/>
  <c r="Y186" i="3"/>
  <c r="Z181" i="3"/>
  <c r="Z214" i="3" s="1"/>
  <c r="M186" i="3"/>
  <c r="Z148" i="3"/>
  <c r="Y151" i="3"/>
  <c r="AF110" i="3"/>
  <c r="AE175" i="3"/>
  <c r="AD128" i="3"/>
  <c r="Y109" i="3"/>
  <c r="Y171" i="3" s="1"/>
  <c r="AG22" i="3"/>
  <c r="AF92" i="3"/>
  <c r="AG18" i="3"/>
  <c r="AH30" i="3"/>
  <c r="AH19" i="3"/>
  <c r="AH20" i="3"/>
  <c r="AH18" i="3"/>
  <c r="AF32" i="3"/>
  <c r="AG32" i="3" s="1"/>
  <c r="AE35" i="3"/>
  <c r="AE160" i="3"/>
  <c r="AE96" i="3"/>
  <c r="AE97" i="3" s="1"/>
  <c r="AE98" i="3" s="1"/>
  <c r="AE40" i="3" s="1"/>
  <c r="AH95" i="3"/>
  <c r="AF84" i="3"/>
  <c r="AF29" i="3" s="1"/>
  <c r="AG30" i="3"/>
  <c r="AH83" i="3"/>
  <c r="V45" i="3"/>
  <c r="U42" i="3"/>
  <c r="X46" i="3"/>
  <c r="X194" i="3" s="1"/>
  <c r="V44" i="3"/>
  <c r="V43" i="3"/>
  <c r="AJ68" i="3"/>
  <c r="AJ70" i="3" s="1"/>
  <c r="AJ25" i="3" s="1"/>
  <c r="AI16" i="3"/>
  <c r="AI48" i="3" s="1"/>
  <c r="G41" i="3"/>
  <c r="W179" i="3" l="1"/>
  <c r="X197" i="3"/>
  <c r="X137" i="3"/>
  <c r="W137" i="3"/>
  <c r="W140" i="3" s="1"/>
  <c r="V140" i="3"/>
  <c r="V142" i="3" s="1"/>
  <c r="Y163" i="3"/>
  <c r="Y179" i="3" s="1"/>
  <c r="Y202" i="3" s="1"/>
  <c r="Y21" i="3"/>
  <c r="X179" i="3"/>
  <c r="X198" i="3" s="1"/>
  <c r="W35" i="3"/>
  <c r="W46" i="3" s="1"/>
  <c r="W44" i="3" s="1"/>
  <c r="V206" i="3"/>
  <c r="V213" i="3"/>
  <c r="V202" i="3"/>
  <c r="AF172" i="3"/>
  <c r="AG172" i="3" s="1"/>
  <c r="AG110" i="3"/>
  <c r="AH122" i="3"/>
  <c r="Z186" i="3"/>
  <c r="AA181" i="3"/>
  <c r="AA214" i="3" s="1"/>
  <c r="AE128" i="3"/>
  <c r="AH110" i="3"/>
  <c r="AH172" i="3" s="1"/>
  <c r="Z109" i="3"/>
  <c r="Z171" i="3" s="1"/>
  <c r="AA148" i="3"/>
  <c r="Z151" i="3"/>
  <c r="AH94" i="3"/>
  <c r="AH92" i="3"/>
  <c r="AH84" i="3"/>
  <c r="AH29" i="3" s="1"/>
  <c r="AI30" i="3"/>
  <c r="AI31" i="3" s="1"/>
  <c r="AI94" i="3"/>
  <c r="AI19" i="3"/>
  <c r="AI20" i="3"/>
  <c r="AI18" i="3"/>
  <c r="Y46" i="3"/>
  <c r="Y194" i="3" s="1"/>
  <c r="Y197" i="3" s="1"/>
  <c r="X44" i="3"/>
  <c r="X43" i="3"/>
  <c r="AF33" i="3"/>
  <c r="AI83" i="3"/>
  <c r="AH31" i="3"/>
  <c r="AI95" i="3"/>
  <c r="X45" i="3"/>
  <c r="V42" i="3"/>
  <c r="AK68" i="3"/>
  <c r="AK70" i="3" s="1"/>
  <c r="AK25" i="3" s="1"/>
  <c r="AJ16" i="3"/>
  <c r="AJ48" i="3" s="1"/>
  <c r="G30" i="3"/>
  <c r="H16" i="3"/>
  <c r="H25" i="3" s="1"/>
  <c r="Y137" i="3" l="1"/>
  <c r="X140" i="3"/>
  <c r="X142" i="3" s="1"/>
  <c r="X143" i="3" s="1"/>
  <c r="AB181" i="3"/>
  <c r="AB214" i="3" s="1"/>
  <c r="W142" i="3"/>
  <c r="W143" i="3" s="1"/>
  <c r="V143" i="3"/>
  <c r="W43" i="3"/>
  <c r="W45" i="3"/>
  <c r="W42" i="3" s="1"/>
  <c r="Y93" i="3"/>
  <c r="Y88" i="3" s="1"/>
  <c r="Y23" i="3" s="1"/>
  <c r="Y115" i="3"/>
  <c r="Z21" i="3" s="1"/>
  <c r="Z93" i="3" s="1"/>
  <c r="Z88" i="3" s="1"/>
  <c r="Z23" i="3" s="1"/>
  <c r="X213" i="3"/>
  <c r="X206" i="3"/>
  <c r="X202" i="3"/>
  <c r="W206" i="3"/>
  <c r="W198" i="3"/>
  <c r="W213" i="3"/>
  <c r="W202" i="3"/>
  <c r="W205" i="3" s="1"/>
  <c r="Y206" i="3"/>
  <c r="Y213" i="3"/>
  <c r="Y198" i="3"/>
  <c r="AI122" i="3"/>
  <c r="AG122" i="3"/>
  <c r="AF175" i="3"/>
  <c r="AA186" i="3"/>
  <c r="AC181" i="3"/>
  <c r="AC214" i="3" s="1"/>
  <c r="AA109" i="3"/>
  <c r="AI110" i="3"/>
  <c r="AI172" i="3" s="1"/>
  <c r="AC148" i="3"/>
  <c r="AA151" i="3"/>
  <c r="AH175" i="3"/>
  <c r="AF128" i="3"/>
  <c r="AI92" i="3"/>
  <c r="Y45" i="3"/>
  <c r="X42" i="3"/>
  <c r="AF35" i="3"/>
  <c r="AF160" i="3"/>
  <c r="AF96" i="3"/>
  <c r="AF97" i="3" s="1"/>
  <c r="AF98" i="3" s="1"/>
  <c r="AF40" i="3" s="1"/>
  <c r="AJ95" i="3"/>
  <c r="AJ30" i="3"/>
  <c r="AJ19" i="3"/>
  <c r="AJ20" i="3"/>
  <c r="AJ18" i="3"/>
  <c r="AH32" i="3"/>
  <c r="AH33" i="3" s="1"/>
  <c r="AI84" i="3"/>
  <c r="AI29" i="3" s="1"/>
  <c r="Z46" i="3"/>
  <c r="Z194" i="3" s="1"/>
  <c r="Z197" i="3" s="1"/>
  <c r="Y43" i="3"/>
  <c r="Y44" i="3"/>
  <c r="AI32" i="3"/>
  <c r="AI33" i="3" s="1"/>
  <c r="AJ83" i="3"/>
  <c r="AK16" i="3"/>
  <c r="H31" i="3"/>
  <c r="H29" i="3"/>
  <c r="F194" i="3"/>
  <c r="F193" i="3"/>
  <c r="F192" i="3"/>
  <c r="G192" i="3" s="1"/>
  <c r="H192" i="3" s="1"/>
  <c r="F190" i="3"/>
  <c r="G190" i="3" s="1"/>
  <c r="Z137" i="3" l="1"/>
  <c r="Y140" i="3"/>
  <c r="Y142" i="3" s="1"/>
  <c r="Y143" i="3" s="1"/>
  <c r="AB186" i="3"/>
  <c r="Z163" i="3"/>
  <c r="Z179" i="3" s="1"/>
  <c r="Z206" i="3" s="1"/>
  <c r="Z115" i="3"/>
  <c r="AA21" i="3" s="1"/>
  <c r="AA171" i="3"/>
  <c r="AB109" i="3"/>
  <c r="AJ122" i="3"/>
  <c r="AG128" i="3"/>
  <c r="AG175" i="3"/>
  <c r="AJ92" i="3"/>
  <c r="G194" i="3"/>
  <c r="G47" i="3" s="1"/>
  <c r="F47" i="3"/>
  <c r="AC186" i="3"/>
  <c r="AD181" i="3"/>
  <c r="AD214" i="3" s="1"/>
  <c r="AL16" i="3"/>
  <c r="AK48" i="3"/>
  <c r="AD148" i="3"/>
  <c r="AC151" i="3"/>
  <c r="AJ110" i="3"/>
  <c r="AJ172" i="3" s="1"/>
  <c r="AI175" i="3"/>
  <c r="AH128" i="3"/>
  <c r="AC109" i="3"/>
  <c r="AC171" i="3" s="1"/>
  <c r="AJ94" i="3"/>
  <c r="AJ31" i="3"/>
  <c r="AJ32" i="3" s="1"/>
  <c r="AJ33" i="3" s="1"/>
  <c r="AK83" i="3"/>
  <c r="AK30" i="3"/>
  <c r="AK31" i="3" s="1"/>
  <c r="AK94" i="3"/>
  <c r="AK19" i="3"/>
  <c r="AL19" i="3" s="1"/>
  <c r="AK20" i="3"/>
  <c r="AL20" i="3" s="1"/>
  <c r="AK18" i="3"/>
  <c r="AL18" i="3" s="1"/>
  <c r="AJ84" i="3"/>
  <c r="AJ29" i="3" s="1"/>
  <c r="AI35" i="3"/>
  <c r="AI160" i="3"/>
  <c r="AI96" i="3"/>
  <c r="AI97" i="3" s="1"/>
  <c r="AI98" i="3" s="1"/>
  <c r="AI40" i="3" s="1"/>
  <c r="AA46" i="3"/>
  <c r="AA194" i="3" s="1"/>
  <c r="AA197" i="3" s="1"/>
  <c r="Z44" i="3"/>
  <c r="Z43" i="3"/>
  <c r="AH35" i="3"/>
  <c r="AH160" i="3"/>
  <c r="AH96" i="3"/>
  <c r="AH97" i="3" s="1"/>
  <c r="AH98" i="3" s="1"/>
  <c r="AH40" i="3" s="1"/>
  <c r="AG40" i="3"/>
  <c r="Z45" i="3"/>
  <c r="Y42" i="3"/>
  <c r="AK95" i="3"/>
  <c r="G193" i="3"/>
  <c r="H193" i="3" s="1"/>
  <c r="E191" i="3"/>
  <c r="F191" i="3" s="1"/>
  <c r="G191" i="3" s="1"/>
  <c r="E195" i="3"/>
  <c r="F195" i="3" s="1"/>
  <c r="G195" i="3" s="1"/>
  <c r="E189" i="3"/>
  <c r="F189" i="3" s="1"/>
  <c r="G189" i="3" s="1"/>
  <c r="E188" i="3"/>
  <c r="E185" i="3"/>
  <c r="E184" i="3"/>
  <c r="E183" i="3"/>
  <c r="E182" i="3"/>
  <c r="E181" i="3"/>
  <c r="E178" i="3"/>
  <c r="F178" i="3" s="1"/>
  <c r="G178" i="3" s="1"/>
  <c r="E177" i="3"/>
  <c r="E176" i="3"/>
  <c r="E175" i="3"/>
  <c r="E174" i="3"/>
  <c r="E173" i="3"/>
  <c r="E172" i="3"/>
  <c r="E171" i="3"/>
  <c r="E169" i="3"/>
  <c r="E167" i="3"/>
  <c r="E166" i="3"/>
  <c r="E163" i="3"/>
  <c r="E211" i="3" s="1"/>
  <c r="E162" i="3"/>
  <c r="J140" i="3"/>
  <c r="J142" i="3" s="1"/>
  <c r="I140" i="3"/>
  <c r="J128" i="3"/>
  <c r="J16" i="3"/>
  <c r="J214" i="3" s="1"/>
  <c r="AB194" i="3" l="1"/>
  <c r="AB197" i="3" s="1"/>
  <c r="AA163" i="3"/>
  <c r="AB163" i="3" s="1"/>
  <c r="AA137" i="3"/>
  <c r="Z140" i="3"/>
  <c r="Z142" i="3" s="1"/>
  <c r="Z143" i="3" s="1"/>
  <c r="AA115" i="3"/>
  <c r="AA93" i="3"/>
  <c r="AA88" i="3" s="1"/>
  <c r="AA23" i="3" s="1"/>
  <c r="AB23" i="3" s="1"/>
  <c r="AB21" i="3"/>
  <c r="Z202" i="3"/>
  <c r="Z213" i="3"/>
  <c r="Z198" i="3"/>
  <c r="H47" i="3"/>
  <c r="AK122" i="3"/>
  <c r="AB171" i="3"/>
  <c r="F171" i="3"/>
  <c r="G171" i="3" s="1"/>
  <c r="F172" i="3"/>
  <c r="G172" i="3" s="1"/>
  <c r="AD186" i="3"/>
  <c r="AE181" i="3"/>
  <c r="AE214" i="3" s="1"/>
  <c r="E215" i="3"/>
  <c r="J148" i="3"/>
  <c r="J151" i="3" s="1"/>
  <c r="AE148" i="3"/>
  <c r="AD151" i="3"/>
  <c r="AJ175" i="3"/>
  <c r="AI128" i="3"/>
  <c r="AD109" i="3"/>
  <c r="AD171" i="3" s="1"/>
  <c r="AK110" i="3"/>
  <c r="AL22" i="3"/>
  <c r="AK92" i="3"/>
  <c r="AA45" i="3"/>
  <c r="Z42" i="3"/>
  <c r="AC46" i="3"/>
  <c r="AC194" i="3" s="1"/>
  <c r="AA44" i="3"/>
  <c r="AA43" i="3"/>
  <c r="AK84" i="3"/>
  <c r="AK29" i="3" s="1"/>
  <c r="AL30" i="3"/>
  <c r="AK32" i="3"/>
  <c r="AL32" i="3" s="1"/>
  <c r="AJ35" i="3"/>
  <c r="AJ160" i="3"/>
  <c r="AJ96" i="3"/>
  <c r="AJ97" i="3" s="1"/>
  <c r="AJ98" i="3" s="1"/>
  <c r="AJ40" i="3" s="1"/>
  <c r="J87" i="3"/>
  <c r="J85" i="3"/>
  <c r="J89" i="3"/>
  <c r="J88" i="3"/>
  <c r="J92" i="3"/>
  <c r="J86" i="3"/>
  <c r="F162" i="3"/>
  <c r="G162" i="3" s="1"/>
  <c r="F184" i="3"/>
  <c r="G184" i="3" s="1"/>
  <c r="F163" i="3"/>
  <c r="F211" i="3" s="1"/>
  <c r="F181" i="3"/>
  <c r="F185" i="3"/>
  <c r="G185" i="3" s="1"/>
  <c r="F166" i="3"/>
  <c r="G166" i="3" s="1"/>
  <c r="F176" i="3"/>
  <c r="G176" i="3" s="1"/>
  <c r="F182" i="3"/>
  <c r="G182" i="3" s="1"/>
  <c r="E197" i="3"/>
  <c r="F188" i="3"/>
  <c r="F169" i="3"/>
  <c r="G169" i="3" s="1"/>
  <c r="F174" i="3"/>
  <c r="G174" i="3" s="1"/>
  <c r="F175" i="3"/>
  <c r="F167" i="3"/>
  <c r="G167" i="3" s="1"/>
  <c r="F173" i="3"/>
  <c r="G173" i="3" s="1"/>
  <c r="F177" i="3"/>
  <c r="G177" i="3" s="1"/>
  <c r="F183" i="3"/>
  <c r="G183" i="3" s="1"/>
  <c r="H183" i="3" s="1"/>
  <c r="I186" i="3"/>
  <c r="H141" i="3"/>
  <c r="G140" i="3"/>
  <c r="H130" i="3"/>
  <c r="H119" i="3"/>
  <c r="H115" i="3"/>
  <c r="H109" i="3"/>
  <c r="AB25" i="3" l="1"/>
  <c r="AC197" i="3"/>
  <c r="AA179" i="3"/>
  <c r="AA198" i="3" s="1"/>
  <c r="AC137" i="3"/>
  <c r="AA140" i="3"/>
  <c r="AA142" i="3" s="1"/>
  <c r="AB137" i="3"/>
  <c r="AB140" i="3" s="1"/>
  <c r="AB115" i="3"/>
  <c r="AC163" i="3"/>
  <c r="AC179" i="3" s="1"/>
  <c r="AC206" i="3" s="1"/>
  <c r="AC21" i="3"/>
  <c r="AC93" i="3" s="1"/>
  <c r="AC88" i="3" s="1"/>
  <c r="AC23" i="3" s="1"/>
  <c r="AB29" i="3"/>
  <c r="AB31" i="3"/>
  <c r="AB33" i="3" s="1"/>
  <c r="AK172" i="3"/>
  <c r="AL172" i="3" s="1"/>
  <c r="AL110" i="3"/>
  <c r="G181" i="3"/>
  <c r="H181" i="3" s="1"/>
  <c r="H214" i="3" s="1"/>
  <c r="F215" i="3"/>
  <c r="AE186" i="3"/>
  <c r="AF181" i="3"/>
  <c r="AF214" i="3" s="1"/>
  <c r="AJ128" i="3"/>
  <c r="AE109" i="3"/>
  <c r="AE171" i="3" s="1"/>
  <c r="AF148" i="3"/>
  <c r="AE151" i="3"/>
  <c r="G163" i="3"/>
  <c r="G211" i="3" s="1"/>
  <c r="G175" i="3"/>
  <c r="H175" i="3" s="1"/>
  <c r="AD46" i="3"/>
  <c r="AD194" i="3" s="1"/>
  <c r="AD197" i="3" s="1"/>
  <c r="AC44" i="3"/>
  <c r="AC43" i="3"/>
  <c r="AC45" i="3"/>
  <c r="AA42" i="3"/>
  <c r="AK33" i="3"/>
  <c r="H169" i="3"/>
  <c r="H173" i="3"/>
  <c r="F197" i="3"/>
  <c r="G188" i="3"/>
  <c r="G197" i="3" s="1"/>
  <c r="H166" i="3"/>
  <c r="H177" i="3"/>
  <c r="H167" i="3"/>
  <c r="H174" i="3"/>
  <c r="H182" i="3"/>
  <c r="H184" i="3"/>
  <c r="H176" i="3"/>
  <c r="H185" i="3"/>
  <c r="H162" i="3"/>
  <c r="H113" i="3"/>
  <c r="L114" i="3"/>
  <c r="K114" i="3"/>
  <c r="J114" i="3"/>
  <c r="J120" i="3" s="1"/>
  <c r="I114" i="3"/>
  <c r="I120" i="3" s="1"/>
  <c r="G114" i="3"/>
  <c r="G120" i="3" s="1"/>
  <c r="F114" i="3"/>
  <c r="E114" i="3"/>
  <c r="D114" i="3"/>
  <c r="D120" i="3" s="1"/>
  <c r="D186" i="3"/>
  <c r="D140" i="3"/>
  <c r="D142" i="3" s="1"/>
  <c r="AA206" i="3" l="1"/>
  <c r="AA202" i="3"/>
  <c r="AA213" i="3"/>
  <c r="AA143" i="3"/>
  <c r="AB142" i="3"/>
  <c r="AB143" i="3" s="1"/>
  <c r="AD137" i="3"/>
  <c r="AC140" i="3"/>
  <c r="AC142" i="3" s="1"/>
  <c r="AC143" i="3" s="1"/>
  <c r="AC115" i="3"/>
  <c r="AD21" i="3" s="1"/>
  <c r="AD115" i="3" s="1"/>
  <c r="AE21" i="3" s="1"/>
  <c r="AE93" i="3" s="1"/>
  <c r="AE88" i="3" s="1"/>
  <c r="AE23" i="3" s="1"/>
  <c r="AC213" i="3"/>
  <c r="AC202" i="3"/>
  <c r="AC198" i="3"/>
  <c r="AB160" i="3"/>
  <c r="AB179" i="3" s="1"/>
  <c r="AB35" i="3"/>
  <c r="H163" i="3"/>
  <c r="G186" i="3"/>
  <c r="AK128" i="3"/>
  <c r="AK175" i="3"/>
  <c r="AL122" i="3"/>
  <c r="H186" i="3"/>
  <c r="I215" i="3"/>
  <c r="G215" i="3"/>
  <c r="AF186" i="3"/>
  <c r="AH181" i="3"/>
  <c r="AH214" i="3" s="1"/>
  <c r="AG181" i="3"/>
  <c r="AG214" i="3" s="1"/>
  <c r="AF109" i="3"/>
  <c r="AH148" i="3"/>
  <c r="AF151" i="3"/>
  <c r="AK35" i="3"/>
  <c r="AK160" i="3"/>
  <c r="AK96" i="3"/>
  <c r="AK97" i="3" s="1"/>
  <c r="AK98" i="3" s="1"/>
  <c r="AK40" i="3" s="1"/>
  <c r="AD45" i="3"/>
  <c r="AC42" i="3"/>
  <c r="AE46" i="3"/>
  <c r="AE194" i="3" s="1"/>
  <c r="AE197" i="3" s="1"/>
  <c r="AD44" i="3"/>
  <c r="AD43" i="3"/>
  <c r="H188" i="3"/>
  <c r="AD93" i="3" l="1"/>
  <c r="AD88" i="3" s="1"/>
  <c r="AD23" i="3" s="1"/>
  <c r="AE163" i="3"/>
  <c r="AE179" i="3" s="1"/>
  <c r="AE206" i="3" s="1"/>
  <c r="AE137" i="3"/>
  <c r="AD140" i="3"/>
  <c r="AD142" i="3" s="1"/>
  <c r="AD143" i="3" s="1"/>
  <c r="AD163" i="3"/>
  <c r="AD179" i="3" s="1"/>
  <c r="AD206" i="3" s="1"/>
  <c r="AE115" i="3"/>
  <c r="AB46" i="3"/>
  <c r="AB44" i="3" s="1"/>
  <c r="AB45" i="3"/>
  <c r="AB42" i="3" s="1"/>
  <c r="AB206" i="3"/>
  <c r="AB213" i="3"/>
  <c r="AB202" i="3"/>
  <c r="AB205" i="3" s="1"/>
  <c r="AB198" i="3"/>
  <c r="AE198" i="3"/>
  <c r="AF171" i="3"/>
  <c r="AG109" i="3"/>
  <c r="AL175" i="3"/>
  <c r="AL128" i="3"/>
  <c r="AH186" i="3"/>
  <c r="AI181" i="3"/>
  <c r="AI214" i="3" s="1"/>
  <c r="AG186" i="3"/>
  <c r="AI148" i="3"/>
  <c r="AH151" i="3"/>
  <c r="AH109" i="3"/>
  <c r="AH171" i="3" s="1"/>
  <c r="AE45" i="3"/>
  <c r="AD42" i="3"/>
  <c r="AF46" i="3"/>
  <c r="AF194" i="3" s="1"/>
  <c r="AF197" i="3" s="1"/>
  <c r="AE44" i="3"/>
  <c r="AE43" i="3"/>
  <c r="AL40" i="3"/>
  <c r="L34" i="3"/>
  <c r="AE202" i="3" l="1"/>
  <c r="AD198" i="3"/>
  <c r="AG194" i="3"/>
  <c r="AG197" i="3" s="1"/>
  <c r="AE213" i="3"/>
  <c r="AD213" i="3"/>
  <c r="AD202" i="3"/>
  <c r="AF137" i="3"/>
  <c r="AE140" i="3"/>
  <c r="AE142" i="3" s="1"/>
  <c r="AE143" i="3" s="1"/>
  <c r="AF163" i="3"/>
  <c r="AG163" i="3" s="1"/>
  <c r="AF21" i="3"/>
  <c r="AF115" i="3" s="1"/>
  <c r="AB43" i="3"/>
  <c r="AG171" i="3"/>
  <c r="AI186" i="3"/>
  <c r="AJ181" i="3"/>
  <c r="AJ214" i="3" s="1"/>
  <c r="AI109" i="3"/>
  <c r="AI171" i="3" s="1"/>
  <c r="AJ148" i="3"/>
  <c r="AI151" i="3"/>
  <c r="AF45" i="3"/>
  <c r="AE42" i="3"/>
  <c r="AH46" i="3"/>
  <c r="AH194" i="3" s="1"/>
  <c r="AF43" i="3"/>
  <c r="AF44" i="3"/>
  <c r="AH197" i="3" l="1"/>
  <c r="AH137" i="3"/>
  <c r="AF140" i="3"/>
  <c r="AF142" i="3" s="1"/>
  <c r="AG137" i="3"/>
  <c r="AG140" i="3" s="1"/>
  <c r="AF179" i="3"/>
  <c r="AF202" i="3" s="1"/>
  <c r="AG21" i="3"/>
  <c r="AF93" i="3"/>
  <c r="AF88" i="3" s="1"/>
  <c r="AF23" i="3" s="1"/>
  <c r="AG23" i="3" s="1"/>
  <c r="AH163" i="3"/>
  <c r="AH21" i="3"/>
  <c r="AH115" i="3" s="1"/>
  <c r="AG115" i="3"/>
  <c r="AJ186" i="3"/>
  <c r="AK181" i="3"/>
  <c r="AK148" i="3"/>
  <c r="AK151" i="3" s="1"/>
  <c r="AJ151" i="3"/>
  <c r="AJ109" i="3"/>
  <c r="AJ171" i="3" s="1"/>
  <c r="AH45" i="3"/>
  <c r="AF42" i="3"/>
  <c r="AI46" i="3"/>
  <c r="AI194" i="3" s="1"/>
  <c r="AI197" i="3" s="1"/>
  <c r="AH44" i="3"/>
  <c r="AH43" i="3"/>
  <c r="AG25" i="3" l="1"/>
  <c r="AG29" i="3" s="1"/>
  <c r="AG142" i="3"/>
  <c r="AG143" i="3" s="1"/>
  <c r="AF143" i="3"/>
  <c r="AI137" i="3"/>
  <c r="AH140" i="3"/>
  <c r="AH142" i="3" s="1"/>
  <c r="AH143" i="3" s="1"/>
  <c r="AF206" i="3"/>
  <c r="AF213" i="3"/>
  <c r="AF198" i="3"/>
  <c r="AG31" i="3"/>
  <c r="AG33" i="3" s="1"/>
  <c r="AG35" i="3" s="1"/>
  <c r="AH93" i="3"/>
  <c r="AH23" i="3" s="1"/>
  <c r="AL181" i="3"/>
  <c r="AL214" i="3" s="1"/>
  <c r="AK214" i="3"/>
  <c r="AI21" i="3"/>
  <c r="AH179" i="3"/>
  <c r="AK186" i="3"/>
  <c r="AK109" i="3"/>
  <c r="AI45" i="3"/>
  <c r="AH42" i="3"/>
  <c r="AJ46" i="3"/>
  <c r="AJ194" i="3" s="1"/>
  <c r="AJ197" i="3" s="1"/>
  <c r="AI43" i="3"/>
  <c r="AI44" i="3"/>
  <c r="AJ137" i="3" l="1"/>
  <c r="AI140" i="3"/>
  <c r="AI142" i="3" s="1"/>
  <c r="AI143" i="3" s="1"/>
  <c r="AG160" i="3"/>
  <c r="AG179" i="3" s="1"/>
  <c r="AG213" i="3" s="1"/>
  <c r="AI93" i="3"/>
  <c r="AI88" i="3" s="1"/>
  <c r="AI23" i="3" s="1"/>
  <c r="AI115" i="3"/>
  <c r="AG46" i="3"/>
  <c r="AG44" i="3" s="1"/>
  <c r="AG45" i="3"/>
  <c r="AG42" i="3" s="1"/>
  <c r="AI163" i="3"/>
  <c r="AL186" i="3"/>
  <c r="AL109" i="3"/>
  <c r="AK171" i="3"/>
  <c r="AH206" i="3"/>
  <c r="AH198" i="3"/>
  <c r="AH202" i="3"/>
  <c r="AH213" i="3"/>
  <c r="AJ45" i="3"/>
  <c r="AI42" i="3"/>
  <c r="AK46" i="3"/>
  <c r="AK194" i="3" s="1"/>
  <c r="AK197" i="3" s="1"/>
  <c r="AJ43" i="3"/>
  <c r="AJ44" i="3"/>
  <c r="E140" i="3"/>
  <c r="E128" i="3"/>
  <c r="E120" i="3"/>
  <c r="D128" i="3"/>
  <c r="H139" i="3"/>
  <c r="H138" i="3"/>
  <c r="H137" i="3"/>
  <c r="H136" i="3"/>
  <c r="H135" i="3"/>
  <c r="H132" i="3"/>
  <c r="H131" i="3"/>
  <c r="H129" i="3"/>
  <c r="H127" i="3"/>
  <c r="H126" i="3"/>
  <c r="H125" i="3"/>
  <c r="H124" i="3"/>
  <c r="H123" i="3"/>
  <c r="H122" i="3"/>
  <c r="H117" i="3"/>
  <c r="H116" i="3"/>
  <c r="H112" i="3"/>
  <c r="H111" i="3"/>
  <c r="H110" i="3"/>
  <c r="H108" i="3"/>
  <c r="F140" i="3"/>
  <c r="F142" i="3" s="1"/>
  <c r="F128" i="3"/>
  <c r="G128" i="3"/>
  <c r="F120" i="3"/>
  <c r="I128" i="3"/>
  <c r="K140" i="3"/>
  <c r="K142" i="3" s="1"/>
  <c r="K128" i="3"/>
  <c r="K120" i="3"/>
  <c r="L140" i="3"/>
  <c r="M134" i="3"/>
  <c r="L128" i="3"/>
  <c r="M128" i="3" s="1"/>
  <c r="M118" i="3"/>
  <c r="M120" i="3" s="1"/>
  <c r="G142" i="3"/>
  <c r="H142" i="3" s="1"/>
  <c r="H134" i="3"/>
  <c r="L32" i="3"/>
  <c r="L30" i="3"/>
  <c r="L22" i="3"/>
  <c r="L212" i="3" s="1"/>
  <c r="L21" i="3"/>
  <c r="L20" i="3"/>
  <c r="G18" i="3"/>
  <c r="G19" i="3"/>
  <c r="G20" i="3"/>
  <c r="G21" i="3"/>
  <c r="G22" i="3"/>
  <c r="G212" i="3" s="1"/>
  <c r="G23" i="3"/>
  <c r="G34" i="3"/>
  <c r="AL194" i="3" l="1"/>
  <c r="AL197" i="3" s="1"/>
  <c r="AK137" i="3"/>
  <c r="AJ140" i="3"/>
  <c r="AJ142" i="3" s="1"/>
  <c r="AJ143" i="3" s="1"/>
  <c r="AG202" i="3"/>
  <c r="AG205" i="3" s="1"/>
  <c r="AG198" i="3"/>
  <c r="AG206" i="3"/>
  <c r="AG43" i="3"/>
  <c r="G150" i="3"/>
  <c r="G153" i="3" s="1"/>
  <c r="AL171" i="3"/>
  <c r="AJ21" i="3"/>
  <c r="AJ115" i="3" s="1"/>
  <c r="AI179" i="3"/>
  <c r="I199" i="3"/>
  <c r="G149" i="3"/>
  <c r="G152" i="3" s="1"/>
  <c r="D143" i="3"/>
  <c r="D144" i="3" s="1"/>
  <c r="AK44" i="3"/>
  <c r="AK43" i="3"/>
  <c r="AK45" i="3"/>
  <c r="AK42" i="3" s="1"/>
  <c r="AJ42" i="3"/>
  <c r="I142" i="3"/>
  <c r="I143" i="3" s="1"/>
  <c r="I144" i="3" s="1"/>
  <c r="F143" i="3"/>
  <c r="F144" i="3" s="1"/>
  <c r="E142" i="3"/>
  <c r="E143" i="3" s="1"/>
  <c r="E144" i="3" s="1"/>
  <c r="L120" i="3"/>
  <c r="K143" i="3"/>
  <c r="K144" i="3" s="1"/>
  <c r="J143" i="3"/>
  <c r="J144" i="3" s="1"/>
  <c r="H114" i="3"/>
  <c r="H140" i="3"/>
  <c r="H128" i="3"/>
  <c r="G143" i="3"/>
  <c r="G144" i="3" s="1"/>
  <c r="H118" i="3"/>
  <c r="L142" i="3"/>
  <c r="M29" i="3"/>
  <c r="J25" i="3"/>
  <c r="K31" i="3"/>
  <c r="K90" i="3" s="1"/>
  <c r="I16" i="3"/>
  <c r="I214" i="3" s="1"/>
  <c r="F16" i="3"/>
  <c r="F214" i="3" s="1"/>
  <c r="E16" i="3"/>
  <c r="E214" i="3" s="1"/>
  <c r="D16" i="3"/>
  <c r="D214" i="3" s="1"/>
  <c r="G15" i="3"/>
  <c r="G48" i="3" s="1"/>
  <c r="AL137" i="3" l="1"/>
  <c r="AL140" i="3" s="1"/>
  <c r="AK140" i="3"/>
  <c r="AK142" i="3" s="1"/>
  <c r="AJ93" i="3"/>
  <c r="AJ88" i="3" s="1"/>
  <c r="AJ23" i="3" s="1"/>
  <c r="AJ163" i="3"/>
  <c r="AI206" i="3"/>
  <c r="AI202" i="3"/>
  <c r="AI198" i="3"/>
  <c r="AI213" i="3"/>
  <c r="F148" i="3"/>
  <c r="F151" i="3" s="1"/>
  <c r="I148" i="3"/>
  <c r="I151" i="3" s="1"/>
  <c r="E148" i="3"/>
  <c r="E151" i="3" s="1"/>
  <c r="H143" i="3"/>
  <c r="I92" i="3"/>
  <c r="I87" i="3"/>
  <c r="I86" i="3"/>
  <c r="I85" i="3"/>
  <c r="I89" i="3"/>
  <c r="I88" i="3"/>
  <c r="D88" i="3"/>
  <c r="D86" i="3"/>
  <c r="D89" i="3"/>
  <c r="D85" i="3"/>
  <c r="D87" i="3"/>
  <c r="D92" i="3"/>
  <c r="J29" i="3"/>
  <c r="J84" i="3" s="1"/>
  <c r="J94" i="3"/>
  <c r="J93" i="3"/>
  <c r="J95" i="3"/>
  <c r="J83" i="3"/>
  <c r="E25" i="3"/>
  <c r="E31" i="3" s="1"/>
  <c r="E90" i="3" s="1"/>
  <c r="E87" i="3"/>
  <c r="E85" i="3"/>
  <c r="E89" i="3"/>
  <c r="E92" i="3"/>
  <c r="E88" i="3"/>
  <c r="E86" i="3"/>
  <c r="F25" i="3"/>
  <c r="F31" i="3" s="1"/>
  <c r="F90" i="3" s="1"/>
  <c r="F87" i="3"/>
  <c r="F85" i="3"/>
  <c r="F92" i="3"/>
  <c r="F89" i="3"/>
  <c r="F86" i="3"/>
  <c r="F88" i="3"/>
  <c r="I25" i="3"/>
  <c r="L16" i="3"/>
  <c r="L214" i="3" s="1"/>
  <c r="M31" i="3"/>
  <c r="J31" i="3"/>
  <c r="J90" i="3" s="1"/>
  <c r="L143" i="3"/>
  <c r="L144" i="3" s="1"/>
  <c r="M142" i="3"/>
  <c r="H120" i="3"/>
  <c r="D25" i="3"/>
  <c r="AL142" i="3" l="1"/>
  <c r="AL143" i="3" s="1"/>
  <c r="AK143" i="3"/>
  <c r="AJ179" i="3"/>
  <c r="L148" i="3"/>
  <c r="L151" i="3" s="1"/>
  <c r="H144" i="3"/>
  <c r="F29" i="3"/>
  <c r="F84" i="3" s="1"/>
  <c r="F83" i="3"/>
  <c r="F94" i="3"/>
  <c r="F95" i="3"/>
  <c r="F93" i="3"/>
  <c r="I29" i="3"/>
  <c r="I84" i="3" s="1"/>
  <c r="I93" i="3"/>
  <c r="I94" i="3"/>
  <c r="I83" i="3"/>
  <c r="I95" i="3"/>
  <c r="D83" i="3"/>
  <c r="D93" i="3"/>
  <c r="D95" i="3"/>
  <c r="D94" i="3"/>
  <c r="E29" i="3"/>
  <c r="E84" i="3" s="1"/>
  <c r="E95" i="3"/>
  <c r="E93" i="3"/>
  <c r="E83" i="3"/>
  <c r="E94" i="3"/>
  <c r="L25" i="3"/>
  <c r="L93" i="3" s="1"/>
  <c r="L92" i="3"/>
  <c r="L86" i="3"/>
  <c r="L88" i="3"/>
  <c r="L85" i="3"/>
  <c r="L87" i="3"/>
  <c r="L89" i="3"/>
  <c r="I31" i="3"/>
  <c r="D29" i="3"/>
  <c r="D84" i="3" s="1"/>
  <c r="D31" i="3"/>
  <c r="D90" i="3" s="1"/>
  <c r="M143" i="3"/>
  <c r="M144" i="3" s="1"/>
  <c r="AK163" i="3" l="1"/>
  <c r="AK21" i="3"/>
  <c r="AK115" i="3" s="1"/>
  <c r="AJ206" i="3"/>
  <c r="AJ198" i="3"/>
  <c r="AJ202" i="3"/>
  <c r="AJ213" i="3"/>
  <c r="L94" i="3"/>
  <c r="I90" i="3"/>
  <c r="L95" i="3"/>
  <c r="L31" i="3"/>
  <c r="L90" i="3" s="1"/>
  <c r="L83" i="3"/>
  <c r="L29" i="3"/>
  <c r="L84" i="3" s="1"/>
  <c r="M33" i="3"/>
  <c r="J33" i="3"/>
  <c r="E33" i="3"/>
  <c r="D33" i="3"/>
  <c r="D96" i="3" s="1"/>
  <c r="H33" i="3"/>
  <c r="I33" i="3"/>
  <c r="K33" i="3"/>
  <c r="F33" i="3"/>
  <c r="M35" i="3" l="1"/>
  <c r="M160" i="3"/>
  <c r="M179" i="3"/>
  <c r="M198" i="3" s="1"/>
  <c r="AK93" i="3"/>
  <c r="AK88" i="3" s="1"/>
  <c r="AK23" i="3" s="1"/>
  <c r="AL23" i="3" s="1"/>
  <c r="AL21" i="3"/>
  <c r="AL163" i="3"/>
  <c r="AK179" i="3"/>
  <c r="F96" i="3"/>
  <c r="K160" i="3"/>
  <c r="K179" i="3" s="1"/>
  <c r="K96" i="3"/>
  <c r="E160" i="3"/>
  <c r="E179" i="3" s="1"/>
  <c r="E96" i="3"/>
  <c r="I160" i="3"/>
  <c r="I179" i="3" s="1"/>
  <c r="I96" i="3"/>
  <c r="J160" i="3"/>
  <c r="J179" i="3" s="1"/>
  <c r="J96" i="3"/>
  <c r="H160" i="3"/>
  <c r="H35" i="3"/>
  <c r="H40" i="3" s="1"/>
  <c r="I35" i="3"/>
  <c r="J35" i="3"/>
  <c r="D35" i="3"/>
  <c r="D160" i="3"/>
  <c r="F35" i="3"/>
  <c r="F160" i="3"/>
  <c r="F179" i="3" s="1"/>
  <c r="K35" i="3"/>
  <c r="K97" i="3" s="1"/>
  <c r="E35" i="3"/>
  <c r="L33" i="3"/>
  <c r="G33" i="3"/>
  <c r="AL25" i="3" l="1"/>
  <c r="AL31" i="3" s="1"/>
  <c r="AL33" i="3" s="1"/>
  <c r="M202" i="3"/>
  <c r="M205" i="3" s="1"/>
  <c r="M206" i="3"/>
  <c r="AL115" i="3"/>
  <c r="AK206" i="3"/>
  <c r="AK213" i="3"/>
  <c r="AK202" i="3"/>
  <c r="AK198" i="3"/>
  <c r="E206" i="3"/>
  <c r="E202" i="3"/>
  <c r="F213" i="3"/>
  <c r="F202" i="3"/>
  <c r="K202" i="3"/>
  <c r="K213" i="3"/>
  <c r="J213" i="3"/>
  <c r="J202" i="3"/>
  <c r="I202" i="3"/>
  <c r="J198" i="3"/>
  <c r="L96" i="3"/>
  <c r="E40" i="3"/>
  <c r="E98" i="3" s="1"/>
  <c r="E97" i="3"/>
  <c r="F40" i="3"/>
  <c r="F98" i="3" s="1"/>
  <c r="F97" i="3"/>
  <c r="J206" i="3"/>
  <c r="I40" i="3"/>
  <c r="I98" i="3" s="1"/>
  <c r="I97" i="3"/>
  <c r="D40" i="3"/>
  <c r="D97" i="3"/>
  <c r="J40" i="3"/>
  <c r="J98" i="3" s="1"/>
  <c r="J97" i="3"/>
  <c r="G160" i="3"/>
  <c r="G179" i="3" s="1"/>
  <c r="G198" i="3" s="1"/>
  <c r="E43" i="3"/>
  <c r="I43" i="3"/>
  <c r="K42" i="3"/>
  <c r="K40" i="3"/>
  <c r="I42" i="3"/>
  <c r="F206" i="3"/>
  <c r="I198" i="3"/>
  <c r="I200" i="3" s="1"/>
  <c r="I206" i="3"/>
  <c r="K198" i="3"/>
  <c r="K206" i="3"/>
  <c r="L160" i="3"/>
  <c r="L179" i="3" s="1"/>
  <c r="L213" i="3" s="1"/>
  <c r="F42" i="3"/>
  <c r="F43" i="3"/>
  <c r="D42" i="3"/>
  <c r="D43" i="3"/>
  <c r="K43" i="3"/>
  <c r="D179" i="3"/>
  <c r="D206" i="3" s="1"/>
  <c r="J42" i="3"/>
  <c r="J43" i="3"/>
  <c r="G35" i="3"/>
  <c r="E42" i="3"/>
  <c r="AL29" i="3" l="1"/>
  <c r="AL160" i="3"/>
  <c r="AL179" i="3" s="1"/>
  <c r="AL35" i="3"/>
  <c r="I213" i="3"/>
  <c r="D202" i="3"/>
  <c r="E213" i="3"/>
  <c r="L202" i="3"/>
  <c r="N213" i="3"/>
  <c r="E44" i="3"/>
  <c r="J44" i="3"/>
  <c r="F44" i="3"/>
  <c r="I44" i="3"/>
  <c r="K44" i="3"/>
  <c r="K98" i="3"/>
  <c r="D44" i="3"/>
  <c r="D98" i="3"/>
  <c r="G40" i="3"/>
  <c r="L198" i="3"/>
  <c r="L206" i="3"/>
  <c r="J199" i="3"/>
  <c r="I207" i="3"/>
  <c r="G43" i="3"/>
  <c r="G42" i="3"/>
  <c r="H46" i="3"/>
  <c r="H201" i="3" s="1"/>
  <c r="H45" i="3"/>
  <c r="H42" i="3" s="1"/>
  <c r="D198" i="3"/>
  <c r="D200" i="3" s="1"/>
  <c r="AL46" i="3" l="1"/>
  <c r="AL44" i="3" s="1"/>
  <c r="AL45" i="3"/>
  <c r="AL42" i="3" s="1"/>
  <c r="AL198" i="3"/>
  <c r="AL206" i="3"/>
  <c r="AL202" i="3"/>
  <c r="AL205" i="3" s="1"/>
  <c r="C276" i="3" s="1"/>
  <c r="G44" i="3"/>
  <c r="E199" i="3"/>
  <c r="D207" i="3"/>
  <c r="H43" i="3"/>
  <c r="H44" i="3"/>
  <c r="J200" i="3"/>
  <c r="J207" i="3" s="1"/>
  <c r="AL43" i="3" l="1"/>
  <c r="C8" i="3"/>
  <c r="K199" i="3"/>
  <c r="K200" i="3" s="1"/>
  <c r="L199" i="3" l="1"/>
  <c r="L200" i="3" s="1"/>
  <c r="L207" i="3" s="1"/>
  <c r="K207" i="3"/>
  <c r="F186" i="3" l="1"/>
  <c r="F198" i="3" s="1"/>
  <c r="E186" i="3" l="1"/>
  <c r="E198" i="3" s="1"/>
  <c r="E200" i="3" s="1"/>
  <c r="E207" i="3" s="1"/>
  <c r="F199" i="3" l="1"/>
  <c r="F200" i="3" s="1"/>
  <c r="G16" i="3"/>
  <c r="G214" i="3" s="1"/>
  <c r="F207" i="3" l="1"/>
  <c r="G199" i="3"/>
  <c r="G200" i="3" s="1"/>
  <c r="G148" i="3"/>
  <c r="G151" i="3" s="1"/>
  <c r="G25" i="3"/>
  <c r="G31" i="3" s="1"/>
  <c r="G89" i="3"/>
  <c r="G92" i="3"/>
  <c r="G85" i="3"/>
  <c r="G86" i="3"/>
  <c r="G87" i="3"/>
  <c r="G88" i="3"/>
  <c r="G96" i="3"/>
  <c r="G97" i="3"/>
  <c r="G98" i="3"/>
  <c r="G90" i="3" l="1"/>
  <c r="G29" i="3"/>
  <c r="G84" i="3" s="1"/>
  <c r="G93" i="3"/>
  <c r="G83" i="3"/>
  <c r="G94" i="3"/>
  <c r="G95" i="3"/>
  <c r="C230" i="3" l="1"/>
  <c r="C6" i="3"/>
  <c r="C9" i="3" s="1"/>
  <c r="C231" i="3" l="1"/>
  <c r="C232" i="3"/>
  <c r="C7" i="3" l="1"/>
  <c r="H171" i="3" l="1"/>
  <c r="H172" i="3"/>
  <c r="H178" i="3"/>
  <c r="G202" i="3" l="1"/>
  <c r="G213" i="3"/>
  <c r="H179" i="3"/>
  <c r="H202" i="3" s="1"/>
  <c r="G206" i="3"/>
  <c r="H189" i="3"/>
  <c r="H190" i="3"/>
  <c r="H191" i="3"/>
  <c r="H194" i="3"/>
  <c r="H195" i="3"/>
  <c r="H206" i="3" l="1"/>
  <c r="H197" i="3"/>
  <c r="H198" i="3" s="1"/>
  <c r="H200" i="3" s="1"/>
  <c r="H207" i="3" s="1"/>
  <c r="G207" i="3"/>
  <c r="M199" i="3" l="1"/>
  <c r="M200" i="3" s="1"/>
  <c r="M207" i="3" s="1"/>
  <c r="R199" i="3" l="1"/>
  <c r="G56" i="3"/>
  <c r="R200" i="3" l="1"/>
  <c r="P47" i="3"/>
  <c r="R47" i="3" s="1"/>
  <c r="P197" i="3"/>
  <c r="P198" i="3" l="1"/>
  <c r="P200" i="3" s="1"/>
  <c r="P207" i="3" s="1"/>
  <c r="W199" i="3"/>
  <c r="W200" i="3" s="1"/>
  <c r="AB199" i="3" l="1"/>
  <c r="AB200" i="3" s="1"/>
  <c r="Q199" i="3"/>
  <c r="Q200" i="3" s="1"/>
  <c r="Q108" i="3" s="1"/>
  <c r="Q207" i="3" s="1"/>
  <c r="AG199" i="3" l="1"/>
  <c r="AG200" i="3" s="1"/>
  <c r="Q201" i="3"/>
  <c r="Q114" i="3"/>
  <c r="Q120" i="3" s="1"/>
  <c r="Q144" i="3" s="1"/>
  <c r="R108" i="3"/>
  <c r="R207" i="3" s="1"/>
  <c r="AL199" i="3" l="1"/>
  <c r="AL200" i="3" s="1"/>
  <c r="AQ199" i="3" s="1"/>
  <c r="AQ200" i="3" s="1"/>
  <c r="AQ207" i="3" s="1"/>
  <c r="R114" i="3"/>
  <c r="R120" i="3" s="1"/>
  <c r="R144" i="3" s="1"/>
  <c r="S199" i="3"/>
  <c r="S200" i="3" s="1"/>
  <c r="R201" i="3"/>
  <c r="T199" i="3" l="1"/>
  <c r="T200" i="3" s="1"/>
  <c r="S108" i="3"/>
  <c r="S207" i="3" s="1"/>
  <c r="U199" i="3" l="1"/>
  <c r="U200" i="3" s="1"/>
  <c r="S114" i="3"/>
  <c r="S120" i="3" s="1"/>
  <c r="S144" i="3" s="1"/>
  <c r="S201" i="3"/>
  <c r="T108" i="3"/>
  <c r="T207" i="3" s="1"/>
  <c r="V199" i="3" l="1"/>
  <c r="V200" i="3" s="1"/>
  <c r="U108" i="3"/>
  <c r="U207" i="3" s="1"/>
  <c r="T114" i="3"/>
  <c r="T120" i="3" s="1"/>
  <c r="T144" i="3" s="1"/>
  <c r="T201" i="3"/>
  <c r="V108" i="3" l="1"/>
  <c r="V207" i="3" s="1"/>
  <c r="U201" i="3"/>
  <c r="U114" i="3"/>
  <c r="U120" i="3" s="1"/>
  <c r="U144" i="3" s="1"/>
  <c r="W108" i="3" l="1"/>
  <c r="W207" i="3" s="1"/>
  <c r="V114" i="3"/>
  <c r="V120" i="3" s="1"/>
  <c r="V144" i="3" s="1"/>
  <c r="V201" i="3"/>
  <c r="W201" i="3" l="1"/>
  <c r="W114" i="3"/>
  <c r="W120" i="3" s="1"/>
  <c r="W144" i="3" s="1"/>
  <c r="X199" i="3"/>
  <c r="X200" i="3" s="1"/>
  <c r="X108" i="3" s="1"/>
  <c r="X207" i="3" s="1"/>
  <c r="Y199" i="3" l="1"/>
  <c r="Y200" i="3" s="1"/>
  <c r="Z199" i="3" s="1"/>
  <c r="Z200" i="3" s="1"/>
  <c r="X201" i="3"/>
  <c r="X114" i="3"/>
  <c r="X120" i="3" s="1"/>
  <c r="X144" i="3" s="1"/>
  <c r="Y108" i="3" l="1"/>
  <c r="Y207" i="3" s="1"/>
  <c r="Z108" i="3"/>
  <c r="Z207" i="3" s="1"/>
  <c r="AA199" i="3"/>
  <c r="AA200" i="3" s="1"/>
  <c r="Y114" i="3" l="1"/>
  <c r="Y120" i="3" s="1"/>
  <c r="Y144" i="3" s="1"/>
  <c r="Y201" i="3"/>
  <c r="AA108" i="3"/>
  <c r="AA207" i="3" s="1"/>
  <c r="Z201" i="3"/>
  <c r="Z114" i="3"/>
  <c r="Z120" i="3" s="1"/>
  <c r="Z144" i="3" s="1"/>
  <c r="AA114" i="3" l="1"/>
  <c r="AA120" i="3" s="1"/>
  <c r="AA144" i="3" s="1"/>
  <c r="AB108" i="3"/>
  <c r="AB207" i="3" s="1"/>
  <c r="AA201" i="3"/>
  <c r="AC199" i="3" l="1"/>
  <c r="AC200" i="3" s="1"/>
  <c r="AD199" i="3" s="1"/>
  <c r="AD200" i="3" s="1"/>
  <c r="AB114" i="3"/>
  <c r="AB120" i="3" s="1"/>
  <c r="AB144" i="3" s="1"/>
  <c r="AB201" i="3"/>
  <c r="AC108" i="3" l="1"/>
  <c r="AC207" i="3" s="1"/>
  <c r="AD108" i="3"/>
  <c r="AD207" i="3" s="1"/>
  <c r="AE199" i="3"/>
  <c r="AE200" i="3" s="1"/>
  <c r="AC114" i="3" l="1"/>
  <c r="AC120" i="3" s="1"/>
  <c r="AC144" i="3" s="1"/>
  <c r="AC201" i="3"/>
  <c r="AF199" i="3"/>
  <c r="AF200" i="3" s="1"/>
  <c r="AE108" i="3"/>
  <c r="AE207" i="3" s="1"/>
  <c r="AD201" i="3"/>
  <c r="AD114" i="3"/>
  <c r="AD120" i="3" s="1"/>
  <c r="AD144" i="3" s="1"/>
  <c r="AF108" i="3" l="1"/>
  <c r="AF207" i="3" s="1"/>
  <c r="AE201" i="3"/>
  <c r="AE114" i="3"/>
  <c r="AE120" i="3" s="1"/>
  <c r="AE144" i="3" s="1"/>
  <c r="AG108" i="3" l="1"/>
  <c r="AG207" i="3" s="1"/>
  <c r="AF201" i="3"/>
  <c r="AF114" i="3"/>
  <c r="AF120" i="3" s="1"/>
  <c r="AF144" i="3" s="1"/>
  <c r="AG114" i="3" l="1"/>
  <c r="AG120" i="3" s="1"/>
  <c r="AG144" i="3" s="1"/>
  <c r="AH199" i="3"/>
  <c r="AH200" i="3" s="1"/>
  <c r="AI199" i="3" s="1"/>
  <c r="AI200" i="3" s="1"/>
  <c r="AG201" i="3"/>
  <c r="AH108" i="3" l="1"/>
  <c r="AH207" i="3" s="1"/>
  <c r="AJ199" i="3"/>
  <c r="AJ200" i="3" s="1"/>
  <c r="AI108" i="3"/>
  <c r="AI207" i="3" s="1"/>
  <c r="AH201" i="3" l="1"/>
  <c r="AH114" i="3"/>
  <c r="AH120" i="3" s="1"/>
  <c r="AH144" i="3" s="1"/>
  <c r="AI201" i="3"/>
  <c r="AI114" i="3"/>
  <c r="AI120" i="3" s="1"/>
  <c r="AI144" i="3" s="1"/>
  <c r="AJ108" i="3"/>
  <c r="AJ207" i="3" s="1"/>
  <c r="AK199" i="3"/>
  <c r="AK200" i="3" s="1"/>
  <c r="AK108" i="3" l="1"/>
  <c r="AK207" i="3" s="1"/>
  <c r="AJ201" i="3"/>
  <c r="AJ114" i="3"/>
  <c r="AJ120" i="3" s="1"/>
  <c r="AJ144" i="3" s="1"/>
  <c r="AL108" i="3" l="1"/>
  <c r="AL207" i="3" s="1"/>
  <c r="AK114" i="3"/>
  <c r="AK120" i="3" s="1"/>
  <c r="AK144" i="3" s="1"/>
  <c r="AK201" i="3"/>
  <c r="AL114" i="3" l="1"/>
  <c r="AL120" i="3" s="1"/>
  <c r="AL144" i="3" s="1"/>
  <c r="AL201" i="3"/>
  <c r="M40" i="3" l="1"/>
  <c r="L35" i="3"/>
  <c r="L42" i="3" s="1"/>
  <c r="L43" i="3" l="1"/>
  <c r="M46" i="3"/>
  <c r="M43" i="3" s="1"/>
  <c r="M45" i="3"/>
  <c r="M42" i="3" s="1"/>
  <c r="L97" i="3"/>
  <c r="L40" i="3"/>
  <c r="M201" i="3" l="1"/>
  <c r="M44" i="3"/>
  <c r="L44" i="3"/>
  <c r="L98" i="3"/>
</calcChain>
</file>

<file path=xl/comments1.xml><?xml version="1.0" encoding="utf-8"?>
<comments xmlns="http://schemas.openxmlformats.org/spreadsheetml/2006/main">
  <authors>
    <author>newuser</author>
    <author>GE User</author>
  </authors>
  <commentList>
    <comment ref="Q16" authorId="0" shapeId="0">
      <text>
        <r>
          <rPr>
            <sz val="9"/>
            <color indexed="81"/>
            <rFont val="Tahoma"/>
            <family val="2"/>
          </rPr>
          <t xml:space="preserve">Management guided revenue $143-145k
</t>
        </r>
      </text>
    </comment>
    <comment ref="O36" authorId="0" shapeId="0">
      <text>
        <r>
          <rPr>
            <b/>
            <sz val="9"/>
            <color indexed="81"/>
            <rFont val="Tahoma"/>
            <family val="2"/>
          </rPr>
          <t>newuser:</t>
        </r>
        <r>
          <rPr>
            <sz val="9"/>
            <color indexed="81"/>
            <rFont val="Tahoma"/>
            <family val="2"/>
          </rPr>
          <t xml:space="preserve">
Current quarter tax rate is 3.9%
</t>
        </r>
      </text>
    </comment>
    <comment ref="O37" authorId="0" shapeId="0">
      <text>
        <r>
          <rPr>
            <b/>
            <sz val="9"/>
            <color indexed="81"/>
            <rFont val="Tahoma"/>
            <family val="2"/>
          </rPr>
          <t>newuser:</t>
        </r>
        <r>
          <rPr>
            <sz val="9"/>
            <color indexed="81"/>
            <rFont val="Tahoma"/>
            <family val="2"/>
          </rPr>
          <t xml:space="preserve">
Current quarter tax rate of 3.9%; guidance given at 14%
</t>
        </r>
      </text>
    </comment>
    <comment ref="Q42" authorId="0" shapeId="0">
      <text>
        <r>
          <rPr>
            <sz val="9"/>
            <color indexed="81"/>
            <rFont val="Tahoma"/>
            <family val="2"/>
          </rPr>
          <t>Management guided EPS range $0.38-0.40</t>
        </r>
      </text>
    </comment>
    <comment ref="D44" authorId="0" shapeId="0">
      <text>
        <r>
          <rPr>
            <b/>
            <sz val="9"/>
            <color indexed="81"/>
            <rFont val="Tahoma"/>
            <family val="2"/>
          </rPr>
          <t>newuser:</t>
        </r>
        <r>
          <rPr>
            <sz val="9"/>
            <color indexed="81"/>
            <rFont val="Tahoma"/>
            <family val="2"/>
          </rPr>
          <t xml:space="preserve">
Adjusted for Weather disruption &amp; project delay losses, net of tax (Non-GAAP) </t>
        </r>
        <r>
          <rPr>
            <b/>
            <sz val="9"/>
            <color indexed="81"/>
            <rFont val="Tahoma"/>
            <family val="2"/>
          </rPr>
          <t xml:space="preserve">$0.07
</t>
        </r>
      </text>
    </comment>
    <comment ref="Q55" authorId="0" shapeId="0">
      <text>
        <r>
          <rPr>
            <sz val="9"/>
            <color indexed="81"/>
            <rFont val="Tahoma"/>
            <family val="2"/>
          </rPr>
          <t xml:space="preserve">Management guided operating margin at 20%
</t>
        </r>
      </text>
    </comment>
    <comment ref="Q60" authorId="0" shapeId="0">
      <text>
        <r>
          <rPr>
            <sz val="9"/>
            <color indexed="81"/>
            <rFont val="Tahoma"/>
            <family val="2"/>
          </rPr>
          <t xml:space="preserve">Management guided an increase in revenue. No specific number given.
An assumption of 5% is based on a substantial increase in drilling activities in North America and an increase of crude prices. </t>
        </r>
      </text>
    </comment>
    <comment ref="Q63" authorId="0" shapeId="0">
      <text>
        <r>
          <rPr>
            <sz val="9"/>
            <color indexed="81"/>
            <rFont val="Tahoma"/>
            <family val="2"/>
          </rPr>
          <t xml:space="preserve">Management guided an increase in operating margins for Production Enhancement segment due to an increase in drilling activities in North America. *no specific numbers provided. 
</t>
        </r>
      </text>
    </comment>
    <comment ref="Q90" authorId="0" shapeId="0">
      <text>
        <r>
          <rPr>
            <sz val="9"/>
            <color indexed="81"/>
            <rFont val="Tahoma"/>
            <family val="2"/>
          </rPr>
          <t xml:space="preserve">Management guided a tax rate of 6%
</t>
        </r>
      </text>
    </comment>
    <comment ref="C273" authorId="1" shapeId="0">
      <text>
        <r>
          <rPr>
            <b/>
            <sz val="9"/>
            <color indexed="81"/>
            <rFont val="Tahoma"/>
            <family val="2"/>
          </rPr>
          <t xml:space="preserve">Equation:
CFO: </t>
        </r>
        <r>
          <rPr>
            <sz val="9"/>
            <color indexed="81"/>
            <rFont val="Tahoma"/>
            <family val="2"/>
          </rPr>
          <t xml:space="preserve">[CFO x (1 + Constant CFO growth rate)] 
</t>
        </r>
        <r>
          <rPr>
            <b/>
            <sz val="9"/>
            <color indexed="81"/>
            <rFont val="Tahoma"/>
            <family val="2"/>
          </rPr>
          <t xml:space="preserve">Minus Capex: </t>
        </r>
        <r>
          <rPr>
            <sz val="9"/>
            <color indexed="81"/>
            <rFont val="Tahoma"/>
            <family val="2"/>
          </rPr>
          <t xml:space="preserve">[(Average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List>
</comments>
</file>

<file path=xl/sharedStrings.xml><?xml version="1.0" encoding="utf-8"?>
<sst xmlns="http://schemas.openxmlformats.org/spreadsheetml/2006/main" count="729" uniqueCount="304">
  <si>
    <t>Multiple Valuation</t>
  </si>
  <si>
    <t>Sept-14</t>
  </si>
  <si>
    <t>June-14</t>
  </si>
  <si>
    <t>Mar-14</t>
  </si>
  <si>
    <t>Dec-14</t>
  </si>
  <si>
    <t>Mar-15</t>
  </si>
  <si>
    <t>June-15</t>
  </si>
  <si>
    <t>Sept-15</t>
  </si>
  <si>
    <t>Dec-16</t>
  </si>
  <si>
    <t>Dec-15</t>
  </si>
  <si>
    <t>Mar-16</t>
  </si>
  <si>
    <t>June-16</t>
  </si>
  <si>
    <t>Sept-16</t>
  </si>
  <si>
    <t>Mar-17</t>
  </si>
  <si>
    <t>June-17</t>
  </si>
  <si>
    <t>Sept-17</t>
  </si>
  <si>
    <t>Dec-17</t>
  </si>
  <si>
    <t xml:space="preserve">Segment Data &amp; Income Statement Ratios </t>
  </si>
  <si>
    <t>FY 2014</t>
  </si>
  <si>
    <t>FY 2016E</t>
  </si>
  <si>
    <t>FY 2017E</t>
  </si>
  <si>
    <t xml:space="preserve">Plus net cash/(debt) per share </t>
  </si>
  <si>
    <t>Implied P/E 12-month target value</t>
  </si>
  <si>
    <t>1Q14</t>
  </si>
  <si>
    <t>2Q14</t>
  </si>
  <si>
    <t>3Q14</t>
  </si>
  <si>
    <t>4Q14</t>
  </si>
  <si>
    <t>1Q15</t>
  </si>
  <si>
    <t>2Q15</t>
  </si>
  <si>
    <t>1Q16E</t>
  </si>
  <si>
    <t>2Q16E</t>
  </si>
  <si>
    <t>3Q16E</t>
  </si>
  <si>
    <t>4Q16E</t>
  </si>
  <si>
    <t>1Q17E</t>
  </si>
  <si>
    <t>2Q17E</t>
  </si>
  <si>
    <t>3Q17E</t>
  </si>
  <si>
    <t>4Q17E</t>
  </si>
  <si>
    <t>3Q15</t>
  </si>
  <si>
    <t>Effective income tax rate</t>
  </si>
  <si>
    <t>Interest expense</t>
  </si>
  <si>
    <t>Blue cells = Gutenberg® estimates</t>
  </si>
  <si>
    <t>4Q15</t>
  </si>
  <si>
    <t>FY 2015</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</si>
  <si>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</si>
  <si>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</si>
  <si>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</si>
  <si>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</si>
  <si>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</si>
  <si>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</si>
  <si>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</si>
  <si>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BALANCE SHEET</t>
  </si>
  <si>
    <t>Accounts payable</t>
  </si>
  <si>
    <t>CASH FLOW STATEMENT</t>
  </si>
  <si>
    <t>Net income (loss)</t>
  </si>
  <si>
    <t>1Q16</t>
  </si>
  <si>
    <t>2Q16</t>
  </si>
  <si>
    <t xml:space="preserve">Income tax expense (benefit) </t>
  </si>
  <si>
    <t>Net income (Loss)</t>
  </si>
  <si>
    <t>Net income (Loss) attributable to noncontrolling interests</t>
  </si>
  <si>
    <t>Per Common Share</t>
  </si>
  <si>
    <t>Net income (loss) attributable to common stockholders - basic</t>
  </si>
  <si>
    <t>Net income (loss) attributable to common stockholders - diluted</t>
  </si>
  <si>
    <t>Average Number of Common Shares Outstanding - Basic</t>
  </si>
  <si>
    <t>Average Number of Common Shares Outstanding - Diluted</t>
  </si>
  <si>
    <t>Dividends (per Common share)</t>
  </si>
  <si>
    <t xml:space="preserve">Accounts receivables (net of allowance) </t>
  </si>
  <si>
    <t>Cash and cash equivalents</t>
  </si>
  <si>
    <t>Accrued expenses</t>
  </si>
  <si>
    <t>Retained earnings</t>
  </si>
  <si>
    <t>Accumulated other comprehensive income (loss)</t>
  </si>
  <si>
    <t xml:space="preserve">Noncontrolling interests </t>
  </si>
  <si>
    <t>Adjustments to reconcile net income (loss) to net cash provided by (used in) operating activities</t>
  </si>
  <si>
    <t xml:space="preserve">Depreciation, depletion, and amortization </t>
  </si>
  <si>
    <t>Changes in operating assets and liabilities</t>
  </si>
  <si>
    <t>Net cash provided by (used) operating activities</t>
  </si>
  <si>
    <t>Dividends paid</t>
  </si>
  <si>
    <t>3Q16</t>
  </si>
  <si>
    <t>Purple cells = Company guidance (last update 10/31/16)</t>
  </si>
  <si>
    <t>Core Laboratories Corporation Income Statement</t>
  </si>
  <si>
    <t>Services</t>
  </si>
  <si>
    <t>Product sales</t>
  </si>
  <si>
    <t>Total revenue</t>
  </si>
  <si>
    <t>OPERATING EXPENSES:</t>
  </si>
  <si>
    <t>REVENUE:</t>
  </si>
  <si>
    <t>Cost of services, exclusive of depreciation expense shown below</t>
  </si>
  <si>
    <t>Cost of product sales, exclusive of depreciation expense shown below</t>
  </si>
  <si>
    <t>General and administrative expenses, exclusive of depreciation expense shown below</t>
  </si>
  <si>
    <t>Depreciation</t>
  </si>
  <si>
    <t>Amortization</t>
  </si>
  <si>
    <t>Other (income) expense, net</t>
  </si>
  <si>
    <t xml:space="preserve">OPERATING INCOME (LOSS) </t>
  </si>
  <si>
    <t>INCOME (LOSS) BEFORE INCOME TAX EXPENSE</t>
  </si>
  <si>
    <t>Net income (Loss) attributable to Core Laboratories N.V.</t>
  </si>
  <si>
    <t xml:space="preserve">Inventories </t>
  </si>
  <si>
    <t>Prepaid expenses</t>
  </si>
  <si>
    <t>Income tax receivable</t>
  </si>
  <si>
    <t>Other current assets</t>
  </si>
  <si>
    <t>TOTAL CURRENT ASSETS</t>
  </si>
  <si>
    <t>PROPERTY, PLANT AND EQUIPMENT, net</t>
  </si>
  <si>
    <t>INTANGIBLES, net</t>
  </si>
  <si>
    <t xml:space="preserve">GOODWILL </t>
  </si>
  <si>
    <t>DEFERRED TAX ASSETS, net</t>
  </si>
  <si>
    <t>OTHER ASSETS</t>
  </si>
  <si>
    <t>CURRENT ASSETS</t>
  </si>
  <si>
    <t>TOTAL ASSETS</t>
  </si>
  <si>
    <t>CURRENT LIABILITIES</t>
  </si>
  <si>
    <t>Accrued payroll and related costs</t>
  </si>
  <si>
    <t>Taxes other than payroll and income</t>
  </si>
  <si>
    <t>Unearned revenue</t>
  </si>
  <si>
    <t>Income tax payable</t>
  </si>
  <si>
    <t>Other accrued expenses</t>
  </si>
  <si>
    <t>TOTAL CURRENT LIABILITIES</t>
  </si>
  <si>
    <t>LONG-TERM DEBT AND CAPITAL LEASE OBLIGATIONS</t>
  </si>
  <si>
    <t>DEFERRED COMPENSATION</t>
  </si>
  <si>
    <t>DEFERRED TAX LIABILITIES, net</t>
  </si>
  <si>
    <t>OTHER LONG-TERM LIABILITIES</t>
  </si>
  <si>
    <t>COMMITMENTS AND CONTINGENCIES (note 6)</t>
  </si>
  <si>
    <t>(USD in Thousands, unless otherwise specified)</t>
  </si>
  <si>
    <t>(USD $ in Thousands, unless otherwise specified)</t>
  </si>
  <si>
    <t>Preference shares, EUR 0.02 par value; 6,000,000 shares authorized, none issued or outstanding</t>
  </si>
  <si>
    <t>Additional paid-in capital</t>
  </si>
  <si>
    <t>Treasure shares (at cost)</t>
  </si>
  <si>
    <t>Total Core Laboratories N.V. shareholders' equity</t>
  </si>
  <si>
    <t>TOTAL EQUITY</t>
  </si>
  <si>
    <t>TOTAL LIABILITIES AND EQUITY</t>
  </si>
  <si>
    <t>Stock-based compensation</t>
  </si>
  <si>
    <t>(Gain) on insurance recovery</t>
  </si>
  <si>
    <t>(Increase) decrease in value of life insurance policies</t>
  </si>
  <si>
    <t>Deferred income taxes</t>
  </si>
  <si>
    <t>Other non-cash items</t>
  </si>
  <si>
    <t>Prepaid expenses and other current assets</t>
  </si>
  <si>
    <t>CASH FLOWS FROM OPERATING ACTIVITIES:</t>
  </si>
  <si>
    <t>Other assets</t>
  </si>
  <si>
    <t xml:space="preserve">Other long-term liabilities </t>
  </si>
  <si>
    <t xml:space="preserve">Accounts receivable </t>
  </si>
  <si>
    <t>CASH FLOWS FROM INVESTING ACTIVITIES:</t>
  </si>
  <si>
    <t>Capital expenditures</t>
  </si>
  <si>
    <t>Patents and other intangibles</t>
  </si>
  <si>
    <t>Business acquisition, net of cash acquired</t>
  </si>
  <si>
    <t>Proceeds from sales of assets</t>
  </si>
  <si>
    <t>Premiums on life insurance</t>
  </si>
  <si>
    <t>Net cash provided by (used) in investing activities</t>
  </si>
  <si>
    <t>CASH FLOWS FROM FINANCING ACTIVITIES:</t>
  </si>
  <si>
    <t>Stock options exercised</t>
  </si>
  <si>
    <t>Excess tax benefits from stock-based compensation</t>
  </si>
  <si>
    <t>Repurchase of common shares</t>
  </si>
  <si>
    <t>Net cash provided by (used) in financing activities</t>
  </si>
  <si>
    <t>NET CHANGE IN CASH AND CASH EQUIVALENTS</t>
  </si>
  <si>
    <t>NET CHANGE IN CASH AND CASH EQUIVALENTS, beginning of period</t>
  </si>
  <si>
    <t>NET CHANGE IN CASH AND CASH EQUIVALENTS, end of period</t>
  </si>
  <si>
    <t>Severance and other charges</t>
  </si>
  <si>
    <t>Increase (Decrease) in Deferred Revenue</t>
  </si>
  <si>
    <t>Repayment of debt borrowings</t>
  </si>
  <si>
    <t>Proceeds from debt borrowings</t>
  </si>
  <si>
    <t xml:space="preserve">Non-controlling interest - dividend </t>
  </si>
  <si>
    <t>Debt financing costs</t>
  </si>
  <si>
    <t>Debt issuance cost</t>
  </si>
  <si>
    <t>Common shares, EUR 0.02 par value; 200,000,000 shares authorized</t>
  </si>
  <si>
    <t>Asset Impairment Charges</t>
  </si>
  <si>
    <t>Free cash flow (non-GAAP)</t>
  </si>
  <si>
    <t>Proceeds from issuance or sale of equity</t>
  </si>
  <si>
    <t>Foreign exchange losses (non-GAAP)</t>
  </si>
  <si>
    <t>Severance and other charges (non-GAAP)</t>
  </si>
  <si>
    <t>Operating income excluding foreign exchange (non-GAAP)</t>
  </si>
  <si>
    <t>Foreign exchange losses, net of tax (non-GAAP)</t>
  </si>
  <si>
    <t>Impact of lower effective tax rate (non-GAAP)</t>
  </si>
  <si>
    <t>Severance and other charges, net of tax (non-GAAP)</t>
  </si>
  <si>
    <t>Adjusted net income (loss) (non-GAAP)</t>
  </si>
  <si>
    <t>Net income (loss) attributable to common stockholders - diluted (non-GAAP)</t>
  </si>
  <si>
    <t>Asset impairment and facility exit costs (non-GAAP)</t>
  </si>
  <si>
    <t>Asset impairment and facility exit costs, net of tax (non-GAAP)</t>
  </si>
  <si>
    <t xml:space="preserve">Revenues from unaffiliated clients </t>
  </si>
  <si>
    <t>Segment operating income (loss)</t>
  </si>
  <si>
    <t>Total assets (at end of period)</t>
  </si>
  <si>
    <t xml:space="preserve">RESERVOIR DESCRIPTION </t>
  </si>
  <si>
    <t>Depreciation and amortization</t>
  </si>
  <si>
    <t>PRODUCTION ENHANCEMENT</t>
  </si>
  <si>
    <t>RESERVOIR MANAGEMENT</t>
  </si>
  <si>
    <t>CORPORATE &amp; OTHER</t>
  </si>
  <si>
    <t>INCOME STATEMENT RATIOS</t>
  </si>
  <si>
    <t>Operating margin % (GAAP)</t>
  </si>
  <si>
    <t>Operating margin % (non-GAAP)</t>
  </si>
  <si>
    <t xml:space="preserve">Gross margin % </t>
  </si>
  <si>
    <t>Revenues from unaffiliated clients growth rate % (QoQ)</t>
  </si>
  <si>
    <t>MARGIN ANALYSIS</t>
  </si>
  <si>
    <t>EBITDA margin %</t>
  </si>
  <si>
    <t>EBITA margin %</t>
  </si>
  <si>
    <t>EBIT margin %</t>
  </si>
  <si>
    <t>NI margin %</t>
  </si>
  <si>
    <t xml:space="preserve">NI attributable to CLB shareholders margin % </t>
  </si>
  <si>
    <t>Normalized NI margin %</t>
  </si>
  <si>
    <t>Cost of services to revenue %</t>
  </si>
  <si>
    <t>Cost of product sales to revenue %</t>
  </si>
  <si>
    <t>General and administrative expenses to revenue %</t>
  </si>
  <si>
    <t>Other operating expense to revenue %</t>
  </si>
  <si>
    <t>Interest expense to revenue %</t>
  </si>
  <si>
    <t>Segment Operating Margin %</t>
  </si>
  <si>
    <t>Mar-18</t>
  </si>
  <si>
    <t>June-18</t>
  </si>
  <si>
    <t>Sept-18</t>
  </si>
  <si>
    <t>Dec-18</t>
  </si>
  <si>
    <t>Mar-19</t>
  </si>
  <si>
    <t>June-19</t>
  </si>
  <si>
    <t>Sept-19</t>
  </si>
  <si>
    <t>Dec-19</t>
  </si>
  <si>
    <t>Mar-20</t>
  </si>
  <si>
    <t>June-20</t>
  </si>
  <si>
    <t>Sept-20</t>
  </si>
  <si>
    <t>Dec-20</t>
  </si>
  <si>
    <t>1Q18E</t>
  </si>
  <si>
    <t>2Q18E</t>
  </si>
  <si>
    <t>3Q18E</t>
  </si>
  <si>
    <t>4Q18E</t>
  </si>
  <si>
    <t>FY 2018E</t>
  </si>
  <si>
    <t>1Q19E</t>
  </si>
  <si>
    <t>2Q19E</t>
  </si>
  <si>
    <t>3Q19E</t>
  </si>
  <si>
    <t>4Q19E</t>
  </si>
  <si>
    <t>FY 2019E</t>
  </si>
  <si>
    <t>1Q20E</t>
  </si>
  <si>
    <t>2Q20E</t>
  </si>
  <si>
    <t>3Q20E</t>
  </si>
  <si>
    <t>4Q20E</t>
  </si>
  <si>
    <t>FY 2020E</t>
  </si>
  <si>
    <t>SHARE COUNT ANALYSIS</t>
  </si>
  <si>
    <t>Change in basic shares (excluding repurchases)</t>
  </si>
  <si>
    <t>Change in diluted shares (excluding repurchases)</t>
  </si>
  <si>
    <t>Balance Sheet Ratios &amp; Assumptions</t>
  </si>
  <si>
    <t>2014</t>
  </si>
  <si>
    <t>2015</t>
  </si>
  <si>
    <t>2016E</t>
  </si>
  <si>
    <t>2017E</t>
  </si>
  <si>
    <t>2018E</t>
  </si>
  <si>
    <t>2019E</t>
  </si>
  <si>
    <t>2020E</t>
  </si>
  <si>
    <t>Ratios</t>
  </si>
  <si>
    <t>*Assumes 90 days in each quarter (Non-GAAP)</t>
  </si>
  <si>
    <t>Cash Flow Ratios &amp; Assumptions</t>
  </si>
  <si>
    <t>Depreciation to PPE</t>
  </si>
  <si>
    <t xml:space="preserve"> </t>
  </si>
  <si>
    <t>Net Cash from Operations growth rate</t>
  </si>
  <si>
    <t>Capex to sales</t>
  </si>
  <si>
    <t>Capex growth</t>
  </si>
  <si>
    <t>RATIOS</t>
  </si>
  <si>
    <t>Receivables turnover</t>
  </si>
  <si>
    <t xml:space="preserve">Inventory turnover </t>
  </si>
  <si>
    <t>Payables turnover</t>
  </si>
  <si>
    <t>Days of sales outstanding*</t>
  </si>
  <si>
    <t>Days of inventory on hand*</t>
  </si>
  <si>
    <t>Number of days of payables*</t>
  </si>
  <si>
    <t>Net cash per share</t>
  </si>
  <si>
    <t>Free Cash Flow to Firm (FCFF)</t>
  </si>
  <si>
    <t>Discounted FCFF</t>
  </si>
  <si>
    <t>DCF Period (approximate number of years)</t>
  </si>
  <si>
    <t>NTM P/E 3-month average</t>
  </si>
  <si>
    <t>NTM P/E 3-month high</t>
  </si>
  <si>
    <t>NTM P/E 3-month low</t>
  </si>
  <si>
    <t>P/E used for valuation</t>
  </si>
  <si>
    <t xml:space="preserve">(a) Multiples are calculated excluding the value of net cash/(debt) and are based on the 3-month average daily share price compared to the earnings per share estimates for the next twelve month period. </t>
  </si>
  <si>
    <t>Discounted Cash Flow Valuation</t>
  </si>
  <si>
    <t>WACC Inputs</t>
  </si>
  <si>
    <t>Current share price</t>
  </si>
  <si>
    <t>Shares outstanding</t>
  </si>
  <si>
    <t>Market Capitalization ($M)</t>
  </si>
  <si>
    <t>Beta (relative to the S&amp;P500)</t>
  </si>
  <si>
    <t>Constant market Sharpe ratio(b)</t>
  </si>
  <si>
    <t>S&amp;P500 implied volatility(c)</t>
  </si>
  <si>
    <t>Equity market risk premium</t>
  </si>
  <si>
    <t>Risk Free (12-mo ave 10yr US-T)</t>
  </si>
  <si>
    <t>Required return on equity (CAPM)</t>
  </si>
  <si>
    <t>Equity to total capital</t>
  </si>
  <si>
    <t>Average cost of debt</t>
  </si>
  <si>
    <t>Effective tax rate</t>
  </si>
  <si>
    <t xml:space="preserve">After tax cost of debt </t>
  </si>
  <si>
    <t>Weighted Average Cost of Capital</t>
  </si>
  <si>
    <r>
      <t>Constant Growth Stage Assumptions</t>
    </r>
    <r>
      <rPr>
        <sz val="11"/>
        <color theme="1"/>
        <rFont val="Calibri"/>
        <family val="2"/>
        <scheme val="minor"/>
      </rPr>
      <t>(d,e)</t>
    </r>
  </si>
  <si>
    <t>Revenue growth (in perpetuity)</t>
  </si>
  <si>
    <t>Constant CFO growth rate</t>
  </si>
  <si>
    <t>Ave CapEx (% of sales)</t>
  </si>
  <si>
    <t>DCF Valuation</t>
  </si>
  <si>
    <t>PV of terminal value</t>
  </si>
  <si>
    <t>NPV of stage-one cash flows</t>
  </si>
  <si>
    <t xml:space="preserve">Plus cash/(debt) per share </t>
  </si>
  <si>
    <t>Implied DCF 12-month target value</t>
  </si>
  <si>
    <t xml:space="preserve">(b) We use the Constant Sharpe approach to estimate the Equity Risk Premium. The S&amp;P500 Constant Sharpe is calculated by taking the excess return on the index over the risk-free rate, divided by the standard deviation of returns. We then multiply the constant Sharpe by the last three month average implied volatility.
</t>
  </si>
  <si>
    <t>(c) The VIX is quoted in percentage points and measures the implied annualized volatility for the S&amp;P500. The VIX is a forward looking measure of implied volatility, however, single day volatility would have too much of an impact on the overall discount rate, which is why we choose to use the twelve month average.</t>
  </si>
  <si>
    <t>(d) Assumes constant networking capital in the constant growth stage.
(e) Assumes debt balance and interest expense remains constant in the constant growth stage, and that book value of debt approximates fair value.</t>
  </si>
  <si>
    <t>Implied average target value</t>
  </si>
  <si>
    <t>Implied target price band (P/E)</t>
  </si>
  <si>
    <t>Amortization to Intangibles</t>
  </si>
  <si>
    <t>Stock-based compensation expense to revenue</t>
  </si>
  <si>
    <r>
      <rPr>
        <b/>
        <sz val="11"/>
        <color theme="1"/>
        <rFont val="Calibri"/>
        <family val="2"/>
        <scheme val="minor"/>
      </rPr>
      <t xml:space="preserve">NOTE: </t>
    </r>
    <r>
      <rPr>
        <sz val="11"/>
        <color theme="1"/>
        <rFont val="Calibri"/>
        <family val="2"/>
        <scheme val="minor"/>
      </rPr>
      <t xml:space="preserve">There are many different methods to calculate a DCF-based valuation, each of which result in different final valuation estimates. This calculation is for demonstration only. Different inputs and assumptions can result in significantly different valuation estimates. Refer to the Disclosure tab for important information regarding this demonstration.  Our DCF and Multiple valuation metrics are kept constant at certain points during each quarter to isolate the impact from changes in earnings estimates.  </t>
    </r>
    <r>
      <rPr>
        <b/>
        <sz val="11"/>
        <color theme="3"/>
        <rFont val="Calibri"/>
        <family val="2"/>
        <scheme val="minor"/>
      </rPr>
      <t xml:space="preserve">The  Beta, Volatility, and Risk-Free rate used in this DCF section was last updated on 1/3/2017. </t>
    </r>
  </si>
  <si>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The multiple  in this section was last updated on 1/3/2017.</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</si>
  <si>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1/3/2017. </t>
    </r>
  </si>
  <si>
    <t xml:space="preserve">Orange cells = Consensus estimates </t>
  </si>
  <si>
    <t>Mar-21</t>
  </si>
  <si>
    <t>1Q21E</t>
  </si>
  <si>
    <t>June-21</t>
  </si>
  <si>
    <t>2Q21E</t>
  </si>
  <si>
    <t>Sept-21</t>
  </si>
  <si>
    <t>3Q21E</t>
  </si>
  <si>
    <t>Dec-21</t>
  </si>
  <si>
    <t>4Q21E</t>
  </si>
  <si>
    <t>FY 2021E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</si>
</sst>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x"/>
    <numFmt numFmtId="168" formatCode="_(* #,##0.000_);_(* \(#,##0.000\);_(* &quot;-&quot;??_);_(@_)"/>
    <numFmt numFmtId="169" formatCode="#,##0.0_);\(#,##0.0\)"/>
    <numFmt numFmtId="170" formatCode="#,##0.0\ ;\(#,##0.0\)"/>
    <numFmt numFmtId="171" formatCode="#,##0\ ;\(#,##0.0\)"/>
    <numFmt numFmtId="172" formatCode="&quot;$&quot;0.00_)"/>
    <numFmt numFmtId="173" formatCode="#,##0&quot;%&quot;"/>
    <numFmt numFmtId="174" formatCode="#,##0___);\(#,##0.00\)"/>
    <numFmt numFmtId="175" formatCode="0%;\(0%\)"/>
    <numFmt numFmtId="176" formatCode="_(* #,##0,,_);_(* \(#,##0,,\);_(* &quot;-&quot;_)"/>
    <numFmt numFmtId="177" formatCode="_(* #,##0_);[Red]_(* \(#,##0\);_(* &quot;&quot;&quot;&quot;&quot;&quot;&quot;&quot;\ \-\ &quot;&quot;&quot;&quot;&quot;&quot;&quot;&quot;_);_(@_)"/>
    <numFmt numFmtId="178" formatCode="_(* #,##0,_);[Red]_(* \(#,##0,\);_(* &quot;&quot;&quot;&quot;&quot;&quot;&quot;&quot;\ \-\ &quot;&quot;&quot;&quot;&quot;&quot;&quot;&quot;_);_(@_)"/>
    <numFmt numFmtId="179" formatCode="0%;\(0%\);;"/>
    <numFmt numFmtId="180" formatCode="0%;\(0%\);&quot;-&quot;"/>
    <numFmt numFmtId="181" formatCode="#,##0_);[Red]\(#,##0\);&quot;-&quot;"/>
    <numFmt numFmtId="182" formatCode="*-"/>
    <numFmt numFmtId="183" formatCode="#,##0;\-#,##0;&quot;-&quot;"/>
    <numFmt numFmtId="184" formatCode="_._.&quot;$&quot;* \(#,##0\)_%;_._.&quot;$&quot;* #,##0_)_%;_._.&quot;$&quot;* 0_)_%;_._.@_)_%"/>
    <numFmt numFmtId="185" formatCode="_._.* \(#,##0\)_%;_._.* #,##0_)_%;_._.* 0_)_%;_._.@_)_%"/>
    <numFmt numFmtId="186" formatCode="&quot;$&quot;#,##0;\-&quot;$&quot;#,##0"/>
    <numFmt numFmtId="187" formatCode="_-&quot;$&quot;* #,##0_-;\-&quot;$&quot;* #,##0_-;_-&quot;$&quot;* &quot;-&quot;_-;_-@_-"/>
    <numFmt numFmtId="188" formatCode="_-&quot;$&quot;* #,##0.00_-;\-&quot;$&quot;* #,##0.00_-;_-&quot;$&quot;* &quot;-&quot;??_-;_-@_-"/>
    <numFmt numFmtId="189" formatCode="#,##0;\(#,##0\)"/>
    <numFmt numFmtId="190" formatCode="&quot;SFr.&quot;\ #,##0.00;&quot;SFr.&quot;\ \-#,##0.00"/>
    <numFmt numFmtId="191" formatCode="#,##0.00;\-#,##0.00;&quot;-&quot;"/>
    <numFmt numFmtId="192" formatCode="* #,##0.00_);\(#,##0.00\)"/>
    <numFmt numFmtId="193" formatCode="_([$€-2]* #,##0.00_);_([$€-2]* \(#,##0.00\);_([$€-2]* &quot;-&quot;??_)"/>
    <numFmt numFmtId="194" formatCode="0.0_)\%;\(0.0\)\%;0.0_)\%;@_)_%"/>
    <numFmt numFmtId="195" formatCode="#,##0.0_)_%;\(#,##0.0\)_%;0.0_)_%;@_)_%"/>
    <numFmt numFmtId="196" formatCode="#,##0.0_);\(#,##0.0\);#,##0.0_);@_)"/>
    <numFmt numFmtId="197" formatCode="&quot;$&quot;_(#,##0.00_);&quot;$&quot;\(#,##0.00\);&quot;$&quot;_(0.00_);@_)"/>
    <numFmt numFmtId="198" formatCode="#,##0.00_);\(#,##0.00\);0.00_);@_)"/>
    <numFmt numFmtId="199" formatCode="\€_(#,##0.00_);\€\(#,##0.00\);\€_(0.00_);@_)"/>
    <numFmt numFmtId="200" formatCode="#,##0_)\x;\(#,##0\)\x;0_)\x;@_)_x"/>
    <numFmt numFmtId="201" formatCode="#,##0_)_x;\(#,##0\)_x;0_)_x;@_)_x"/>
    <numFmt numFmtId="202" formatCode="#,##0.0000;\-#,##0.0000"/>
    <numFmt numFmtId="203" formatCode="#,##0.000000;\-#,##0.000000"/>
    <numFmt numFmtId="204" formatCode="#,##0.0;\-#,##0.0"/>
    <numFmt numFmtId="205" formatCode="#,##0.000;\-#,##0.000"/>
    <numFmt numFmtId="206" formatCode="#,##0.00000;\-#,##0.00000"/>
    <numFmt numFmtId="207" formatCode="#,##0.0000000;\-#,##0.0000000"/>
    <numFmt numFmtId="208" formatCode="#,##0.00000000;\-#,##0.00000000"/>
    <numFmt numFmtId="209" formatCode="#,##0.000000000;\-#,##0.000000000"/>
    <numFmt numFmtId="210" formatCode="#,##0.0000000000;\-#,##0.0000000000"/>
    <numFmt numFmtId="211" formatCode="_-* #,##0\ _D_M_-;\-* #,##0\ _D_M_-;_-* &quot;-&quot;\ _D_M_-;_-@_-"/>
    <numFmt numFmtId="212" formatCode="_-* #,##0.00\ _D_M_-;\-* #,##0.00\ _D_M_-;_-* &quot;-&quot;??\ _D_M_-;_-@_-"/>
    <numFmt numFmtId="213" formatCode="_-* #,##0\ &quot;DM&quot;_-;\-* #,##0\ &quot;DM&quot;_-;_-* &quot;-&quot;\ &quot;DM&quot;_-;_-@_-"/>
    <numFmt numFmtId="214" formatCode="_-* #,##0.00\ &quot;DM&quot;_-;\-* #,##0.00\ &quot;DM&quot;_-;_-* &quot;-&quot;??\ &quot;DM&quot;_-;_-@_-"/>
    <numFmt numFmtId="215" formatCode="0.0"/>
    <numFmt numFmtId="216" formatCode="0.000000"/>
    <numFmt numFmtId="217" formatCode="&quot;£&quot;#,##0;[Red]\-&quot;£&quot;#,##0"/>
    <numFmt numFmtId="218" formatCode="0.00_);[Red]\(0.00\)"/>
    <numFmt numFmtId="219" formatCode="&quot;£&quot;#,##0.00;[Red]\-&quot;£&quot;#,##0.00"/>
    <numFmt numFmtId="220" formatCode="_(* #,##0.000_);_(* \(#,##0.000\);_(* &quot;-&quot;_);_(@_)"/>
    <numFmt numFmtId="221" formatCode="_-&quot;£&quot;* #,##0_-;\-&quot;£&quot;* #,##0_-;_-&quot;£&quot;* &quot;-&quot;_-;_-@_-"/>
    <numFmt numFmtId="222" formatCode="_(&quot;$&quot;* #,##0,_);_(&quot;$&quot;* \(#,##0,\);_(&quot;$&quot;* &quot;-&quot;_);_(@_)"/>
    <numFmt numFmtId="223" formatCode="&quot;SFr.&quot;#,##0;[Red]&quot;SFr.&quot;\-#,##0"/>
    <numFmt numFmtId="224" formatCode="_-&quot;£&quot;* #,##0.00_-;\-&quot;£&quot;* #,##0.00_-;_-&quot;£&quot;* &quot;-&quot;??_-;_-@_-"/>
    <numFmt numFmtId="225" formatCode="#,##0;[Red]\(#,##0\)"/>
    <numFmt numFmtId="226" formatCode="0\x"/>
    <numFmt numFmtId="227" formatCode="&quot;$&quot;#,##0.00"/>
    <numFmt numFmtId="228" formatCode="_(* #,##0.0_);_(* \(#,##0.0\);_(* &quot;-&quot;?_);_(@_)"/>
    <numFmt numFmtId="229" formatCode="_(* #,##0.0000_);_(* \(#,##0.0000\);_(* &quot;-&quot;??_);_(@_)"/>
  </numFmts>
  <fonts count="72"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sz val="9"/>
      <color indexed="81"/>
      <name val="Tahoma"/>
      <family val="2"/>
    </font>
    <font>
      <b/>
      <sz val="9"/>
      <color indexed="81"/>
      <name val="Tahoma"/>
      <family val="2"/>
    </font>
  </fonts>
  <fills count="15">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
      <patternFill patternType="solid">
        <fgColor theme="7"/>
      </patternFill>
    </fill>
    <fill>
      <patternFill patternType="solid">
        <fgColor theme="9"/>
      </patternFill>
    </fill>
    <fill>
      <patternFill patternType="solid">
        <fgColor theme="3" tint="0.79998168889431442"/>
        <bgColor indexed="64"/>
      </patternFill>
    </fill>
  </fills>
  <borders count="4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dashed">
        <color indexed="64"/>
      </bottom>
      <diagonal/>
    </border>
    <border>
      <left style="thin">
        <color auto="1"/>
      </left>
      <right/>
      <top/>
      <bottom style="dashed">
        <color indexed="64"/>
      </bottom>
      <diagonal/>
    </border>
    <border>
      <left/>
      <right style="thin">
        <color auto="1"/>
      </right>
      <top/>
      <bottom style="dashed">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auto="1"/>
      </left>
      <right/>
      <top style="dotted">
        <color indexed="64"/>
      </top>
      <bottom/>
      <diagonal/>
    </border>
    <border>
      <left/>
      <right style="thin">
        <color auto="1"/>
      </right>
      <top style="dotted">
        <color indexed="64"/>
      </top>
      <bottom/>
      <diagonal/>
    </border>
    <border>
      <left/>
      <right/>
      <top style="dotted">
        <color indexed="64"/>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bottom style="thick">
        <color indexed="64"/>
      </bottom>
      <diagonal/>
    </border>
    <border>
      <left style="thin">
        <color indexed="64"/>
      </left>
      <right/>
      <top style="dashed">
        <color indexed="64"/>
      </top>
      <bottom style="thin">
        <color indexed="64"/>
      </bottom>
      <diagonal/>
    </border>
    <border>
      <left style="thin">
        <color indexed="64"/>
      </left>
      <right/>
      <top style="dotted">
        <color auto="1"/>
      </top>
      <bottom style="thin">
        <color auto="1"/>
      </bottom>
      <diagonal/>
    </border>
    <border>
      <left style="thin">
        <color indexed="64"/>
      </left>
      <right style="thin">
        <color indexed="64"/>
      </right>
      <top style="dotted">
        <color auto="1"/>
      </top>
      <bottom style="thin">
        <color auto="1"/>
      </bottom>
      <diagonal/>
    </border>
    <border>
      <left style="thin">
        <color indexed="64"/>
      </left>
      <right style="thin">
        <color indexed="64"/>
      </right>
      <top style="dashed">
        <color indexed="64"/>
      </top>
      <bottom style="thin">
        <color indexed="64"/>
      </bottom>
      <diagonal/>
    </border>
  </borders>
  <cellStyleXfs count="331">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200" fontId="9" fillId="0" borderId="0" applyFont="0" applyFill="0" applyBorder="0" applyAlignment="0" applyProtection="0"/>
    <xf numFmtId="201"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2" fontId="29" fillId="0" borderId="0">
      <alignment horizontal="center"/>
    </xf>
    <xf numFmtId="37" fontId="30" fillId="0" borderId="0"/>
    <xf numFmtId="37" fontId="31" fillId="0" borderId="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1" fillId="0" borderId="0" applyAlignment="0" applyProtection="0"/>
    <xf numFmtId="183" fontId="23"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79" fontId="9" fillId="0" borderId="0" applyFill="0" applyBorder="0" applyAlignment="0"/>
    <xf numFmtId="183" fontId="23" fillId="0" borderId="0" applyFill="0" applyBorder="0" applyAlignment="0"/>
    <xf numFmtId="180" fontId="9" fillId="0" borderId="0" applyFill="0" applyBorder="0" applyAlignment="0"/>
    <xf numFmtId="176" fontId="9" fillId="0" borderId="0" applyFill="0" applyBorder="0" applyAlignment="0"/>
    <xf numFmtId="0" fontId="33" fillId="0" borderId="0" applyFill="0" applyBorder="0" applyProtection="0">
      <alignment horizontal="center"/>
      <protection locked="0"/>
    </xf>
    <xf numFmtId="0" fontId="22" fillId="0" borderId="0"/>
    <xf numFmtId="171" fontId="22" fillId="0" borderId="7"/>
    <xf numFmtId="215" fontId="1" fillId="0" borderId="0"/>
    <xf numFmtId="215" fontId="1" fillId="0" borderId="0"/>
    <xf numFmtId="183"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1" fontId="9" fillId="0" borderId="0">
      <alignment horizontal="center"/>
    </xf>
    <xf numFmtId="185" fontId="38" fillId="0" borderId="0" applyFill="0" applyBorder="0" applyProtection="0"/>
    <xf numFmtId="184" fontId="39" fillId="0" borderId="0" applyFont="0" applyFill="0" applyBorder="0" applyAlignment="0" applyProtection="0"/>
    <xf numFmtId="172" fontId="40" fillId="0" borderId="20">
      <protection hidden="1"/>
    </xf>
    <xf numFmtId="176"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90" fontId="22" fillId="0" borderId="0" applyFont="0" applyFill="0" applyBorder="0" applyAlignment="0" applyProtection="0"/>
    <xf numFmtId="189" fontId="39" fillId="0" borderId="0" applyFont="0" applyFill="0" applyBorder="0" applyAlignment="0" applyProtection="0"/>
    <xf numFmtId="183" fontId="43" fillId="0" borderId="0" applyFill="0" applyBorder="0" applyAlignment="0"/>
    <xf numFmtId="176" fontId="9" fillId="0" borderId="0" applyFill="0" applyBorder="0" applyAlignment="0"/>
    <xf numFmtId="183" fontId="43" fillId="0" borderId="0" applyFill="0" applyBorder="0" applyAlignment="0"/>
    <xf numFmtId="180" fontId="9" fillId="0" borderId="0" applyFill="0" applyBorder="0" applyAlignment="0"/>
    <xf numFmtId="176" fontId="9" fillId="0" borderId="0" applyFill="0" applyBorder="0" applyAlignment="0"/>
    <xf numFmtId="172" fontId="40" fillId="0" borderId="20">
      <protection hidden="1"/>
    </xf>
    <xf numFmtId="193"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3" fontId="46" fillId="0" borderId="0" applyFill="0" applyBorder="0" applyAlignment="0"/>
    <xf numFmtId="176" fontId="9" fillId="0" borderId="0" applyFill="0" applyBorder="0" applyAlignment="0"/>
    <xf numFmtId="183" fontId="46" fillId="0" borderId="0" applyFill="0" applyBorder="0" applyAlignment="0"/>
    <xf numFmtId="180" fontId="9" fillId="0" borderId="0" applyFill="0" applyBorder="0" applyAlignment="0"/>
    <xf numFmtId="176" fontId="9" fillId="0" borderId="0" applyFill="0" applyBorder="0" applyAlignment="0"/>
    <xf numFmtId="211" fontId="9" fillId="0" borderId="0" applyFont="0" applyFill="0" applyBorder="0" applyAlignment="0" applyProtection="0"/>
    <xf numFmtId="212"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69" fontId="29" fillId="0" borderId="7"/>
    <xf numFmtId="37" fontId="51" fillId="0" borderId="0"/>
    <xf numFmtId="170" fontId="22" fillId="0" borderId="0"/>
    <xf numFmtId="170" fontId="1" fillId="0" borderId="0"/>
    <xf numFmtId="175"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10" fontId="9" fillId="0" borderId="0"/>
    <xf numFmtId="204" fontId="9" fillId="0" borderId="0"/>
    <xf numFmtId="39" fontId="9" fillId="0" borderId="0"/>
    <xf numFmtId="205" fontId="9" fillId="0" borderId="0"/>
    <xf numFmtId="202" fontId="9" fillId="0" borderId="0"/>
    <xf numFmtId="206" fontId="9" fillId="0" borderId="0"/>
    <xf numFmtId="203" fontId="9" fillId="0" borderId="0"/>
    <xf numFmtId="207" fontId="9" fillId="0" borderId="0"/>
    <xf numFmtId="208" fontId="9" fillId="0" borderId="0"/>
    <xf numFmtId="209" fontId="9" fillId="0" borderId="0"/>
    <xf numFmtId="174" fontId="35" fillId="0" borderId="0"/>
    <xf numFmtId="173" fontId="40" fillId="0" borderId="0">
      <protection hidden="1"/>
    </xf>
    <xf numFmtId="179"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69" fontId="29" fillId="0" borderId="0"/>
    <xf numFmtId="0" fontId="52" fillId="10" borderId="24" applyNumberFormat="0" applyFont="0" applyFill="0" applyAlignment="0">
      <alignment horizontal="center" vertical="center"/>
    </xf>
    <xf numFmtId="183" fontId="47" fillId="0" borderId="0" applyFill="0" applyBorder="0" applyAlignment="0"/>
    <xf numFmtId="176" fontId="9" fillId="0" borderId="0" applyFill="0" applyBorder="0" applyAlignment="0"/>
    <xf numFmtId="183" fontId="47" fillId="0" borderId="0" applyFill="0" applyBorder="0" applyAlignment="0"/>
    <xf numFmtId="180" fontId="9" fillId="0" borderId="0" applyFill="0" applyBorder="0" applyAlignment="0"/>
    <xf numFmtId="176"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1" fontId="9" fillId="0" borderId="0" applyFill="0" applyBorder="0" applyAlignment="0"/>
    <xf numFmtId="182"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87" fontId="9" fillId="0" borderId="0" applyFont="0" applyFill="0" applyBorder="0" applyAlignment="0" applyProtection="0"/>
    <xf numFmtId="188"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6" fontId="9" fillId="0" borderId="0" applyFill="0" applyBorder="0" applyAlignment="0"/>
    <xf numFmtId="164"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0" fontId="55" fillId="0" borderId="7"/>
    <xf numFmtId="220"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4" fontId="9"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3"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9" fontId="9" fillId="0" borderId="0" applyFont="0" applyFill="0" applyBorder="0" applyAlignment="0" applyProtection="0"/>
    <xf numFmtId="223"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4" fontId="9" fillId="0" borderId="0" applyFill="0" applyBorder="0" applyAlignment="0"/>
    <xf numFmtId="225"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xf numFmtId="0" fontId="69" fillId="12" borderId="0" applyNumberFormat="0" applyBorder="0" applyAlignment="0" applyProtection="0"/>
    <xf numFmtId="0" fontId="69" fillId="13" borderId="0" applyNumberFormat="0" applyBorder="0" applyAlignment="0" applyProtection="0"/>
  </cellStyleXfs>
  <cellXfs count="520">
    <xf numFmtId="0" fontId="0" fillId="0" borderId="0" xfId="0"/>
    <xf numFmtId="164" fontId="0" fillId="0" borderId="0" xfId="1" applyNumberFormat="1" applyFont="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4" fontId="0" fillId="0" borderId="0" xfId="1" applyNumberFormat="1" applyFont="1" applyFill="1" applyAlignment="1">
      <alignment horizontal="right"/>
    </xf>
    <xf numFmtId="0" fontId="0" fillId="0" borderId="0" xfId="0" applyFont="1"/>
    <xf numFmtId="43" fontId="0" fillId="0" borderId="0" xfId="1" applyFont="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5" fontId="0" fillId="0" borderId="0" xfId="0" applyNumberFormat="1" applyFill="1"/>
    <xf numFmtId="43" fontId="0" fillId="0" borderId="0" xfId="1" applyFont="1" applyFill="1" applyAlignment="1">
      <alignment horizontal="right"/>
    </xf>
    <xf numFmtId="0" fontId="13" fillId="0" borderId="0" xfId="0" applyFont="1"/>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0" fillId="0" borderId="0" xfId="0"/>
    <xf numFmtId="168" fontId="0" fillId="0" borderId="0" xfId="1" applyNumberFormat="1" applyFont="1" applyBorder="1" applyAlignment="1">
      <alignment horizontal="right"/>
    </xf>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4" fontId="0" fillId="0" borderId="0" xfId="1" applyNumberFormat="1" applyFont="1" applyFill="1" applyBorder="1" applyAlignment="1">
      <alignment horizontal="right"/>
    </xf>
    <xf numFmtId="43" fontId="0" fillId="0" borderId="4" xfId="1" applyFont="1" applyFill="1" applyBorder="1" applyAlignment="1">
      <alignment horizontal="right"/>
    </xf>
    <xf numFmtId="43" fontId="10" fillId="0" borderId="0" xfId="1" applyNumberFormat="1" applyFont="1" applyFill="1" applyBorder="1" applyAlignment="1">
      <alignment horizontal="right"/>
    </xf>
    <xf numFmtId="43" fontId="1" fillId="0" borderId="5" xfId="1" applyNumberFormat="1" applyFont="1" applyFill="1" applyBorder="1" applyAlignment="1">
      <alignment horizontal="right"/>
    </xf>
    <xf numFmtId="166" fontId="1" fillId="0" borderId="5" xfId="2" quotePrefix="1" applyNumberFormat="1" applyFont="1" applyFill="1" applyBorder="1" applyAlignment="1">
      <alignment horizontal="right"/>
    </xf>
    <xf numFmtId="43" fontId="1" fillId="0" borderId="0" xfId="1" applyNumberFormat="1" applyFont="1" applyFill="1" applyBorder="1" applyAlignment="1">
      <alignment horizontal="right"/>
    </xf>
    <xf numFmtId="165" fontId="1" fillId="0" borderId="0" xfId="1" quotePrefix="1" applyNumberFormat="1" applyFont="1" applyFill="1" applyBorder="1" applyAlignment="1">
      <alignment horizontal="right"/>
    </xf>
    <xf numFmtId="0" fontId="0"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0" fontId="0" fillId="0" borderId="0" xfId="0"/>
    <xf numFmtId="166" fontId="1" fillId="0" borderId="30" xfId="2" quotePrefix="1" applyNumberFormat="1" applyFont="1" applyFill="1" applyBorder="1" applyAlignment="1">
      <alignment horizontal="right"/>
    </xf>
    <xf numFmtId="168" fontId="2" fillId="0" borderId="0" xfId="1" quotePrefix="1" applyNumberFormat="1" applyFont="1" applyFill="1" applyBorder="1" applyAlignment="1">
      <alignment horizontal="right"/>
    </xf>
    <xf numFmtId="0" fontId="0" fillId="0" borderId="0" xfId="0"/>
    <xf numFmtId="0" fontId="0"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5" borderId="2" xfId="1" quotePrefix="1" applyNumberFormat="1" applyFont="1" applyFill="1" applyBorder="1" applyAlignment="1">
      <alignment horizontal="right"/>
    </xf>
    <xf numFmtId="165" fontId="2" fillId="0" borderId="9" xfId="1" applyNumberFormat="1" applyFont="1" applyFill="1" applyBorder="1" applyAlignment="1">
      <alignment horizontal="right"/>
    </xf>
    <xf numFmtId="164" fontId="65" fillId="5" borderId="11" xfId="1" quotePrefix="1" applyNumberFormat="1" applyFont="1" applyFill="1" applyBorder="1" applyAlignment="1">
      <alignment horizontal="right"/>
    </xf>
    <xf numFmtId="0" fontId="0" fillId="0" borderId="0" xfId="0" applyFill="1"/>
    <xf numFmtId="43" fontId="1" fillId="0" borderId="5" xfId="1" quotePrefix="1" applyFont="1" applyFill="1" applyBorder="1" applyAlignment="1">
      <alignment horizontal="right"/>
    </xf>
    <xf numFmtId="43" fontId="1" fillId="0" borderId="3" xfId="1" applyNumberFormat="1" applyFont="1" applyFill="1" applyBorder="1" applyAlignment="1">
      <alignment horizontal="right"/>
    </xf>
    <xf numFmtId="168" fontId="1" fillId="0" borderId="3" xfId="1" applyNumberFormat="1" applyFont="1" applyFill="1" applyBorder="1" applyAlignment="1">
      <alignment horizontal="right"/>
    </xf>
    <xf numFmtId="168" fontId="1" fillId="0" borderId="5" xfId="1" applyNumberFormat="1" applyFont="1" applyFill="1" applyBorder="1" applyAlignment="1">
      <alignment horizontal="right"/>
    </xf>
    <xf numFmtId="168" fontId="10" fillId="0" borderId="0" xfId="1" applyNumberFormat="1" applyFont="1" applyFill="1" applyBorder="1" applyAlignment="1">
      <alignment horizontal="right"/>
    </xf>
    <xf numFmtId="168" fontId="11" fillId="0" borderId="0" xfId="1" applyNumberFormat="1" applyFont="1" applyFill="1" applyBorder="1" applyAlignment="1">
      <alignment horizontal="right"/>
    </xf>
    <xf numFmtId="9" fontId="1" fillId="0" borderId="5" xfId="2" quotePrefix="1" applyFont="1" applyFill="1" applyBorder="1" applyAlignment="1">
      <alignment horizontal="right"/>
    </xf>
    <xf numFmtId="166" fontId="1" fillId="0" borderId="27" xfId="2" quotePrefix="1" applyNumberFormat="1" applyFont="1" applyFill="1" applyBorder="1" applyAlignment="1">
      <alignment horizontal="right"/>
    </xf>
    <xf numFmtId="168" fontId="0" fillId="0" borderId="0" xfId="1" applyNumberFormat="1" applyFont="1" applyAlignment="1">
      <alignment horizontal="right"/>
    </xf>
    <xf numFmtId="226" fontId="0" fillId="0" borderId="4" xfId="2" applyNumberFormat="1" applyFont="1" applyFill="1" applyBorder="1" applyAlignment="1">
      <alignment horizontal="right"/>
    </xf>
    <xf numFmtId="226" fontId="0" fillId="2" borderId="4" xfId="1" applyNumberFormat="1" applyFont="1" applyFill="1" applyBorder="1" applyAlignment="1">
      <alignment horizontal="right"/>
    </xf>
    <xf numFmtId="6" fontId="2" fillId="0" borderId="10" xfId="1" applyNumberFormat="1" applyFont="1" applyBorder="1" applyAlignment="1">
      <alignment horizontal="right"/>
    </xf>
    <xf numFmtId="166" fontId="0" fillId="0" borderId="0" xfId="2" applyNumberFormat="1" applyFont="1" applyAlignment="1">
      <alignment horizontal="right"/>
    </xf>
    <xf numFmtId="10" fontId="0" fillId="0" borderId="0" xfId="2"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0" fontId="2" fillId="0" borderId="1" xfId="0" applyFont="1" applyFill="1" applyBorder="1" applyAlignment="1">
      <alignment horizontal="left"/>
    </xf>
    <xf numFmtId="5" fontId="2" fillId="0" borderId="11" xfId="1" applyNumberFormat="1" applyFont="1" applyBorder="1" applyAlignment="1">
      <alignment horizontal="right"/>
    </xf>
    <xf numFmtId="167" fontId="0" fillId="0" borderId="0" xfId="2" applyNumberFormat="1" applyFont="1" applyFill="1" applyBorder="1" applyAlignment="1">
      <alignment horizontal="right"/>
    </xf>
    <xf numFmtId="167" fontId="0" fillId="0" borderId="0" xfId="1" applyNumberFormat="1" applyFont="1" applyFill="1" applyBorder="1" applyAlignment="1">
      <alignment horizontal="right"/>
    </xf>
    <xf numFmtId="7" fontId="2" fillId="0" borderId="0" xfId="1" applyNumberFormat="1" applyFont="1" applyFill="1" applyBorder="1" applyAlignment="1">
      <alignment horizontal="right"/>
    </xf>
    <xf numFmtId="166" fontId="0" fillId="0" borderId="0" xfId="1" applyNumberFormat="1" applyFont="1" applyAlignment="1">
      <alignment horizontal="right"/>
    </xf>
    <xf numFmtId="9" fontId="0" fillId="2" borderId="4" xfId="2" applyFont="1" applyFill="1" applyBorder="1" applyAlignment="1">
      <alignment horizontal="right"/>
    </xf>
    <xf numFmtId="0" fontId="69"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4" fontId="13" fillId="0" borderId="0" xfId="1" applyNumberFormat="1" applyFont="1" applyAlignment="1">
      <alignment horizontal="right"/>
    </xf>
    <xf numFmtId="165" fontId="13" fillId="0" borderId="3" xfId="1" applyNumberFormat="1" applyFont="1" applyFill="1" applyBorder="1" applyAlignment="1">
      <alignment horizontal="right"/>
    </xf>
    <xf numFmtId="165" fontId="13" fillId="0" borderId="0" xfId="1" applyNumberFormat="1" applyFont="1" applyBorder="1" applyAlignment="1">
      <alignment horizontal="right"/>
    </xf>
    <xf numFmtId="165" fontId="13" fillId="0" borderId="4" xfId="1" applyNumberFormat="1" applyFont="1" applyBorder="1" applyAlignment="1">
      <alignment horizontal="right"/>
    </xf>
    <xf numFmtId="165" fontId="13" fillId="0" borderId="5" xfId="1" applyNumberFormat="1" applyFont="1" applyBorder="1" applyAlignment="1">
      <alignment horizontal="right"/>
    </xf>
    <xf numFmtId="165" fontId="5"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7" fillId="0" borderId="5" xfId="1" applyNumberFormat="1" applyFont="1" applyBorder="1" applyAlignment="1">
      <alignment horizontal="right"/>
    </xf>
    <xf numFmtId="165" fontId="7" fillId="0" borderId="0" xfId="1" applyNumberFormat="1" applyFont="1" applyBorder="1" applyAlignment="1">
      <alignment horizontal="right"/>
    </xf>
    <xf numFmtId="0" fontId="0" fillId="0" borderId="0" xfId="0" applyFont="1" applyAlignment="1">
      <alignment horizontal="left"/>
    </xf>
    <xf numFmtId="168" fontId="0" fillId="0" borderId="0" xfId="0" applyNumberFormat="1" applyAlignment="1">
      <alignment horizontal="right"/>
    </xf>
    <xf numFmtId="165" fontId="0" fillId="0" borderId="3" xfId="1" applyNumberFormat="1" applyFont="1" applyFill="1" applyBorder="1" applyAlignment="1">
      <alignment horizontal="right"/>
    </xf>
    <xf numFmtId="165" fontId="0" fillId="0" borderId="0" xfId="1" applyNumberFormat="1" applyFont="1" applyBorder="1" applyAlignment="1">
      <alignment horizontal="right"/>
    </xf>
    <xf numFmtId="165" fontId="0" fillId="0" borderId="4" xfId="1" applyNumberFormat="1" applyFont="1" applyBorder="1" applyAlignment="1">
      <alignment horizontal="right"/>
    </xf>
    <xf numFmtId="165" fontId="0" fillId="0" borderId="5" xfId="1" applyNumberFormat="1" applyFont="1" applyBorder="1" applyAlignment="1">
      <alignment horizontal="right"/>
    </xf>
    <xf numFmtId="165" fontId="5" fillId="0" borderId="3" xfId="1" applyNumberFormat="1" applyFont="1" applyBorder="1" applyAlignment="1">
      <alignment horizontal="right"/>
    </xf>
    <xf numFmtId="165" fontId="0" fillId="0" borderId="0"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13" fillId="0" borderId="0" xfId="1" quotePrefix="1" applyNumberFormat="1" applyFont="1" applyFill="1" applyBorder="1" applyAlignment="1">
      <alignment horizontal="right"/>
    </xf>
    <xf numFmtId="0" fontId="10" fillId="0" borderId="0" xfId="0" applyFont="1"/>
    <xf numFmtId="164" fontId="19" fillId="0" borderId="0" xfId="1" quotePrefix="1" applyNumberFormat="1" applyFont="1" applyFill="1" applyBorder="1" applyAlignment="1">
      <alignment horizontal="right"/>
    </xf>
    <xf numFmtId="164" fontId="19" fillId="0"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2" fillId="0" borderId="4" xfId="0" applyFont="1" applyFill="1" applyBorder="1" applyAlignment="1">
      <alignment horizontal="left"/>
    </xf>
    <xf numFmtId="0" fontId="10" fillId="0" borderId="3" xfId="0" applyFont="1" applyFill="1" applyBorder="1" applyAlignment="1">
      <alignment horizontal="left"/>
    </xf>
    <xf numFmtId="165" fontId="1" fillId="0" borderId="0" xfId="1" applyNumberFormat="1" applyFont="1" applyFill="1" applyBorder="1" applyAlignment="1">
      <alignment horizontal="right"/>
    </xf>
    <xf numFmtId="165" fontId="1" fillId="0" borderId="4" xfId="1" applyNumberFormat="1" applyFont="1" applyFill="1" applyBorder="1" applyAlignment="1">
      <alignment horizontal="right"/>
    </xf>
    <xf numFmtId="165" fontId="1" fillId="0" borderId="5" xfId="1" applyNumberFormat="1" applyFont="1" applyFill="1" applyBorder="1" applyAlignment="1">
      <alignment horizontal="right"/>
    </xf>
    <xf numFmtId="165" fontId="1" fillId="0" borderId="3" xfId="1" applyNumberFormat="1" applyFont="1" applyFill="1" applyBorder="1" applyAlignment="1">
      <alignment horizontal="right"/>
    </xf>
    <xf numFmtId="165" fontId="10" fillId="0" borderId="0" xfId="1" applyNumberFormat="1" applyFont="1" applyFill="1" applyBorder="1" applyAlignment="1">
      <alignment horizontal="right"/>
    </xf>
    <xf numFmtId="165" fontId="2"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4" xfId="1" applyNumberFormat="1" applyFont="1" applyFill="1" applyBorder="1" applyAlignment="1">
      <alignment horizontal="right"/>
    </xf>
    <xf numFmtId="165" fontId="4" fillId="0" borderId="5" xfId="1" applyNumberFormat="1" applyFont="1" applyFill="1" applyBorder="1" applyAlignment="1">
      <alignment horizontal="right"/>
    </xf>
    <xf numFmtId="165" fontId="11" fillId="0" borderId="0" xfId="1" applyNumberFormat="1" applyFont="1" applyFill="1" applyBorder="1" applyAlignment="1">
      <alignment horizontal="right"/>
    </xf>
    <xf numFmtId="164" fontId="19" fillId="0" borderId="5" xfId="1" quotePrefix="1" applyNumberFormat="1" applyFont="1" applyFill="1" applyBorder="1" applyAlignment="1">
      <alignment horizontal="right"/>
    </xf>
    <xf numFmtId="165" fontId="10" fillId="0" borderId="0" xfId="1" quotePrefix="1" applyNumberFormat="1" applyFont="1" applyFill="1" applyBorder="1" applyAlignment="1">
      <alignment horizontal="right"/>
    </xf>
    <xf numFmtId="165" fontId="10" fillId="0" borderId="4" xfId="1" quotePrefix="1"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4" xfId="1" applyNumberFormat="1" applyFont="1" applyFill="1" applyBorder="1" applyAlignment="1">
      <alignment horizontal="right"/>
    </xf>
    <xf numFmtId="165" fontId="10" fillId="0" borderId="5" xfId="1" quotePrefix="1" applyNumberFormat="1" applyFont="1" applyFill="1" applyBorder="1" applyAlignment="1">
      <alignment horizontal="right"/>
    </xf>
    <xf numFmtId="165" fontId="3" fillId="0" borderId="3" xfId="1" applyNumberFormat="1" applyFont="1" applyFill="1" applyBorder="1" applyAlignment="1">
      <alignment horizontal="right"/>
    </xf>
    <xf numFmtId="165" fontId="19" fillId="0" borderId="0" xfId="1" applyNumberFormat="1" applyFont="1" applyFill="1" applyBorder="1" applyAlignment="1">
      <alignment horizontal="right"/>
    </xf>
    <xf numFmtId="165" fontId="3" fillId="0" borderId="5" xfId="1" applyNumberFormat="1" applyFont="1" applyFill="1" applyBorder="1" applyAlignment="1">
      <alignment horizontal="right"/>
    </xf>
    <xf numFmtId="165" fontId="19" fillId="0" borderId="4" xfId="1" quotePrefix="1" applyNumberFormat="1" applyFont="1" applyFill="1" applyBorder="1" applyAlignment="1">
      <alignment horizontal="right"/>
    </xf>
    <xf numFmtId="165" fontId="19" fillId="0" borderId="0" xfId="1" quotePrefix="1" applyNumberFormat="1" applyFont="1" applyFill="1" applyBorder="1" applyAlignment="1">
      <alignment horizontal="right"/>
    </xf>
    <xf numFmtId="164" fontId="16" fillId="3" borderId="11" xfId="1" quotePrefix="1" applyNumberFormat="1" applyFont="1" applyFill="1" applyBorder="1" applyAlignment="1">
      <alignment horizontal="right"/>
    </xf>
    <xf numFmtId="165" fontId="67" fillId="0" borderId="0" xfId="1" applyNumberFormat="1" applyFont="1" applyBorder="1"/>
    <xf numFmtId="165" fontId="10" fillId="0" borderId="0" xfId="1" applyNumberFormat="1" applyFont="1" applyFill="1" applyAlignment="1">
      <alignment vertical="top"/>
    </xf>
    <xf numFmtId="165" fontId="8" fillId="0" borderId="7" xfId="1" applyNumberFormat="1" applyFont="1" applyBorder="1"/>
    <xf numFmtId="165" fontId="10" fillId="0" borderId="0" xfId="1" applyNumberFormat="1" applyFont="1" applyBorder="1" applyAlignment="1">
      <alignment horizontal="right"/>
    </xf>
    <xf numFmtId="165" fontId="4" fillId="0" borderId="0" xfId="1" applyNumberFormat="1" applyFont="1" applyBorder="1" applyAlignment="1">
      <alignment horizontal="right"/>
    </xf>
    <xf numFmtId="165" fontId="1" fillId="0" borderId="0" xfId="1" applyNumberFormat="1" applyFont="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0" fillId="0" borderId="5" xfId="1" applyNumberFormat="1" applyFont="1" applyFill="1" applyBorder="1" applyAlignment="1">
      <alignment horizontal="right"/>
    </xf>
    <xf numFmtId="165" fontId="0" fillId="0" borderId="4" xfId="1" applyNumberFormat="1" applyFont="1" applyFill="1" applyBorder="1" applyAlignment="1">
      <alignment horizontal="right"/>
    </xf>
    <xf numFmtId="165" fontId="0" fillId="0" borderId="3" xfId="1" applyNumberFormat="1" applyFont="1" applyBorder="1" applyAlignment="1">
      <alignment horizontal="right"/>
    </xf>
    <xf numFmtId="165" fontId="2" fillId="0" borderId="3" xfId="1" applyNumberFormat="1" applyFont="1" applyFill="1" applyBorder="1" applyAlignment="1">
      <alignment horizontal="right"/>
    </xf>
    <xf numFmtId="165" fontId="2" fillId="0" borderId="4" xfId="1" applyNumberFormat="1" applyFont="1" applyFill="1" applyBorder="1" applyAlignment="1">
      <alignment horizontal="right"/>
    </xf>
    <xf numFmtId="165" fontId="2" fillId="0" borderId="5" xfId="1" applyNumberFormat="1" applyFont="1" applyFill="1" applyBorder="1" applyAlignment="1">
      <alignment horizontal="right"/>
    </xf>
    <xf numFmtId="0" fontId="0" fillId="0" borderId="4" xfId="0" applyFont="1" applyFill="1" applyBorder="1" applyAlignment="1"/>
    <xf numFmtId="0" fontId="2" fillId="0" borderId="4" xfId="0" applyFont="1" applyFill="1" applyBorder="1" applyAlignment="1"/>
    <xf numFmtId="0" fontId="10" fillId="0" borderId="3" xfId="0" applyFont="1" applyFill="1" applyBorder="1" applyAlignment="1">
      <alignment horizontal="left" indent="2"/>
    </xf>
    <xf numFmtId="0" fontId="0" fillId="0" borderId="0" xfId="0" applyFont="1" applyFill="1" applyBorder="1"/>
    <xf numFmtId="165" fontId="1" fillId="0" borderId="5" xfId="2" quotePrefix="1" applyNumberFormat="1" applyFont="1" applyFill="1" applyBorder="1" applyAlignment="1">
      <alignment horizontal="right"/>
    </xf>
    <xf numFmtId="43" fontId="1" fillId="0" borderId="5" xfId="2" quotePrefix="1" applyNumberFormat="1" applyFont="1" applyFill="1" applyBorder="1" applyAlignment="1">
      <alignment horizontal="right"/>
    </xf>
    <xf numFmtId="165" fontId="10" fillId="0" borderId="5" xfId="1" applyNumberFormat="1" applyFont="1" applyFill="1" applyBorder="1" applyAlignment="1">
      <alignment horizontal="right"/>
    </xf>
    <xf numFmtId="43" fontId="0" fillId="0" borderId="0" xfId="1" applyFont="1" applyFill="1" applyAlignment="1">
      <alignment horizontal="left"/>
    </xf>
    <xf numFmtId="165" fontId="19" fillId="0" borderId="5" xfId="1" applyNumberFormat="1" applyFont="1" applyFill="1" applyBorder="1" applyAlignment="1">
      <alignment horizontal="right"/>
    </xf>
    <xf numFmtId="0" fontId="0" fillId="0" borderId="3" xfId="0" applyFont="1" applyBorder="1" applyAlignment="1">
      <alignment horizontal="left"/>
    </xf>
    <xf numFmtId="0" fontId="2" fillId="0" borderId="4" xfId="0" applyFont="1" applyBorder="1" applyAlignment="1">
      <alignment horizontal="left"/>
    </xf>
    <xf numFmtId="10" fontId="0" fillId="2" borderId="11" xfId="1" applyNumberFormat="1" applyFont="1" applyFill="1" applyBorder="1" applyAlignment="1">
      <alignment horizontal="right"/>
    </xf>
    <xf numFmtId="6" fontId="0" fillId="0" borderId="32" xfId="0" applyNumberFormat="1" applyFont="1" applyBorder="1" applyAlignment="1">
      <alignment horizontal="right"/>
    </xf>
    <xf numFmtId="165" fontId="1" fillId="0" borderId="0" xfId="2" quotePrefix="1" applyNumberFormat="1" applyFont="1" applyFill="1" applyBorder="1" applyAlignment="1">
      <alignment horizontal="right"/>
    </xf>
    <xf numFmtId="165" fontId="10" fillId="0" borderId="0" xfId="329" applyNumberFormat="1" applyFont="1" applyFill="1" applyBorder="1" applyAlignment="1">
      <alignment horizontal="right"/>
    </xf>
    <xf numFmtId="43" fontId="10" fillId="0" borderId="0" xfId="330" applyNumberFormat="1" applyFont="1" applyFill="1" applyBorder="1" applyAlignment="1">
      <alignment horizontal="right"/>
    </xf>
    <xf numFmtId="227" fontId="2" fillId="0" borderId="4" xfId="2"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Fill="1" applyBorder="1" applyAlignment="1">
      <alignment horizontal="left"/>
    </xf>
    <xf numFmtId="165" fontId="19" fillId="0" borderId="0" xfId="330" applyNumberFormat="1" applyFont="1" applyFill="1" applyBorder="1" applyAlignment="1">
      <alignment horizontal="right"/>
    </xf>
    <xf numFmtId="0" fontId="10" fillId="0" borderId="4" xfId="0" applyFont="1" applyFill="1" applyBorder="1" applyAlignment="1">
      <alignment horizontal="left"/>
    </xf>
    <xf numFmtId="0" fontId="0" fillId="0" borderId="0" xfId="0" applyBorder="1"/>
    <xf numFmtId="165" fontId="0" fillId="0" borderId="0" xfId="1" applyNumberFormat="1" applyFont="1" applyBorder="1"/>
    <xf numFmtId="165" fontId="8" fillId="0" borderId="0" xfId="1" applyNumberFormat="1" applyFont="1" applyBorder="1"/>
    <xf numFmtId="165" fontId="1" fillId="0" borderId="0" xfId="1" applyNumberFormat="1" applyFont="1" applyBorder="1"/>
    <xf numFmtId="165" fontId="0" fillId="0" borderId="0" xfId="0" applyNumberFormat="1" applyBorder="1"/>
    <xf numFmtId="165" fontId="0" fillId="0" borderId="0" xfId="0" applyNumberFormat="1" applyFont="1" applyBorder="1"/>
    <xf numFmtId="165" fontId="2" fillId="0" borderId="0" xfId="0" applyNumberFormat="1" applyFont="1" applyBorder="1"/>
    <xf numFmtId="0" fontId="0" fillId="0" borderId="3" xfId="0" applyFont="1" applyFill="1" applyBorder="1" applyAlignment="1">
      <alignment horizontal="left"/>
    </xf>
    <xf numFmtId="0" fontId="0" fillId="0" borderId="3" xfId="0" applyFont="1" applyFill="1" applyBorder="1" applyAlignment="1">
      <alignment horizontal="left" wrapText="1"/>
    </xf>
    <xf numFmtId="0" fontId="2" fillId="0" borderId="4" xfId="0" applyFont="1" applyFill="1" applyBorder="1" applyAlignment="1">
      <alignment horizontal="left" wrapText="1"/>
    </xf>
    <xf numFmtId="0" fontId="8"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4" fillId="0" borderId="0" xfId="1" applyNumberFormat="1" applyFont="1" applyBorder="1"/>
    <xf numFmtId="165" fontId="8" fillId="0" borderId="3" xfId="1" applyNumberFormat="1" applyFont="1" applyFill="1" applyBorder="1" applyAlignment="1">
      <alignment horizontal="right"/>
    </xf>
    <xf numFmtId="165" fontId="8" fillId="0" borderId="0" xfId="1" applyNumberFormat="1" applyFont="1" applyFill="1" applyBorder="1" applyAlignment="1">
      <alignment horizontal="right"/>
    </xf>
    <xf numFmtId="165" fontId="8" fillId="0" borderId="4" xfId="1" applyNumberFormat="1" applyFont="1" applyFill="1" applyBorder="1" applyAlignment="1">
      <alignment horizontal="right"/>
    </xf>
    <xf numFmtId="165" fontId="8" fillId="0" borderId="5" xfId="1" applyNumberFormat="1" applyFont="1" applyFill="1" applyBorder="1" applyAlignment="1">
      <alignment horizontal="right"/>
    </xf>
    <xf numFmtId="41" fontId="0" fillId="0" borderId="3" xfId="1" applyNumberFormat="1" applyFont="1" applyFill="1" applyBorder="1" applyAlignment="1">
      <alignment horizontal="right"/>
    </xf>
    <xf numFmtId="41" fontId="0" fillId="0" borderId="0" xfId="1" applyNumberFormat="1" applyFont="1" applyFill="1" applyBorder="1" applyAlignment="1">
      <alignment horizontal="right"/>
    </xf>
    <xf numFmtId="41" fontId="0" fillId="0" borderId="5" xfId="1" applyNumberFormat="1" applyFont="1" applyFill="1" applyBorder="1" applyAlignment="1">
      <alignment horizontal="right"/>
    </xf>
    <xf numFmtId="41" fontId="0" fillId="0" borderId="0" xfId="0" applyNumberFormat="1" applyBorder="1"/>
    <xf numFmtId="165" fontId="1" fillId="0" borderId="0" xfId="0" applyNumberFormat="1" applyFont="1" applyBorder="1"/>
    <xf numFmtId="41" fontId="3" fillId="0" borderId="3" xfId="1" applyNumberFormat="1" applyFont="1" applyFill="1" applyBorder="1" applyAlignment="1">
      <alignment horizontal="right"/>
    </xf>
    <xf numFmtId="41" fontId="3" fillId="0" borderId="0" xfId="1" applyNumberFormat="1" applyFont="1" applyFill="1" applyBorder="1" applyAlignment="1">
      <alignment horizontal="right"/>
    </xf>
    <xf numFmtId="41" fontId="3" fillId="0" borderId="4" xfId="1" applyNumberFormat="1" applyFont="1" applyFill="1" applyBorder="1" applyAlignment="1">
      <alignment horizontal="right"/>
    </xf>
    <xf numFmtId="41" fontId="3" fillId="0" borderId="5" xfId="1" applyNumberFormat="1" applyFont="1" applyFill="1" applyBorder="1" applyAlignment="1">
      <alignment horizontal="right"/>
    </xf>
    <xf numFmtId="41" fontId="3" fillId="0" borderId="0" xfId="0" applyNumberFormat="1" applyFont="1" applyBorder="1"/>
    <xf numFmtId="165" fontId="3" fillId="0" borderId="0" xfId="0" applyNumberFormat="1" applyFont="1" applyBorder="1"/>
    <xf numFmtId="0" fontId="0" fillId="0" borderId="3" xfId="0" applyFont="1" applyFill="1" applyBorder="1" applyAlignment="1">
      <alignment horizontal="left"/>
    </xf>
    <xf numFmtId="0" fontId="0" fillId="0" borderId="4" xfId="0" applyFont="1" applyFill="1" applyBorder="1" applyAlignment="1">
      <alignment horizontal="left"/>
    </xf>
    <xf numFmtId="165" fontId="10" fillId="0" borderId="0" xfId="1" applyNumberFormat="1" applyFont="1" applyFill="1" applyAlignment="1"/>
    <xf numFmtId="41" fontId="1" fillId="0" borderId="5" xfId="1" applyNumberFormat="1" applyFont="1" applyFill="1" applyBorder="1" applyAlignment="1">
      <alignment horizontal="right"/>
    </xf>
    <xf numFmtId="165" fontId="8" fillId="0" borderId="10" xfId="1" applyNumberFormat="1" applyFont="1" applyBorder="1"/>
    <xf numFmtId="41" fontId="1" fillId="0" borderId="6" xfId="1" applyNumberFormat="1" applyFont="1" applyFill="1" applyBorder="1" applyAlignment="1">
      <alignment horizontal="right"/>
    </xf>
    <xf numFmtId="41" fontId="1" fillId="0" borderId="7" xfId="1" applyNumberFormat="1" applyFont="1" applyFill="1" applyBorder="1" applyAlignment="1">
      <alignment horizontal="right"/>
    </xf>
    <xf numFmtId="41" fontId="1" fillId="0" borderId="10" xfId="1" applyNumberFormat="1" applyFont="1" applyFill="1" applyBorder="1" applyAlignment="1">
      <alignment horizontal="right"/>
    </xf>
    <xf numFmtId="41" fontId="1" fillId="0" borderId="8" xfId="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5" xfId="0" applyBorder="1"/>
    <xf numFmtId="0" fontId="0" fillId="0" borderId="5" xfId="0" applyFont="1" applyBorder="1"/>
    <xf numFmtId="165" fontId="7" fillId="0" borderId="3" xfId="1" applyNumberFormat="1" applyFont="1" applyBorder="1" applyAlignment="1">
      <alignment horizontal="right"/>
    </xf>
    <xf numFmtId="165" fontId="1" fillId="0" borderId="3" xfId="1" applyNumberFormat="1" applyFont="1" applyBorder="1" applyAlignment="1">
      <alignment horizontal="right"/>
    </xf>
    <xf numFmtId="165" fontId="4" fillId="0" borderId="3" xfId="1" applyNumberFormat="1" applyFont="1" applyBorder="1" applyAlignment="1">
      <alignment horizontal="right"/>
    </xf>
    <xf numFmtId="165" fontId="3" fillId="0" borderId="3" xfId="1" applyNumberFormat="1" applyFont="1" applyBorder="1" applyAlignment="1">
      <alignment horizontal="right"/>
    </xf>
    <xf numFmtId="165" fontId="8" fillId="0" borderId="6" xfId="1" applyNumberFormat="1" applyFont="1" applyBorder="1"/>
    <xf numFmtId="164" fontId="16" fillId="3" borderId="1" xfId="1" quotePrefix="1" applyNumberFormat="1" applyFont="1" applyFill="1" applyBorder="1" applyAlignment="1">
      <alignment horizontal="right"/>
    </xf>
    <xf numFmtId="0" fontId="0" fillId="0" borderId="3" xfId="0" applyBorder="1"/>
    <xf numFmtId="165" fontId="0" fillId="0" borderId="3" xfId="1" applyNumberFormat="1" applyFont="1" applyBorder="1"/>
    <xf numFmtId="165" fontId="67" fillId="0" borderId="3" xfId="1" applyNumberFormat="1" applyFont="1" applyBorder="1"/>
    <xf numFmtId="165" fontId="1" fillId="0" borderId="3" xfId="1" applyNumberFormat="1" applyFont="1" applyBorder="1"/>
    <xf numFmtId="165" fontId="8" fillId="0" borderId="3" xfId="1" applyNumberFormat="1" applyFont="1" applyBorder="1"/>
    <xf numFmtId="0" fontId="0" fillId="0" borderId="0" xfId="0" applyFont="1" applyBorder="1"/>
    <xf numFmtId="165" fontId="4" fillId="0" borderId="3" xfId="1" applyNumberFormat="1" applyFont="1" applyBorder="1"/>
    <xf numFmtId="164" fontId="65" fillId="5" borderId="37" xfId="1" quotePrefix="1" applyNumberFormat="1" applyFont="1" applyFill="1" applyBorder="1" applyAlignment="1">
      <alignment horizontal="right"/>
    </xf>
    <xf numFmtId="164" fontId="65" fillId="5" borderId="1" xfId="1" quotePrefix="1" applyNumberFormat="1" applyFont="1" applyFill="1" applyBorder="1" applyAlignment="1">
      <alignment horizontal="right"/>
    </xf>
    <xf numFmtId="164" fontId="18" fillId="3" borderId="6" xfId="1" quotePrefix="1" applyNumberFormat="1" applyFont="1" applyFill="1" applyBorder="1" applyAlignment="1">
      <alignment horizontal="right"/>
    </xf>
    <xf numFmtId="164" fontId="18" fillId="3" borderId="10" xfId="1" quotePrefix="1" applyNumberFormat="1" applyFont="1" applyFill="1" applyBorder="1" applyAlignment="1">
      <alignment horizontal="right"/>
    </xf>
    <xf numFmtId="164" fontId="66" fillId="5" borderId="7" xfId="1" quotePrefix="1" applyNumberFormat="1" applyFont="1" applyFill="1" applyBorder="1" applyAlignment="1">
      <alignment horizontal="right"/>
    </xf>
    <xf numFmtId="164" fontId="66" fillId="5" borderId="8" xfId="1" quotePrefix="1" applyNumberFormat="1" applyFont="1" applyFill="1" applyBorder="1" applyAlignment="1">
      <alignment horizontal="right"/>
    </xf>
    <xf numFmtId="164" fontId="18" fillId="3" borderId="7" xfId="1" quotePrefix="1" applyNumberFormat="1" applyFont="1" applyFill="1" applyBorder="1" applyAlignment="1">
      <alignment horizontal="right"/>
    </xf>
    <xf numFmtId="164" fontId="66" fillId="5" borderId="6" xfId="1" quotePrefix="1" applyNumberFormat="1" applyFont="1" applyFill="1" applyBorder="1" applyAlignment="1">
      <alignment horizontal="right"/>
    </xf>
    <xf numFmtId="164" fontId="66" fillId="5" borderId="10" xfId="1" quotePrefix="1" applyNumberFormat="1" applyFont="1" applyFill="1" applyBorder="1" applyAlignment="1">
      <alignment horizontal="right"/>
    </xf>
    <xf numFmtId="164" fontId="16" fillId="3" borderId="37" xfId="1" quotePrefix="1" applyNumberFormat="1" applyFont="1" applyFill="1" applyBorder="1" applyAlignment="1">
      <alignment horizontal="right"/>
    </xf>
    <xf numFmtId="164" fontId="18" fillId="3" borderId="8" xfId="1" quotePrefix="1" applyNumberFormat="1" applyFont="1" applyFill="1" applyBorder="1" applyAlignment="1">
      <alignment horizontal="right"/>
    </xf>
    <xf numFmtId="165" fontId="0" fillId="0" borderId="3" xfId="0" applyNumberFormat="1" applyBorder="1"/>
    <xf numFmtId="165" fontId="0" fillId="0" borderId="3" xfId="0" applyNumberFormat="1" applyFill="1" applyBorder="1"/>
    <xf numFmtId="41" fontId="3" fillId="0" borderId="3" xfId="0" applyNumberFormat="1" applyFont="1" applyBorder="1"/>
    <xf numFmtId="41" fontId="0" fillId="0" borderId="3" xfId="0" applyNumberFormat="1" applyBorder="1"/>
    <xf numFmtId="165" fontId="1" fillId="0" borderId="3" xfId="0" applyNumberFormat="1" applyFont="1" applyBorder="1"/>
    <xf numFmtId="165" fontId="3" fillId="0" borderId="3" xfId="0" applyNumberFormat="1" applyFont="1" applyBorder="1"/>
    <xf numFmtId="165" fontId="2" fillId="0" borderId="3" xfId="0" applyNumberFormat="1" applyFont="1" applyBorder="1"/>
    <xf numFmtId="0" fontId="0" fillId="0" borderId="3" xfId="0" applyFont="1" applyBorder="1" applyAlignment="1">
      <alignment horizontal="left"/>
    </xf>
    <xf numFmtId="165" fontId="1" fillId="0" borderId="2" xfId="1" quotePrefix="1" applyNumberFormat="1" applyFont="1" applyFill="1" applyBorder="1" applyAlignment="1">
      <alignment horizontal="right"/>
    </xf>
    <xf numFmtId="41" fontId="0" fillId="0" borderId="0" xfId="0" applyNumberFormat="1"/>
    <xf numFmtId="0" fontId="0" fillId="0" borderId="3" xfId="0" applyFont="1" applyBorder="1" applyAlignment="1">
      <alignment horizontal="left"/>
    </xf>
    <xf numFmtId="0" fontId="0" fillId="0" borderId="4" xfId="0" applyFont="1" applyBorder="1" applyAlignment="1">
      <alignment horizontal="left"/>
    </xf>
    <xf numFmtId="166" fontId="0" fillId="0" borderId="0" xfId="2" quotePrefix="1" applyNumberFormat="1" applyFont="1" applyFill="1" applyBorder="1" applyAlignment="1">
      <alignment horizontal="right"/>
    </xf>
    <xf numFmtId="0" fontId="0" fillId="0" borderId="4" xfId="0" applyFont="1" applyFill="1" applyBorder="1"/>
    <xf numFmtId="165" fontId="1" fillId="0" borderId="4" xfId="2" quotePrefix="1" applyNumberFormat="1" applyFont="1" applyFill="1" applyBorder="1" applyAlignment="1">
      <alignment horizontal="right"/>
    </xf>
    <xf numFmtId="43" fontId="1" fillId="0" borderId="4" xfId="2" quotePrefix="1" applyNumberFormat="1" applyFont="1" applyFill="1" applyBorder="1" applyAlignment="1">
      <alignment horizontal="right"/>
    </xf>
    <xf numFmtId="41" fontId="1" fillId="0" borderId="0" xfId="1" quotePrefix="1" applyNumberFormat="1" applyFont="1" applyFill="1" applyBorder="1" applyAlignment="1">
      <alignment horizontal="right"/>
    </xf>
    <xf numFmtId="41" fontId="1" fillId="0" borderId="5" xfId="1" quotePrefix="1" applyNumberFormat="1" applyFont="1" applyFill="1" applyBorder="1" applyAlignment="1">
      <alignment horizontal="right"/>
    </xf>
    <xf numFmtId="41" fontId="1" fillId="0" borderId="0" xfId="2" quotePrefix="1" applyNumberFormat="1" applyFont="1" applyFill="1" applyBorder="1" applyAlignment="1">
      <alignment horizontal="right"/>
    </xf>
    <xf numFmtId="41" fontId="0" fillId="0" borderId="0" xfId="2" quotePrefix="1" applyNumberFormat="1" applyFont="1" applyFill="1" applyBorder="1" applyAlignment="1">
      <alignment horizontal="right"/>
    </xf>
    <xf numFmtId="41" fontId="10" fillId="0" borderId="0" xfId="329" quotePrefix="1" applyNumberFormat="1" applyFont="1" applyFill="1" applyBorder="1" applyAlignment="1">
      <alignment horizontal="right"/>
    </xf>
    <xf numFmtId="41" fontId="1" fillId="0" borderId="4" xfId="2" quotePrefix="1" applyNumberFormat="1" applyFont="1" applyFill="1" applyBorder="1" applyAlignment="1">
      <alignment horizontal="right"/>
    </xf>
    <xf numFmtId="41" fontId="1" fillId="0" borderId="4" xfId="1" quotePrefix="1" applyNumberFormat="1" applyFont="1" applyFill="1" applyBorder="1" applyAlignment="1">
      <alignment horizontal="right"/>
    </xf>
    <xf numFmtId="0" fontId="8" fillId="0" borderId="3" xfId="0" applyFont="1" applyFill="1" applyBorder="1" applyAlignment="1"/>
    <xf numFmtId="166" fontId="1" fillId="0" borderId="0" xfId="1" quotePrefix="1" applyNumberFormat="1" applyFont="1" applyFill="1" applyBorder="1" applyAlignment="1">
      <alignment horizontal="right"/>
    </xf>
    <xf numFmtId="166" fontId="1" fillId="0" borderId="5" xfId="1" quotePrefix="1" applyNumberFormat="1" applyFont="1" applyFill="1" applyBorder="1" applyAlignment="1">
      <alignment horizontal="right"/>
    </xf>
    <xf numFmtId="166" fontId="0" fillId="0" borderId="5" xfId="1" quotePrefix="1" applyNumberFormat="1" applyFont="1" applyFill="1" applyBorder="1" applyAlignment="1">
      <alignment horizontal="right"/>
    </xf>
    <xf numFmtId="0" fontId="0" fillId="0" borderId="4" xfId="0" applyFont="1" applyFill="1" applyBorder="1" applyAlignment="1">
      <alignment horizontal="left"/>
    </xf>
    <xf numFmtId="0" fontId="10" fillId="0" borderId="3" xfId="0" applyFont="1" applyFill="1" applyBorder="1" applyAlignment="1">
      <alignment horizontal="left" indent="2"/>
    </xf>
    <xf numFmtId="165" fontId="19" fillId="11" borderId="0" xfId="330" applyNumberFormat="1" applyFont="1" applyFill="1" applyBorder="1" applyAlignment="1">
      <alignment horizontal="right"/>
    </xf>
    <xf numFmtId="0" fontId="0" fillId="0" borderId="4" xfId="0" applyFont="1" applyFill="1" applyBorder="1" applyAlignment="1">
      <alignment horizontal="left"/>
    </xf>
    <xf numFmtId="166" fontId="1" fillId="11" borderId="0" xfId="1" quotePrefix="1" applyNumberFormat="1" applyFont="1" applyFill="1" applyBorder="1" applyAlignment="1">
      <alignment horizontal="right"/>
    </xf>
    <xf numFmtId="41" fontId="1" fillId="11" borderId="0" xfId="1" quotePrefix="1" applyNumberFormat="1" applyFont="1" applyFill="1" applyBorder="1" applyAlignment="1">
      <alignment horizontal="right"/>
    </xf>
    <xf numFmtId="166" fontId="1" fillId="14" borderId="0" xfId="2" quotePrefix="1" applyNumberFormat="1" applyFont="1" applyFill="1" applyBorder="1" applyAlignment="1">
      <alignment horizontal="right"/>
    </xf>
    <xf numFmtId="166" fontId="1" fillId="14" borderId="0" xfId="1" quotePrefix="1" applyNumberFormat="1" applyFont="1" applyFill="1" applyBorder="1" applyAlignment="1">
      <alignment horizontal="right"/>
    </xf>
    <xf numFmtId="165" fontId="0" fillId="14" borderId="0" xfId="1" applyNumberFormat="1" applyFont="1" applyFill="1" applyBorder="1"/>
    <xf numFmtId="41" fontId="0" fillId="14" borderId="0" xfId="0" applyNumberFormat="1" applyFill="1" applyBorder="1"/>
    <xf numFmtId="0" fontId="8" fillId="0" borderId="3" xfId="0" applyFont="1" applyFill="1" applyBorder="1" applyAlignment="1">
      <alignment horizontal="left"/>
    </xf>
    <xf numFmtId="0" fontId="0" fillId="0" borderId="34" xfId="0" applyFont="1" applyFill="1" applyBorder="1" applyAlignment="1">
      <alignment horizontal="left"/>
    </xf>
    <xf numFmtId="0" fontId="0" fillId="0" borderId="35" xfId="0" applyFont="1" applyFill="1" applyBorder="1" applyAlignment="1">
      <alignment horizontal="left"/>
    </xf>
    <xf numFmtId="165" fontId="0" fillId="0" borderId="0" xfId="1" quotePrefix="1" applyNumberFormat="1" applyFont="1" applyFill="1" applyBorder="1" applyAlignment="1">
      <alignment horizontal="right"/>
    </xf>
    <xf numFmtId="165" fontId="0" fillId="0" borderId="36" xfId="1" quotePrefix="1" applyNumberFormat="1" applyFont="1" applyFill="1" applyBorder="1" applyAlignment="1">
      <alignment horizontal="right"/>
    </xf>
    <xf numFmtId="166" fontId="0" fillId="0" borderId="0" xfId="1" quotePrefix="1" applyNumberFormat="1" applyFont="1" applyFill="1" applyBorder="1" applyAlignment="1">
      <alignment horizontal="right"/>
    </xf>
    <xf numFmtId="166" fontId="0" fillId="0" borderId="36" xfId="1" quotePrefix="1" applyNumberFormat="1" applyFont="1" applyFill="1" applyBorder="1" applyAlignment="1">
      <alignment horizontal="right"/>
    </xf>
    <xf numFmtId="166" fontId="0" fillId="0" borderId="35" xfId="1" quotePrefix="1" applyNumberFormat="1" applyFont="1" applyFill="1" applyBorder="1" applyAlignment="1">
      <alignment horizontal="right"/>
    </xf>
    <xf numFmtId="166" fontId="0" fillId="0" borderId="27" xfId="1" quotePrefix="1" applyNumberFormat="1" applyFont="1" applyFill="1" applyBorder="1" applyAlignment="1">
      <alignment horizontal="right"/>
    </xf>
    <xf numFmtId="166" fontId="0" fillId="0" borderId="28" xfId="1" quotePrefix="1" applyNumberFormat="1" applyFont="1" applyFill="1" applyBorder="1" applyAlignment="1">
      <alignment horizontal="right"/>
    </xf>
    <xf numFmtId="166" fontId="0" fillId="0" borderId="30" xfId="1" quotePrefix="1" applyNumberFormat="1" applyFont="1" applyFill="1" applyBorder="1" applyAlignment="1">
      <alignment horizontal="right"/>
    </xf>
    <xf numFmtId="166" fontId="0" fillId="0" borderId="29" xfId="1" quotePrefix="1" applyNumberFormat="1" applyFont="1" applyFill="1" applyBorder="1" applyAlignment="1">
      <alignment horizontal="right"/>
    </xf>
    <xf numFmtId="166" fontId="0" fillId="0" borderId="33" xfId="1" quotePrefix="1" applyNumberFormat="1" applyFont="1" applyFill="1" applyBorder="1" applyAlignment="1">
      <alignment horizontal="right"/>
    </xf>
    <xf numFmtId="166" fontId="0" fillId="14" borderId="0" xfId="1" quotePrefix="1" applyNumberFormat="1" applyFont="1" applyFill="1" applyBorder="1" applyAlignment="1">
      <alignment horizontal="right"/>
    </xf>
    <xf numFmtId="166" fontId="0" fillId="14" borderId="36" xfId="1" quotePrefix="1" applyNumberFormat="1" applyFont="1" applyFill="1" applyBorder="1" applyAlignment="1">
      <alignment horizontal="right"/>
    </xf>
    <xf numFmtId="41" fontId="1" fillId="14" borderId="4" xfId="2" quotePrefix="1" applyNumberFormat="1" applyFont="1" applyFill="1" applyBorder="1" applyAlignment="1">
      <alignment horizontal="right"/>
    </xf>
    <xf numFmtId="43" fontId="10" fillId="14" borderId="0" xfId="330" applyNumberFormat="1" applyFont="1" applyFill="1" applyBorder="1" applyAlignment="1">
      <alignment horizontal="right"/>
    </xf>
    <xf numFmtId="41" fontId="1" fillId="14" borderId="0" xfId="1" quotePrefix="1" applyNumberFormat="1" applyFont="1" applyFill="1" applyBorder="1" applyAlignment="1">
      <alignment horizontal="right"/>
    </xf>
    <xf numFmtId="41" fontId="1" fillId="14" borderId="0" xfId="2" quotePrefix="1" applyNumberFormat="1" applyFont="1" applyFill="1" applyBorder="1" applyAlignment="1">
      <alignment horizontal="right"/>
    </xf>
    <xf numFmtId="41" fontId="10" fillId="0" borderId="0" xfId="1" applyNumberFormat="1" applyFont="1" applyFill="1" applyBorder="1" applyAlignment="1">
      <alignment horizontal="right"/>
    </xf>
    <xf numFmtId="41" fontId="10" fillId="0" borderId="5" xfId="1" quotePrefix="1" applyNumberFormat="1" applyFont="1" applyFill="1" applyBorder="1" applyAlignment="1">
      <alignment horizontal="right"/>
    </xf>
    <xf numFmtId="166" fontId="0" fillId="14" borderId="34" xfId="1" quotePrefix="1" applyNumberFormat="1" applyFont="1" applyFill="1" applyBorder="1" applyAlignment="1">
      <alignment horizontal="right"/>
    </xf>
    <xf numFmtId="166" fontId="0" fillId="14" borderId="30" xfId="1" quotePrefix="1" applyNumberFormat="1" applyFont="1" applyFill="1" applyBorder="1" applyAlignment="1">
      <alignment horizontal="right"/>
    </xf>
    <xf numFmtId="166" fontId="0" fillId="14" borderId="35"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wrapText="1"/>
    </xf>
    <xf numFmtId="0" fontId="0" fillId="0" borderId="3" xfId="0" applyFont="1" applyBorder="1" applyAlignment="1">
      <alignment horizontal="left"/>
    </xf>
    <xf numFmtId="0" fontId="0" fillId="0" borderId="4" xfId="0" applyFont="1" applyBorder="1" applyAlignment="1">
      <alignment horizontal="left"/>
    </xf>
    <xf numFmtId="0" fontId="2" fillId="0" borderId="4" xfId="0" applyFont="1" applyFill="1" applyBorder="1" applyAlignment="1">
      <alignment horizontal="left" wrapText="1"/>
    </xf>
    <xf numFmtId="0" fontId="8" fillId="0" borderId="4" xfId="0" applyFont="1" applyBorder="1" applyAlignment="1">
      <alignment horizontal="left"/>
    </xf>
    <xf numFmtId="0" fontId="2" fillId="0" borderId="4" xfId="0" applyFont="1" applyBorder="1" applyAlignment="1">
      <alignment horizontal="left" wrapText="1"/>
    </xf>
    <xf numFmtId="164" fontId="12" fillId="5" borderId="2" xfId="1" quotePrefix="1" applyNumberFormat="1" applyFont="1" applyFill="1" applyBorder="1" applyAlignment="1">
      <alignment horizontal="right"/>
    </xf>
    <xf numFmtId="164" fontId="19" fillId="5" borderId="0" xfId="1" quotePrefix="1" applyNumberFormat="1" applyFont="1" applyFill="1" applyBorder="1" applyAlignment="1">
      <alignment horizontal="right"/>
    </xf>
    <xf numFmtId="0" fontId="0" fillId="0" borderId="0" xfId="0" applyFont="1" applyBorder="1" applyAlignment="1">
      <alignment horizontal="left"/>
    </xf>
    <xf numFmtId="164" fontId="1" fillId="0" borderId="0" xfId="1" quotePrefix="1" applyNumberFormat="1" applyFont="1" applyBorder="1" applyAlignment="1">
      <alignment horizontal="right"/>
    </xf>
    <xf numFmtId="164" fontId="1" fillId="0" borderId="5" xfId="1" quotePrefix="1" applyNumberFormat="1" applyFont="1" applyBorder="1" applyAlignment="1">
      <alignment horizontal="right"/>
    </xf>
    <xf numFmtId="164" fontId="1" fillId="0" borderId="5" xfId="1" quotePrefix="1" applyNumberFormat="1" applyFont="1" applyFill="1" applyBorder="1" applyAlignment="1">
      <alignment horizontal="right"/>
    </xf>
    <xf numFmtId="164" fontId="1" fillId="14" borderId="0" xfId="1" quotePrefix="1" applyNumberFormat="1" applyFont="1" applyFill="1" applyBorder="1" applyAlignment="1">
      <alignment horizontal="right"/>
    </xf>
    <xf numFmtId="9" fontId="1" fillId="0" borderId="5" xfId="2" applyFont="1" applyBorder="1" applyAlignment="1">
      <alignment horizontal="right"/>
    </xf>
    <xf numFmtId="9" fontId="7" fillId="0" borderId="5" xfId="2" applyFont="1" applyBorder="1" applyAlignment="1">
      <alignment horizontal="right"/>
    </xf>
    <xf numFmtId="9" fontId="1" fillId="0" borderId="7" xfId="2" applyFont="1" applyBorder="1" applyAlignment="1">
      <alignment horizontal="right"/>
    </xf>
    <xf numFmtId="165" fontId="1" fillId="0" borderId="7" xfId="1" applyNumberFormat="1" applyFont="1" applyBorder="1" applyAlignment="1">
      <alignment horizontal="right"/>
    </xf>
    <xf numFmtId="9" fontId="1" fillId="0" borderId="8" xfId="2" applyFont="1" applyBorder="1" applyAlignment="1">
      <alignment horizontal="right"/>
    </xf>
    <xf numFmtId="165" fontId="10" fillId="0" borderId="7" xfId="1" applyNumberFormat="1" applyFont="1" applyFill="1" applyBorder="1" applyAlignment="1">
      <alignment horizontal="right"/>
    </xf>
    <xf numFmtId="165" fontId="10" fillId="0" borderId="7" xfId="1" applyNumberFormat="1" applyFont="1" applyBorder="1" applyAlignment="1">
      <alignment horizontal="right"/>
    </xf>
    <xf numFmtId="9" fontId="7" fillId="0" borderId="8" xfId="2" applyFont="1" applyBorder="1" applyAlignment="1">
      <alignment horizontal="right"/>
    </xf>
    <xf numFmtId="164" fontId="3" fillId="0" borderId="0" xfId="1" quotePrefix="1" applyNumberFormat="1" applyFont="1" applyBorder="1" applyAlignment="1">
      <alignment horizontal="right"/>
    </xf>
    <xf numFmtId="164" fontId="3" fillId="0" borderId="5" xfId="1" quotePrefix="1" applyNumberFormat="1" applyFont="1" applyBorder="1" applyAlignment="1">
      <alignment horizontal="right"/>
    </xf>
    <xf numFmtId="164" fontId="3" fillId="0" borderId="0" xfId="1" quotePrefix="1" applyNumberFormat="1" applyFont="1" applyFill="1" applyBorder="1" applyAlignment="1">
      <alignment horizontal="right"/>
    </xf>
    <xf numFmtId="164" fontId="3" fillId="0" borderId="5" xfId="1" quotePrefix="1" applyNumberFormat="1" applyFont="1" applyFill="1" applyBorder="1" applyAlignment="1">
      <alignment horizontal="right"/>
    </xf>
    <xf numFmtId="166" fontId="2" fillId="0" borderId="5" xfId="2" quotePrefix="1" applyNumberFormat="1" applyFont="1" applyBorder="1" applyAlignment="1">
      <alignment horizontal="right"/>
    </xf>
    <xf numFmtId="0" fontId="0" fillId="0" borderId="3" xfId="0" applyFont="1" applyFill="1" applyBorder="1" applyAlignment="1">
      <alignment horizontal="left"/>
    </xf>
    <xf numFmtId="0" fontId="0" fillId="0" borderId="6"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43" fontId="10" fillId="14" borderId="5" xfId="330" applyNumberFormat="1" applyFont="1" applyFill="1" applyBorder="1" applyAlignment="1">
      <alignment horizontal="right"/>
    </xf>
    <xf numFmtId="43" fontId="10" fillId="14" borderId="0" xfId="1" applyNumberFormat="1" applyFont="1" applyFill="1" applyBorder="1" applyAlignment="1">
      <alignment horizontal="right"/>
    </xf>
    <xf numFmtId="165" fontId="19" fillId="14" borderId="5" xfId="330" applyNumberFormat="1" applyFont="1" applyFill="1" applyBorder="1" applyAlignment="1">
      <alignment horizontal="right"/>
    </xf>
    <xf numFmtId="165" fontId="19" fillId="14" borderId="0" xfId="330" applyNumberFormat="1" applyFont="1" applyFill="1" applyBorder="1" applyAlignment="1">
      <alignment horizontal="right"/>
    </xf>
    <xf numFmtId="165" fontId="19" fillId="14" borderId="0" xfId="1" applyNumberFormat="1" applyFont="1" applyFill="1" applyBorder="1" applyAlignment="1">
      <alignment horizontal="right"/>
    </xf>
    <xf numFmtId="165" fontId="3" fillId="14" borderId="5" xfId="1" applyNumberFormat="1" applyFont="1" applyFill="1" applyBorder="1" applyAlignment="1">
      <alignment horizontal="right"/>
    </xf>
    <xf numFmtId="0" fontId="0" fillId="0" borderId="4" xfId="0" applyBorder="1"/>
    <xf numFmtId="0" fontId="0" fillId="0" borderId="10" xfId="0" applyFont="1" applyFill="1" applyBorder="1" applyAlignment="1">
      <alignment horizontal="left"/>
    </xf>
    <xf numFmtId="164" fontId="18" fillId="3" borderId="4" xfId="1" quotePrefix="1" applyNumberFormat="1" applyFont="1" applyFill="1" applyBorder="1" applyAlignment="1">
      <alignment horizontal="right"/>
    </xf>
    <xf numFmtId="164" fontId="3" fillId="0" borderId="4" xfId="1" quotePrefix="1" applyNumberFormat="1" applyFont="1" applyBorder="1" applyAlignment="1">
      <alignment horizontal="right"/>
    </xf>
    <xf numFmtId="164" fontId="1" fillId="0" borderId="4" xfId="1" quotePrefix="1" applyNumberFormat="1" applyFont="1" applyBorder="1" applyAlignment="1">
      <alignment horizontal="right"/>
    </xf>
    <xf numFmtId="0" fontId="18" fillId="3" borderId="5" xfId="1" quotePrefix="1" applyNumberFormat="1" applyFont="1" applyFill="1" applyBorder="1" applyAlignment="1">
      <alignment horizontal="right"/>
    </xf>
    <xf numFmtId="164" fontId="18" fillId="3" borderId="5" xfId="1" quotePrefix="1" applyNumberFormat="1" applyFont="1" applyFill="1" applyBorder="1" applyAlignment="1">
      <alignment horizontal="right"/>
    </xf>
    <xf numFmtId="164" fontId="12" fillId="5" borderId="37" xfId="1" quotePrefix="1" applyNumberFormat="1" applyFont="1" applyFill="1" applyBorder="1" applyAlignment="1">
      <alignment horizontal="right"/>
    </xf>
    <xf numFmtId="0" fontId="19" fillId="5" borderId="5" xfId="1" quotePrefix="1" applyNumberFormat="1" applyFont="1" applyFill="1" applyBorder="1" applyAlignment="1">
      <alignment horizontal="right"/>
    </xf>
    <xf numFmtId="41" fontId="1" fillId="14" borderId="4" xfId="1" quotePrefix="1" applyNumberFormat="1" applyFont="1" applyFill="1" applyBorder="1" applyAlignment="1">
      <alignment horizontal="right"/>
    </xf>
    <xf numFmtId="41" fontId="1" fillId="14" borderId="3" xfId="1" quotePrefix="1" applyNumberFormat="1" applyFont="1" applyFill="1" applyBorder="1" applyAlignment="1">
      <alignment horizontal="right"/>
    </xf>
    <xf numFmtId="165" fontId="0" fillId="14" borderId="0" xfId="0" applyNumberFormat="1" applyFill="1" applyBorder="1"/>
    <xf numFmtId="41" fontId="4" fillId="0" borderId="0" xfId="0" applyNumberFormat="1" applyFont="1" applyBorder="1"/>
    <xf numFmtId="165" fontId="0" fillId="0" borderId="0" xfId="1" applyNumberFormat="1" applyFont="1" applyFill="1" applyBorder="1"/>
    <xf numFmtId="41" fontId="0" fillId="0" borderId="0" xfId="0" applyNumberFormat="1" applyFill="1" applyBorder="1"/>
    <xf numFmtId="166" fontId="3" fillId="0" borderId="8" xfId="2" quotePrefix="1" applyNumberFormat="1" applyFont="1" applyFill="1" applyBorder="1" applyAlignment="1">
      <alignment horizontal="right"/>
    </xf>
    <xf numFmtId="0" fontId="19" fillId="5" borderId="8" xfId="1" quotePrefix="1" applyNumberFormat="1" applyFont="1" applyFill="1" applyBorder="1" applyAlignment="1">
      <alignment horizontal="right"/>
    </xf>
    <xf numFmtId="0" fontId="18" fillId="3" borderId="8" xfId="1" quotePrefix="1" applyNumberFormat="1" applyFont="1" applyFill="1" applyBorder="1" applyAlignment="1">
      <alignment horizontal="right"/>
    </xf>
    <xf numFmtId="0" fontId="10" fillId="0" borderId="28" xfId="0" applyFont="1" applyFill="1" applyBorder="1" applyAlignment="1">
      <alignment horizontal="left" indent="2"/>
    </xf>
    <xf numFmtId="0" fontId="0" fillId="0" borderId="29" xfId="0" applyFont="1" applyFill="1" applyBorder="1" applyAlignment="1"/>
    <xf numFmtId="41" fontId="1" fillId="0" borderId="30" xfId="1" quotePrefix="1" applyNumberFormat="1" applyFont="1" applyFill="1" applyBorder="1" applyAlignment="1">
      <alignment horizontal="right"/>
    </xf>
    <xf numFmtId="41" fontId="1" fillId="0" borderId="30" xfId="2" quotePrefix="1" applyNumberFormat="1" applyFont="1" applyFill="1" applyBorder="1" applyAlignment="1">
      <alignment horizontal="right"/>
    </xf>
    <xf numFmtId="41" fontId="1" fillId="0" borderId="27" xfId="1" quotePrefix="1" applyNumberFormat="1" applyFont="1" applyFill="1" applyBorder="1" applyAlignment="1">
      <alignment horizontal="right"/>
    </xf>
    <xf numFmtId="10" fontId="1" fillId="0" borderId="27" xfId="2" quotePrefix="1" applyNumberFormat="1" applyFont="1" applyFill="1" applyBorder="1" applyAlignment="1">
      <alignment horizontal="right"/>
    </xf>
    <xf numFmtId="0" fontId="0" fillId="0" borderId="29" xfId="0" applyFont="1" applyFill="1" applyBorder="1" applyAlignment="1">
      <alignment horizontal="left"/>
    </xf>
    <xf numFmtId="9" fontId="1" fillId="0" borderId="27" xfId="2" quotePrefix="1" applyFont="1" applyFill="1" applyBorder="1" applyAlignment="1">
      <alignment horizontal="right"/>
    </xf>
    <xf numFmtId="41" fontId="1" fillId="0" borderId="29" xfId="1" quotePrefix="1" applyNumberFormat="1" applyFont="1" applyFill="1" applyBorder="1" applyAlignment="1">
      <alignment horizontal="right"/>
    </xf>
    <xf numFmtId="43" fontId="1" fillId="0" borderId="27" xfId="2" quotePrefix="1" applyNumberFormat="1" applyFont="1" applyFill="1" applyBorder="1" applyAlignment="1">
      <alignment horizontal="right"/>
    </xf>
    <xf numFmtId="0" fontId="0" fillId="0" borderId="28" xfId="0" applyFont="1" applyFill="1" applyBorder="1" applyAlignment="1">
      <alignment horizontal="left"/>
    </xf>
    <xf numFmtId="166" fontId="1" fillId="0" borderId="30" xfId="1" quotePrefix="1" applyNumberFormat="1" applyFont="1" applyFill="1" applyBorder="1" applyAlignment="1">
      <alignment horizontal="right"/>
    </xf>
    <xf numFmtId="166" fontId="1" fillId="0" borderId="27" xfId="1" quotePrefix="1" applyNumberFormat="1" applyFont="1" applyFill="1" applyBorder="1" applyAlignment="1">
      <alignment horizontal="right"/>
    </xf>
    <xf numFmtId="166" fontId="1" fillId="14" borderId="30" xfId="1" quotePrefix="1" applyNumberFormat="1" applyFont="1" applyFill="1" applyBorder="1" applyAlignment="1">
      <alignment horizontal="right"/>
    </xf>
    <xf numFmtId="166" fontId="1" fillId="0" borderId="28" xfId="2" quotePrefix="1" applyNumberFormat="1" applyFont="1" applyFill="1" applyBorder="1" applyAlignment="1">
      <alignment horizontal="right"/>
    </xf>
    <xf numFmtId="165" fontId="1" fillId="0" borderId="40" xfId="1" quotePrefix="1" applyNumberFormat="1" applyFont="1" applyFill="1" applyBorder="1" applyAlignment="1">
      <alignment horizontal="right"/>
    </xf>
    <xf numFmtId="166" fontId="1" fillId="11" borderId="30" xfId="2" quotePrefix="1" applyNumberFormat="1" applyFont="1" applyFill="1" applyBorder="1" applyAlignment="1">
      <alignment horizontal="right"/>
    </xf>
    <xf numFmtId="166" fontId="1" fillId="14" borderId="30" xfId="2" quotePrefix="1" applyNumberFormat="1" applyFont="1" applyFill="1" applyBorder="1" applyAlignment="1">
      <alignment horizontal="right"/>
    </xf>
    <xf numFmtId="166" fontId="1" fillId="14" borderId="28" xfId="2" quotePrefix="1" applyNumberFormat="1" applyFont="1" applyFill="1" applyBorder="1" applyAlignment="1">
      <alignment horizontal="right"/>
    </xf>
    <xf numFmtId="166" fontId="1" fillId="0" borderId="0" xfId="2" quotePrefix="1" applyNumberFormat="1" applyFont="1" applyBorder="1" applyAlignment="1">
      <alignment horizontal="right"/>
    </xf>
    <xf numFmtId="166" fontId="1" fillId="0" borderId="5" xfId="2" quotePrefix="1" applyNumberFormat="1" applyFont="1" applyBorder="1" applyAlignment="1">
      <alignment horizontal="right"/>
    </xf>
    <xf numFmtId="166" fontId="1" fillId="0" borderId="7" xfId="2" quotePrefix="1" applyNumberFormat="1" applyFont="1" applyBorder="1" applyAlignment="1">
      <alignment horizontal="right"/>
    </xf>
    <xf numFmtId="166" fontId="4" fillId="0" borderId="8" xfId="2" quotePrefix="1" applyNumberFormat="1" applyFont="1" applyBorder="1" applyAlignment="1">
      <alignment horizontal="right"/>
    </xf>
    <xf numFmtId="166" fontId="4" fillId="0" borderId="8" xfId="2" quotePrefix="1" applyNumberFormat="1" applyFont="1" applyFill="1" applyBorder="1" applyAlignment="1">
      <alignment horizontal="right"/>
    </xf>
    <xf numFmtId="166" fontId="1" fillId="14" borderId="7" xfId="2" quotePrefix="1" applyNumberFormat="1" applyFont="1" applyFill="1" applyBorder="1" applyAlignment="1">
      <alignment horizontal="right"/>
    </xf>
    <xf numFmtId="165" fontId="0" fillId="0" borderId="0" xfId="0" applyNumberFormat="1" applyFill="1" applyBorder="1"/>
    <xf numFmtId="0" fontId="0" fillId="0" borderId="3" xfId="0" applyFont="1" applyBorder="1" applyAlignment="1">
      <alignment horizontal="left" wrapText="1"/>
    </xf>
    <xf numFmtId="0" fontId="1" fillId="0" borderId="0" xfId="0" applyFont="1" applyBorder="1"/>
    <xf numFmtId="41" fontId="1" fillId="0" borderId="0" xfId="0" applyNumberFormat="1" applyFont="1" applyBorder="1"/>
    <xf numFmtId="0" fontId="1" fillId="0" borderId="0" xfId="0" applyFont="1"/>
    <xf numFmtId="43" fontId="1" fillId="0" borderId="4" xfId="1" applyNumberFormat="1" applyFont="1" applyFill="1" applyBorder="1" applyAlignment="1">
      <alignment horizontal="right"/>
    </xf>
    <xf numFmtId="43" fontId="1" fillId="0" borderId="0" xfId="0" applyNumberFormat="1" applyFont="1" applyFill="1" applyBorder="1"/>
    <xf numFmtId="0" fontId="1" fillId="0" borderId="0" xfId="0" applyFont="1" applyFill="1"/>
    <xf numFmtId="165" fontId="19" fillId="0" borderId="3" xfId="1" applyNumberFormat="1" applyFont="1" applyFill="1" applyBorder="1" applyAlignment="1">
      <alignment horizontal="right"/>
    </xf>
    <xf numFmtId="43" fontId="10" fillId="0" borderId="7" xfId="1" applyNumberFormat="1" applyFont="1" applyFill="1" applyBorder="1" applyAlignment="1">
      <alignment horizontal="right"/>
    </xf>
    <xf numFmtId="43" fontId="10" fillId="0" borderId="10" xfId="1" applyNumberFormat="1" applyFont="1" applyFill="1" applyBorder="1" applyAlignment="1">
      <alignment horizontal="right"/>
    </xf>
    <xf numFmtId="0" fontId="2" fillId="0" borderId="3" xfId="0" applyFont="1" applyFill="1" applyBorder="1" applyAlignment="1">
      <alignment horizontal="left"/>
    </xf>
    <xf numFmtId="165" fontId="0" fillId="0" borderId="5" xfId="0" applyNumberFormat="1" applyBorder="1"/>
    <xf numFmtId="165" fontId="1" fillId="0" borderId="5" xfId="1" applyNumberFormat="1" applyFont="1" applyBorder="1" applyAlignment="1">
      <alignment horizontal="right"/>
    </xf>
    <xf numFmtId="165" fontId="4" fillId="0" borderId="5" xfId="1" applyNumberFormat="1" applyFont="1" applyBorder="1" applyAlignment="1">
      <alignment horizontal="right"/>
    </xf>
    <xf numFmtId="165" fontId="3" fillId="0" borderId="5" xfId="1" applyNumberFormat="1" applyFont="1" applyBorder="1" applyAlignment="1">
      <alignment horizontal="right"/>
    </xf>
    <xf numFmtId="165" fontId="8" fillId="0" borderId="8" xfId="1" applyNumberFormat="1" applyFont="1" applyBorder="1"/>
    <xf numFmtId="228" fontId="0" fillId="0" borderId="0" xfId="1" quotePrefix="1" applyNumberFormat="1" applyFont="1" applyBorder="1" applyAlignment="1">
      <alignment horizontal="right"/>
    </xf>
    <xf numFmtId="228" fontId="1" fillId="0" borderId="5" xfId="1" quotePrefix="1" applyNumberFormat="1" applyFont="1" applyBorder="1" applyAlignment="1">
      <alignment horizontal="right"/>
    </xf>
    <xf numFmtId="228" fontId="1" fillId="0" borderId="0" xfId="1" quotePrefix="1" applyNumberFormat="1" applyFont="1" applyFill="1" applyBorder="1" applyAlignment="1">
      <alignment horizontal="right"/>
    </xf>
    <xf numFmtId="228" fontId="1" fillId="0" borderId="5" xfId="1" quotePrefix="1" applyNumberFormat="1" applyFont="1" applyFill="1" applyBorder="1" applyAlignment="1">
      <alignment horizontal="right"/>
    </xf>
    <xf numFmtId="43" fontId="0" fillId="0" borderId="0" xfId="0" applyNumberFormat="1" applyBorder="1"/>
    <xf numFmtId="41" fontId="1" fillId="0" borderId="5" xfId="1" applyNumberFormat="1" applyFont="1" applyBorder="1" applyAlignment="1">
      <alignment horizontal="right"/>
    </xf>
    <xf numFmtId="0" fontId="8" fillId="0" borderId="3" xfId="0" applyFont="1" applyBorder="1"/>
    <xf numFmtId="164" fontId="0" fillId="0" borderId="4" xfId="1" applyNumberFormat="1" applyFont="1" applyBorder="1" applyAlignment="1">
      <alignment horizontal="right"/>
    </xf>
    <xf numFmtId="5" fontId="1" fillId="0" borderId="4" xfId="1" applyNumberFormat="1" applyFont="1" applyBorder="1" applyAlignment="1">
      <alignment horizontal="right"/>
    </xf>
    <xf numFmtId="165" fontId="4" fillId="0" borderId="4" xfId="1" applyNumberFormat="1" applyFont="1" applyBorder="1" applyAlignment="1">
      <alignment horizontal="right"/>
    </xf>
    <xf numFmtId="165" fontId="2" fillId="0" borderId="4" xfId="1" applyNumberFormat="1" applyFont="1" applyBorder="1" applyAlignment="1">
      <alignment horizontal="right"/>
    </xf>
    <xf numFmtId="43" fontId="0" fillId="2" borderId="4" xfId="1" applyNumberFormat="1" applyFont="1" applyFill="1" applyBorder="1" applyAlignment="1">
      <alignment horizontal="right"/>
    </xf>
    <xf numFmtId="43" fontId="0" fillId="0" borderId="4" xfId="1" applyNumberFormat="1" applyFont="1" applyBorder="1" applyAlignment="1">
      <alignment horizontal="right"/>
    </xf>
    <xf numFmtId="166" fontId="67" fillId="2" borderId="4" xfId="1" applyNumberFormat="1" applyFont="1" applyFill="1" applyBorder="1" applyAlignment="1">
      <alignment horizontal="right"/>
    </xf>
    <xf numFmtId="166" fontId="2" fillId="0" borderId="4" xfId="2" applyNumberFormat="1" applyFont="1" applyBorder="1" applyAlignment="1">
      <alignment horizontal="right"/>
    </xf>
    <xf numFmtId="166" fontId="67" fillId="2" borderId="4" xfId="2" applyNumberFormat="1" applyFont="1" applyFill="1" applyBorder="1" applyAlignment="1">
      <alignment horizontal="right"/>
    </xf>
    <xf numFmtId="166" fontId="0" fillId="0" borderId="4" xfId="2" applyNumberFormat="1" applyFont="1" applyBorder="1" applyAlignment="1">
      <alignment horizontal="right"/>
    </xf>
    <xf numFmtId="9" fontId="0" fillId="0" borderId="4" xfId="2" applyNumberFormat="1" applyFont="1" applyBorder="1" applyAlignment="1">
      <alignment horizontal="right"/>
    </xf>
    <xf numFmtId="166" fontId="67" fillId="0" borderId="4" xfId="2" applyNumberFormat="1" applyFont="1" applyBorder="1" applyAlignment="1">
      <alignment horizontal="right"/>
    </xf>
    <xf numFmtId="166" fontId="0" fillId="2" borderId="4" xfId="2" applyNumberFormat="1" applyFont="1" applyFill="1" applyBorder="1" applyAlignment="1">
      <alignment horizontal="right"/>
    </xf>
    <xf numFmtId="9" fontId="0" fillId="0" borderId="4" xfId="2" applyFont="1" applyBorder="1" applyAlignment="1">
      <alignment horizontal="right"/>
    </xf>
    <xf numFmtId="43" fontId="4" fillId="0" borderId="4" xfId="1" applyNumberFormat="1" applyFont="1" applyBorder="1" applyAlignment="1">
      <alignment horizontal="right"/>
    </xf>
    <xf numFmtId="7" fontId="2" fillId="0" borderId="4" xfId="1" applyNumberFormat="1" applyFont="1" applyBorder="1" applyAlignment="1">
      <alignment horizontal="right"/>
    </xf>
    <xf numFmtId="229" fontId="0" fillId="0" borderId="0" xfId="1" applyNumberFormat="1" applyFont="1" applyAlignment="1">
      <alignment horizontal="right"/>
    </xf>
    <xf numFmtId="6" fontId="2" fillId="0" borderId="4" xfId="1" applyNumberFormat="1" applyFont="1" applyBorder="1" applyAlignment="1">
      <alignment horizontal="right"/>
    </xf>
    <xf numFmtId="0" fontId="2" fillId="0" borderId="6" xfId="0" applyFont="1" applyFill="1" applyBorder="1" applyAlignment="1">
      <alignment horizontal="right"/>
    </xf>
    <xf numFmtId="6" fontId="2" fillId="0" borderId="43" xfId="1" applyNumberFormat="1" applyFont="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166" fontId="2" fillId="0" borderId="0" xfId="2" quotePrefix="1" applyNumberFormat="1" applyFont="1" applyFill="1" applyBorder="1" applyAlignment="1">
      <alignment horizontal="right"/>
    </xf>
    <xf numFmtId="41" fontId="13" fillId="0" borderId="0" xfId="1" quotePrefix="1" applyNumberFormat="1" applyFont="1" applyFill="1" applyBorder="1" applyAlignment="1">
      <alignment horizontal="right"/>
    </xf>
    <xf numFmtId="0" fontId="0" fillId="0" borderId="0" xfId="0" applyFont="1" applyFill="1" applyBorder="1" applyAlignment="1">
      <alignment horizontal="left"/>
    </xf>
    <xf numFmtId="0" fontId="0" fillId="0" borderId="44" xfId="0" applyFont="1" applyFill="1" applyBorder="1" applyAlignment="1">
      <alignment horizontal="left"/>
    </xf>
    <xf numFmtId="166" fontId="0" fillId="0" borderId="7" xfId="1" quotePrefix="1" applyNumberFormat="1" applyFont="1" applyFill="1" applyBorder="1" applyAlignment="1">
      <alignment horizontal="right"/>
    </xf>
    <xf numFmtId="166" fontId="0" fillId="14" borderId="7" xfId="1" quotePrefix="1" applyNumberFormat="1" applyFont="1" applyFill="1" applyBorder="1" applyAlignment="1">
      <alignment horizontal="right"/>
    </xf>
    <xf numFmtId="166" fontId="0" fillId="0" borderId="10" xfId="1" quotePrefix="1" applyNumberFormat="1" applyFont="1" applyFill="1" applyBorder="1" applyAlignment="1">
      <alignment horizontal="right"/>
    </xf>
    <xf numFmtId="0" fontId="8" fillId="0" borderId="9" xfId="0" applyFont="1" applyFill="1" applyBorder="1" applyAlignment="1">
      <alignment horizontal="left"/>
    </xf>
    <xf numFmtId="166" fontId="0" fillId="0" borderId="45" xfId="1" quotePrefix="1" applyNumberFormat="1" applyFont="1" applyFill="1" applyBorder="1" applyAlignment="1">
      <alignment horizontal="right"/>
    </xf>
    <xf numFmtId="166" fontId="0" fillId="0" borderId="46" xfId="1" quotePrefix="1" applyNumberFormat="1" applyFont="1" applyFill="1" applyBorder="1" applyAlignment="1">
      <alignment horizontal="right"/>
    </xf>
    <xf numFmtId="166" fontId="0" fillId="0" borderId="44" xfId="1" quotePrefix="1" applyNumberFormat="1" applyFont="1" applyFill="1" applyBorder="1" applyAlignment="1">
      <alignment horizontal="right"/>
    </xf>
    <xf numFmtId="166" fontId="0" fillId="0" borderId="47" xfId="1" quotePrefix="1" applyNumberFormat="1" applyFont="1" applyFill="1" applyBorder="1" applyAlignment="1">
      <alignment horizontal="right"/>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3" xfId="0" applyFont="1" applyFill="1" applyBorder="1" applyAlignment="1">
      <alignment horizontal="left"/>
    </xf>
    <xf numFmtId="0" fontId="0" fillId="0" borderId="4" xfId="0" applyFont="1" applyFill="1" applyBorder="1" applyAlignment="1">
      <alignment horizontal="left"/>
    </xf>
    <xf numFmtId="0" fontId="8" fillId="0" borderId="38" xfId="0" applyFont="1" applyFill="1" applyBorder="1" applyAlignment="1">
      <alignment horizontal="left" wrapText="1"/>
    </xf>
    <xf numFmtId="0" fontId="8" fillId="0" borderId="39" xfId="0" applyFont="1" applyFill="1"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0" fillId="0" borderId="3" xfId="0" applyFont="1" applyBorder="1" applyAlignment="1">
      <alignment wrapText="1"/>
    </xf>
    <xf numFmtId="0" fontId="0" fillId="0" borderId="4" xfId="0" applyFont="1" applyBorder="1" applyAlignment="1">
      <alignment wrapText="1"/>
    </xf>
    <xf numFmtId="0" fontId="0" fillId="0" borderId="3" xfId="0" applyFont="1" applyFill="1" applyBorder="1" applyAlignment="1">
      <alignment horizontal="left" wrapText="1"/>
    </xf>
    <xf numFmtId="0" fontId="0" fillId="0" borderId="4" xfId="0" applyFont="1" applyFill="1" applyBorder="1" applyAlignment="1">
      <alignment horizontal="left" wrapText="1"/>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2" fillId="0" borderId="3" xfId="0" applyFont="1" applyBorder="1" applyAlignment="1">
      <alignment horizontal="left"/>
    </xf>
    <xf numFmtId="0" fontId="2" fillId="0" borderId="4" xfId="0" applyFont="1" applyBorder="1" applyAlignment="1">
      <alignment horizontal="left"/>
    </xf>
    <xf numFmtId="0" fontId="15" fillId="3" borderId="12" xfId="0" applyFont="1" applyFill="1" applyBorder="1" applyAlignment="1">
      <alignment horizontal="left"/>
    </xf>
    <xf numFmtId="0" fontId="15" fillId="3" borderId="13" xfId="0" applyFont="1" applyFill="1" applyBorder="1" applyAlignment="1">
      <alignment horizontal="left"/>
    </xf>
    <xf numFmtId="0" fontId="17" fillId="3" borderId="1" xfId="0" applyFont="1" applyFill="1" applyBorder="1" applyAlignment="1">
      <alignment horizontal="left"/>
    </xf>
    <xf numFmtId="0" fontId="17" fillId="3" borderId="11"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17" fillId="3" borderId="3" xfId="0" applyFont="1" applyFill="1" applyBorder="1" applyAlignment="1">
      <alignment horizontal="left"/>
    </xf>
    <xf numFmtId="0" fontId="17" fillId="3" borderId="4" xfId="0" applyFont="1" applyFill="1" applyBorder="1" applyAlignment="1">
      <alignment horizontal="left"/>
    </xf>
    <xf numFmtId="0" fontId="15" fillId="3" borderId="1" xfId="0" applyFont="1" applyFill="1" applyBorder="1" applyAlignment="1">
      <alignment horizontal="left"/>
    </xf>
    <xf numFmtId="0" fontId="15" fillId="3" borderId="11" xfId="0" applyFont="1" applyFill="1" applyBorder="1" applyAlignment="1">
      <alignment horizontal="left"/>
    </xf>
    <xf numFmtId="0" fontId="17" fillId="3" borderId="0" xfId="0" applyFont="1" applyFill="1" applyBorder="1" applyAlignment="1">
      <alignment horizontal="left"/>
    </xf>
    <xf numFmtId="0" fontId="8" fillId="0" borderId="0" xfId="0" applyFont="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2" fillId="0" borderId="3" xfId="0" applyFont="1" applyFill="1" applyBorder="1" applyAlignment="1">
      <alignment horizontal="left"/>
    </xf>
    <xf numFmtId="0" fontId="2" fillId="0" borderId="4" xfId="0" applyFont="1" applyFill="1" applyBorder="1" applyAlignment="1">
      <alignment horizontal="left"/>
    </xf>
    <xf numFmtId="0" fontId="15" fillId="3" borderId="2" xfId="0" applyFont="1" applyFill="1" applyBorder="1" applyAlignment="1">
      <alignment horizontal="left"/>
    </xf>
    <xf numFmtId="0" fontId="2" fillId="0" borderId="6" xfId="0" applyFont="1" applyFill="1" applyBorder="1" applyAlignment="1">
      <alignment horizontal="left"/>
    </xf>
    <xf numFmtId="0" fontId="2" fillId="0" borderId="10" xfId="0" applyFont="1" applyFill="1" applyBorder="1" applyAlignment="1">
      <alignment horizontal="left"/>
    </xf>
    <xf numFmtId="0" fontId="8" fillId="0" borderId="3" xfId="0" applyFont="1" applyBorder="1" applyAlignment="1">
      <alignment horizontal="left"/>
    </xf>
    <xf numFmtId="0" fontId="10" fillId="0" borderId="3" xfId="0" applyFont="1" applyFill="1" applyBorder="1" applyAlignment="1">
      <alignment horizontal="left" indent="2"/>
    </xf>
    <xf numFmtId="0" fontId="10" fillId="0" borderId="4" xfId="0" applyFont="1" applyFill="1" applyBorder="1" applyAlignment="1">
      <alignment horizontal="left" indent="2"/>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2" fillId="0" borderId="3" xfId="0" applyFont="1" applyFill="1" applyBorder="1" applyAlignment="1">
      <alignment horizontal="left"/>
    </xf>
    <xf numFmtId="0" fontId="12" fillId="0" borderId="4" xfId="0" applyFont="1" applyFill="1" applyBorder="1" applyAlignment="1">
      <alignment horizontal="left"/>
    </xf>
    <xf numFmtId="166" fontId="0" fillId="0" borderId="6" xfId="2" applyNumberFormat="1" applyFont="1" applyBorder="1" applyAlignment="1">
      <alignment horizontal="left"/>
    </xf>
    <xf numFmtId="166" fontId="0" fillId="0" borderId="10" xfId="2" applyNumberFormat="1" applyFont="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cellXfs>
  <cellStyles count="331">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Accent4" xfId="329" builtinId="41"/>
    <cellStyle name="Accent6" xfId="330" builtinId="49"/>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68705280"/>
        <c:axId val="71701248"/>
      </c:lineChart>
      <c:catAx>
        <c:axId val="6870528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71701248"/>
        <c:crosses val="autoZero"/>
        <c:auto val="1"/>
        <c:lblAlgn val="ctr"/>
        <c:lblOffset val="100"/>
        <c:tickLblSkip val="7"/>
        <c:noMultiLvlLbl val="1"/>
      </c:catAx>
      <c:valAx>
        <c:axId val="71701248"/>
        <c:scaling>
          <c:orientation val="minMax"/>
        </c:scaling>
        <c:delete val="0"/>
        <c:axPos val="l"/>
        <c:majorGridlines/>
        <c:numFmt formatCode="0.0\x" sourceLinked="0"/>
        <c:majorTickMark val="out"/>
        <c:minorTickMark val="none"/>
        <c:tickLblPos val="nextTo"/>
        <c:crossAx val="68705280"/>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71742592"/>
        <c:axId val="71744128"/>
      </c:lineChart>
      <c:catAx>
        <c:axId val="7174259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71744128"/>
        <c:crosses val="autoZero"/>
        <c:auto val="1"/>
        <c:lblAlgn val="ctr"/>
        <c:lblOffset val="100"/>
        <c:tickLblSkip val="7"/>
        <c:noMultiLvlLbl val="1"/>
      </c:catAx>
      <c:valAx>
        <c:axId val="71744128"/>
        <c:scaling>
          <c:orientation val="minMax"/>
        </c:scaling>
        <c:delete val="0"/>
        <c:axPos val="l"/>
        <c:majorGridlines/>
        <c:numFmt formatCode="0.0\x" sourceLinked="0"/>
        <c:majorTickMark val="out"/>
        <c:minorTickMark val="none"/>
        <c:tickLblPos val="nextTo"/>
        <c:crossAx val="71742592"/>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74853376"/>
        <c:axId val="74859264"/>
      </c:lineChart>
      <c:catAx>
        <c:axId val="7485337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74859264"/>
        <c:crosses val="autoZero"/>
        <c:auto val="1"/>
        <c:lblAlgn val="ctr"/>
        <c:lblOffset val="100"/>
        <c:tickLblSkip val="7"/>
        <c:noMultiLvlLbl val="1"/>
      </c:catAx>
      <c:valAx>
        <c:axId val="74859264"/>
        <c:scaling>
          <c:orientation val="minMax"/>
        </c:scaling>
        <c:delete val="0"/>
        <c:axPos val="l"/>
        <c:majorGridlines/>
        <c:numFmt formatCode="0.0\x" sourceLinked="0"/>
        <c:majorTickMark val="out"/>
        <c:minorTickMark val="none"/>
        <c:tickLblPos val="nextTo"/>
        <c:crossAx val="74853376"/>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7D31-411C-A210-B4E06649AB46}"/>
            </c:ext>
          </c:extLst>
        </c:ser>
        <c:dLbls>
          <c:showLegendKey val="0"/>
          <c:showVal val="0"/>
          <c:showCatName val="0"/>
          <c:showSerName val="0"/>
          <c:showPercent val="0"/>
          <c:showBubbleSize val="0"/>
        </c:dLbls>
        <c:smooth val="0"/>
        <c:axId val="75780480"/>
        <c:axId val="75783552"/>
      </c:lineChart>
      <c:catAx>
        <c:axId val="7578048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75783552"/>
        <c:crosses val="autoZero"/>
        <c:auto val="1"/>
        <c:lblAlgn val="ctr"/>
        <c:lblOffset val="100"/>
        <c:tickLblSkip val="7"/>
        <c:noMultiLvlLbl val="1"/>
      </c:catAx>
      <c:valAx>
        <c:axId val="75783552"/>
        <c:scaling>
          <c:orientation val="minMax"/>
        </c:scaling>
        <c:delete val="0"/>
        <c:axPos val="l"/>
        <c:majorGridlines/>
        <c:numFmt formatCode="0.0\x" sourceLinked="0"/>
        <c:majorTickMark val="out"/>
        <c:minorTickMark val="none"/>
        <c:tickLblPos val="nextTo"/>
        <c:crossAx val="75780480"/>
        <c:crosses val="autoZero"/>
        <c:crossBetween val="between"/>
      </c:valAx>
    </c:plotArea>
    <c:legend>
      <c:legendPos val="b"/>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E6F-4261-A531-4D6BFF53DACC}"/>
            </c:ext>
          </c:extLst>
        </c:ser>
        <c:dLbls>
          <c:showLegendKey val="0"/>
          <c:showVal val="0"/>
          <c:showCatName val="0"/>
          <c:showSerName val="0"/>
          <c:showPercent val="0"/>
          <c:showBubbleSize val="0"/>
        </c:dLbls>
        <c:smooth val="0"/>
        <c:axId val="75781248"/>
        <c:axId val="76170368"/>
      </c:lineChart>
      <c:catAx>
        <c:axId val="7578124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76170368"/>
        <c:crosses val="autoZero"/>
        <c:auto val="1"/>
        <c:lblAlgn val="ctr"/>
        <c:lblOffset val="100"/>
        <c:tickLblSkip val="7"/>
        <c:noMultiLvlLbl val="1"/>
      </c:catAx>
      <c:valAx>
        <c:axId val="76170368"/>
        <c:scaling>
          <c:orientation val="minMax"/>
        </c:scaling>
        <c:delete val="0"/>
        <c:axPos val="l"/>
        <c:majorGridlines/>
        <c:numFmt formatCode="0.0\x" sourceLinked="0"/>
        <c:majorTickMark val="out"/>
        <c:minorTickMark val="none"/>
        <c:tickLblPos val="nextTo"/>
        <c:crossAx val="75781248"/>
        <c:crosses val="autoZero"/>
        <c:crossBetween val="between"/>
      </c:valAx>
    </c:plotArea>
    <c:legend>
      <c:legendPos val="b"/>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236802</xdr:colOff>
      <xdr:row>49</xdr:row>
      <xdr:rowOff>0</xdr:rowOff>
    </xdr:from>
    <xdr:to>
      <xdr:col>11</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105</xdr:row>
      <xdr:rowOff>0</xdr:rowOff>
    </xdr:from>
    <xdr:to>
      <xdr:col>11</xdr:col>
      <xdr:colOff>718343</xdr:colOff>
      <xdr:row>105</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157</xdr:row>
      <xdr:rowOff>0</xdr:rowOff>
    </xdr:from>
    <xdr:to>
      <xdr:col>11</xdr:col>
      <xdr:colOff>718343</xdr:colOff>
      <xdr:row>157</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145</xdr:row>
      <xdr:rowOff>0</xdr:rowOff>
    </xdr:from>
    <xdr:to>
      <xdr:col>11</xdr:col>
      <xdr:colOff>718343</xdr:colOff>
      <xdr:row>145</xdr:row>
      <xdr:rowOff>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208</xdr:row>
      <xdr:rowOff>0</xdr:rowOff>
    </xdr:from>
    <xdr:to>
      <xdr:col>11</xdr:col>
      <xdr:colOff>718343</xdr:colOff>
      <xdr:row>208</xdr:row>
      <xdr:rowOff>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Y280"/>
  <sheetViews>
    <sheetView showGridLines="0" tabSelected="1" zoomScale="90" zoomScaleNormal="90" workbookViewId="0">
      <selection activeCell="B2" sqref="B2:C2"/>
    </sheetView>
  </sheetViews>
  <sheetFormatPr defaultRowHeight="14.4" outlineLevelRow="1" outlineLevelCol="1" x14ac:dyDescent="0.3"/>
  <cols>
    <col min="1" max="1" width="1.77734375" customWidth="1"/>
    <col min="2" max="2" width="33.5546875" customWidth="1"/>
    <col min="3" max="3" width="38.21875" style="9" customWidth="1"/>
    <col min="4" max="4" width="11.44140625" style="1" hidden="1" customWidth="1" outlineLevel="1"/>
    <col min="5" max="7" width="11.5546875" style="1" hidden="1" customWidth="1" outlineLevel="1"/>
    <col min="8" max="8" width="11.5546875" style="1" customWidth="1" collapsed="1"/>
    <col min="9" max="10" width="11.5546875" style="1" hidden="1" customWidth="1" outlineLevel="1"/>
    <col min="11" max="12" width="11.5546875" style="2" hidden="1" customWidth="1" outlineLevel="1"/>
    <col min="13" max="13" width="11.5546875" style="2" customWidth="1" collapsed="1"/>
    <col min="14" max="15" width="11.5546875" style="1" customWidth="1" outlineLevel="1"/>
    <col min="16" max="17" width="11.5546875" style="2" customWidth="1" outlineLevel="1"/>
    <col min="18" max="18" width="11.5546875" style="2" customWidth="1"/>
    <col min="19" max="20" width="11.5546875" style="1" hidden="1" customWidth="1" outlineLevel="1"/>
    <col min="21" max="22" width="11.5546875" style="2" hidden="1" customWidth="1" outlineLevel="1"/>
    <col min="23" max="23" width="11.5546875" style="2" customWidth="1" collapsed="1"/>
    <col min="24" max="25" width="11.5546875" style="1" hidden="1" customWidth="1" outlineLevel="1"/>
    <col min="26" max="27" width="11.5546875" style="2" hidden="1" customWidth="1" outlineLevel="1"/>
    <col min="28" max="28" width="11.5546875" style="2" customWidth="1" collapsed="1"/>
    <col min="29" max="30" width="11.5546875" style="1" hidden="1" customWidth="1" outlineLevel="1"/>
    <col min="31" max="32" width="11.5546875" style="2" hidden="1" customWidth="1" outlineLevel="1"/>
    <col min="33" max="33" width="11.5546875" style="2" customWidth="1" collapsed="1"/>
    <col min="34" max="35" width="11.5546875" style="1" hidden="1" customWidth="1" outlineLevel="1"/>
    <col min="36" max="37" width="11.5546875" style="2" hidden="1" customWidth="1" outlineLevel="1"/>
    <col min="38" max="38" width="11.5546875" style="2" customWidth="1" collapsed="1"/>
    <col min="39" max="42" width="10.6640625" customWidth="1"/>
    <col min="43" max="43" width="11.77734375" customWidth="1"/>
  </cols>
  <sheetData>
    <row r="1" spans="1:43" s="40" customFormat="1" ht="7.35" customHeight="1" x14ac:dyDescent="0.3">
      <c r="A1" s="72"/>
      <c r="C1" s="41"/>
      <c r="D1" s="1"/>
      <c r="E1" s="1"/>
      <c r="F1" s="1"/>
      <c r="G1" s="1"/>
      <c r="H1" s="1"/>
      <c r="I1" s="1"/>
      <c r="J1" s="1"/>
      <c r="K1" s="2"/>
      <c r="L1" s="2"/>
      <c r="M1" s="2"/>
      <c r="N1" s="1"/>
      <c r="O1" s="1"/>
      <c r="P1" s="2"/>
      <c r="Q1" s="2"/>
      <c r="R1" s="2"/>
      <c r="S1" s="1"/>
      <c r="T1" s="1"/>
      <c r="U1" s="2"/>
      <c r="V1" s="2"/>
      <c r="W1" s="2"/>
      <c r="X1" s="1"/>
      <c r="Y1" s="1"/>
      <c r="Z1" s="2"/>
      <c r="AA1" s="2"/>
      <c r="AB1" s="2"/>
      <c r="AC1" s="1"/>
      <c r="AD1" s="1"/>
      <c r="AE1" s="2"/>
      <c r="AF1" s="2"/>
      <c r="AG1" s="2"/>
      <c r="AH1" s="1"/>
      <c r="AI1" s="1"/>
      <c r="AJ1" s="2"/>
      <c r="AK1" s="2"/>
      <c r="AL1" s="2"/>
    </row>
    <row r="2" spans="1:43" ht="46.35" customHeight="1" x14ac:dyDescent="0.3">
      <c r="B2" s="506" t="s">
        <v>49</v>
      </c>
      <c r="C2" s="507"/>
    </row>
    <row r="3" spans="1:43" x14ac:dyDescent="0.3">
      <c r="B3" s="498" t="s">
        <v>40</v>
      </c>
      <c r="C3" s="499"/>
      <c r="I3" s="10"/>
    </row>
    <row r="4" spans="1:43" x14ac:dyDescent="0.3">
      <c r="B4" s="500" t="s">
        <v>77</v>
      </c>
      <c r="C4" s="501"/>
      <c r="D4" s="8"/>
      <c r="I4" s="10"/>
    </row>
    <row r="5" spans="1:43" x14ac:dyDescent="0.3">
      <c r="B5" s="502" t="s">
        <v>294</v>
      </c>
      <c r="C5" s="503"/>
      <c r="D5" s="8"/>
      <c r="G5" s="56"/>
      <c r="I5" s="10"/>
      <c r="J5" s="10"/>
      <c r="K5" s="10"/>
      <c r="L5" s="56"/>
      <c r="N5" s="159"/>
      <c r="O5" s="15"/>
      <c r="P5" s="15"/>
      <c r="Q5" s="15"/>
      <c r="R5" s="15"/>
      <c r="S5" s="15"/>
      <c r="T5" s="15"/>
      <c r="U5" s="15"/>
      <c r="V5" s="15"/>
      <c r="W5" s="15"/>
      <c r="X5" s="15"/>
      <c r="Y5" s="15"/>
      <c r="Z5" s="15"/>
      <c r="AA5" s="15"/>
      <c r="AB5" s="15"/>
      <c r="AC5" s="15"/>
      <c r="AD5" s="15"/>
      <c r="AE5" s="15"/>
      <c r="AF5" s="15"/>
      <c r="AG5" s="15"/>
      <c r="AH5" s="15"/>
      <c r="AI5" s="15"/>
      <c r="AJ5" s="15"/>
      <c r="AK5" s="15"/>
      <c r="AL5" s="15"/>
    </row>
    <row r="6" spans="1:43" x14ac:dyDescent="0.3">
      <c r="B6" s="65" t="s">
        <v>22</v>
      </c>
      <c r="C6" s="66">
        <f>C223</f>
        <v>123.52231578681213</v>
      </c>
      <c r="D6" s="10"/>
      <c r="E6" s="10"/>
      <c r="F6" s="10"/>
      <c r="G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43" s="40" customFormat="1" x14ac:dyDescent="0.3">
      <c r="B7" s="402" t="s">
        <v>288</v>
      </c>
      <c r="C7" s="432" t="str">
        <f>TEXT(C232,"$0")&amp;" to "&amp;TEXT(C231,"$0")</f>
        <v>$109 to $138</v>
      </c>
      <c r="D7" s="1"/>
      <c r="E7" s="1"/>
      <c r="F7" s="1"/>
      <c r="G7" s="1"/>
      <c r="H7" s="1"/>
      <c r="I7" s="10"/>
      <c r="J7" s="10"/>
      <c r="K7" s="10"/>
      <c r="L7" s="10"/>
      <c r="M7" s="2"/>
      <c r="N7" s="10"/>
      <c r="O7" s="10"/>
      <c r="P7" s="10"/>
      <c r="Q7" s="10"/>
      <c r="R7" s="10"/>
      <c r="S7" s="10"/>
      <c r="T7" s="10"/>
      <c r="U7" s="10"/>
      <c r="V7" s="10"/>
      <c r="W7" s="70"/>
      <c r="X7" s="10"/>
      <c r="Y7" s="10"/>
      <c r="Z7" s="10"/>
      <c r="AA7" s="10"/>
      <c r="AB7" s="70"/>
      <c r="AC7" s="10"/>
      <c r="AD7" s="10"/>
      <c r="AE7" s="10"/>
      <c r="AF7" s="10"/>
      <c r="AG7" s="70"/>
      <c r="AH7" s="10"/>
      <c r="AI7" s="10"/>
      <c r="AJ7" s="10"/>
      <c r="AK7" s="10"/>
      <c r="AL7" s="70"/>
    </row>
    <row r="8" spans="1:43" s="40" customFormat="1" ht="15" thickBot="1" x14ac:dyDescent="0.35">
      <c r="B8" s="402" t="s">
        <v>283</v>
      </c>
      <c r="C8" s="434">
        <f>C276</f>
        <v>133.69810460079378</v>
      </c>
      <c r="D8" s="1"/>
      <c r="E8" s="1"/>
      <c r="F8" s="1"/>
      <c r="G8" s="1"/>
      <c r="H8" s="1"/>
      <c r="I8" s="10"/>
      <c r="J8" s="10"/>
      <c r="K8" s="10"/>
      <c r="L8" s="10"/>
      <c r="M8" s="2"/>
      <c r="N8" s="10"/>
      <c r="O8" s="10"/>
      <c r="P8" s="10"/>
      <c r="Q8" s="10"/>
      <c r="R8" s="70"/>
      <c r="S8" s="10"/>
      <c r="T8" s="10"/>
      <c r="U8" s="10"/>
      <c r="V8" s="10"/>
      <c r="W8" s="10"/>
      <c r="X8" s="10"/>
      <c r="Y8" s="10"/>
      <c r="Z8" s="10"/>
      <c r="AA8" s="10"/>
      <c r="AB8" s="10"/>
      <c r="AC8" s="10"/>
      <c r="AD8" s="10"/>
      <c r="AE8" s="10"/>
      <c r="AF8" s="10"/>
      <c r="AG8" s="10"/>
      <c r="AH8" s="10"/>
      <c r="AI8" s="10"/>
      <c r="AJ8" s="10"/>
      <c r="AK8" s="10"/>
      <c r="AL8" s="10"/>
    </row>
    <row r="9" spans="1:43" s="40" customFormat="1" ht="15" thickTop="1" x14ac:dyDescent="0.3">
      <c r="B9" s="433" t="s">
        <v>287</v>
      </c>
      <c r="C9" s="59">
        <f>(C6*0.5)+(C8*0.5)</f>
        <v>128.61021019380297</v>
      </c>
      <c r="D9" s="1"/>
      <c r="E9" s="1"/>
      <c r="F9" s="1"/>
      <c r="G9" s="1"/>
      <c r="H9" s="1"/>
      <c r="I9" s="10"/>
      <c r="J9" s="10"/>
      <c r="K9" s="10"/>
      <c r="L9" s="10"/>
      <c r="M9" s="2"/>
      <c r="N9" s="10"/>
      <c r="O9" s="10"/>
      <c r="P9" s="10"/>
      <c r="Q9" s="10"/>
      <c r="R9" s="70"/>
      <c r="S9" s="10"/>
      <c r="T9" s="10"/>
      <c r="U9" s="10"/>
      <c r="V9" s="10"/>
      <c r="W9" s="70"/>
      <c r="X9" s="10"/>
      <c r="Y9" s="10"/>
      <c r="Z9" s="10"/>
      <c r="AA9" s="10"/>
      <c r="AB9" s="70"/>
      <c r="AC9" s="10"/>
      <c r="AD9" s="10"/>
      <c r="AE9" s="10"/>
      <c r="AF9" s="10"/>
      <c r="AG9" s="70"/>
      <c r="AH9" s="10"/>
      <c r="AI9" s="10"/>
      <c r="AJ9" s="10"/>
      <c r="AK9" s="10"/>
      <c r="AL9" s="70"/>
    </row>
    <row r="10" spans="1:43" ht="17.55" customHeight="1" x14ac:dyDescent="0.3">
      <c r="C10" s="16"/>
      <c r="D10" s="8"/>
      <c r="E10" s="8"/>
      <c r="F10" s="8"/>
      <c r="G10" s="8"/>
      <c r="H10" s="8"/>
      <c r="I10" s="8"/>
      <c r="J10" s="8"/>
      <c r="K10" s="8"/>
      <c r="L10" s="13"/>
      <c r="M10" s="14"/>
      <c r="N10" s="13"/>
      <c r="O10" s="13"/>
      <c r="P10" s="13"/>
      <c r="Q10" s="15"/>
      <c r="R10" s="15"/>
      <c r="S10" s="13"/>
      <c r="T10" s="13"/>
      <c r="U10" s="13"/>
      <c r="V10" s="15"/>
      <c r="W10" s="15"/>
      <c r="X10" s="13"/>
      <c r="Y10" s="13"/>
      <c r="Z10" s="13"/>
      <c r="AA10" s="15"/>
      <c r="AB10" s="15"/>
      <c r="AC10" s="13"/>
      <c r="AD10" s="13"/>
      <c r="AE10" s="13"/>
      <c r="AF10" s="15"/>
      <c r="AG10" s="15"/>
      <c r="AH10" s="13"/>
      <c r="AI10" s="13"/>
      <c r="AJ10" s="13"/>
      <c r="AK10" s="15"/>
      <c r="AL10" s="15"/>
    </row>
    <row r="11" spans="1:43" ht="15.6" x14ac:dyDescent="0.3">
      <c r="B11" s="477" t="s">
        <v>78</v>
      </c>
      <c r="C11" s="492"/>
      <c r="D11" s="229" t="s">
        <v>3</v>
      </c>
      <c r="E11" s="42" t="s">
        <v>2</v>
      </c>
      <c r="F11" s="42" t="s">
        <v>1</v>
      </c>
      <c r="G11" s="42" t="s">
        <v>4</v>
      </c>
      <c r="H11" s="246" t="s">
        <v>4</v>
      </c>
      <c r="I11" s="35" t="s">
        <v>5</v>
      </c>
      <c r="J11" s="35" t="s">
        <v>6</v>
      </c>
      <c r="K11" s="35" t="s">
        <v>7</v>
      </c>
      <c r="L11" s="42" t="s">
        <v>9</v>
      </c>
      <c r="M11" s="246" t="s">
        <v>9</v>
      </c>
      <c r="N11" s="229" t="s">
        <v>10</v>
      </c>
      <c r="O11" s="42" t="s">
        <v>11</v>
      </c>
      <c r="P11" s="42" t="s">
        <v>12</v>
      </c>
      <c r="Q11" s="44" t="s">
        <v>8</v>
      </c>
      <c r="R11" s="237" t="s">
        <v>8</v>
      </c>
      <c r="S11" s="238" t="s">
        <v>13</v>
      </c>
      <c r="T11" s="44" t="s">
        <v>14</v>
      </c>
      <c r="U11" s="44" t="s">
        <v>15</v>
      </c>
      <c r="V11" s="46" t="s">
        <v>16</v>
      </c>
      <c r="W11" s="237" t="s">
        <v>16</v>
      </c>
      <c r="X11" s="238" t="s">
        <v>197</v>
      </c>
      <c r="Y11" s="44" t="s">
        <v>198</v>
      </c>
      <c r="Z11" s="44" t="s">
        <v>199</v>
      </c>
      <c r="AA11" s="46" t="s">
        <v>200</v>
      </c>
      <c r="AB11" s="237" t="s">
        <v>200</v>
      </c>
      <c r="AC11" s="238" t="s">
        <v>201</v>
      </c>
      <c r="AD11" s="44" t="s">
        <v>202</v>
      </c>
      <c r="AE11" s="44" t="s">
        <v>203</v>
      </c>
      <c r="AF11" s="46" t="s">
        <v>204</v>
      </c>
      <c r="AG11" s="237" t="s">
        <v>204</v>
      </c>
      <c r="AH11" s="238" t="s">
        <v>205</v>
      </c>
      <c r="AI11" s="44" t="s">
        <v>206</v>
      </c>
      <c r="AJ11" s="44" t="s">
        <v>207</v>
      </c>
      <c r="AK11" s="46" t="s">
        <v>208</v>
      </c>
      <c r="AL11" s="237" t="s">
        <v>208</v>
      </c>
      <c r="AM11" s="238" t="s">
        <v>295</v>
      </c>
      <c r="AN11" s="44" t="s">
        <v>297</v>
      </c>
      <c r="AO11" s="44" t="s">
        <v>299</v>
      </c>
      <c r="AP11" s="46" t="s">
        <v>301</v>
      </c>
      <c r="AQ11" s="237" t="s">
        <v>301</v>
      </c>
    </row>
    <row r="12" spans="1:43" ht="16.2" x14ac:dyDescent="0.45">
      <c r="B12" s="475" t="s">
        <v>118</v>
      </c>
      <c r="C12" s="479"/>
      <c r="D12" s="239" t="s">
        <v>23</v>
      </c>
      <c r="E12" s="243" t="s">
        <v>24</v>
      </c>
      <c r="F12" s="243" t="s">
        <v>25</v>
      </c>
      <c r="G12" s="243" t="s">
        <v>26</v>
      </c>
      <c r="H12" s="247" t="s">
        <v>18</v>
      </c>
      <c r="I12" s="36" t="s">
        <v>27</v>
      </c>
      <c r="J12" s="36" t="s">
        <v>28</v>
      </c>
      <c r="K12" s="36" t="s">
        <v>37</v>
      </c>
      <c r="L12" s="43" t="s">
        <v>41</v>
      </c>
      <c r="M12" s="247" t="s">
        <v>42</v>
      </c>
      <c r="N12" s="239" t="s">
        <v>54</v>
      </c>
      <c r="O12" s="243" t="s">
        <v>55</v>
      </c>
      <c r="P12" s="243" t="s">
        <v>31</v>
      </c>
      <c r="Q12" s="241" t="s">
        <v>32</v>
      </c>
      <c r="R12" s="242" t="s">
        <v>19</v>
      </c>
      <c r="S12" s="244" t="s">
        <v>33</v>
      </c>
      <c r="T12" s="241" t="s">
        <v>34</v>
      </c>
      <c r="U12" s="241" t="s">
        <v>35</v>
      </c>
      <c r="V12" s="245" t="s">
        <v>36</v>
      </c>
      <c r="W12" s="242" t="s">
        <v>20</v>
      </c>
      <c r="X12" s="244" t="s">
        <v>209</v>
      </c>
      <c r="Y12" s="241" t="s">
        <v>210</v>
      </c>
      <c r="Z12" s="241" t="s">
        <v>211</v>
      </c>
      <c r="AA12" s="245" t="s">
        <v>212</v>
      </c>
      <c r="AB12" s="242" t="s">
        <v>213</v>
      </c>
      <c r="AC12" s="244" t="s">
        <v>214</v>
      </c>
      <c r="AD12" s="241" t="s">
        <v>215</v>
      </c>
      <c r="AE12" s="241" t="s">
        <v>216</v>
      </c>
      <c r="AF12" s="245" t="s">
        <v>217</v>
      </c>
      <c r="AG12" s="242" t="s">
        <v>218</v>
      </c>
      <c r="AH12" s="244" t="s">
        <v>219</v>
      </c>
      <c r="AI12" s="241" t="s">
        <v>220</v>
      </c>
      <c r="AJ12" s="241" t="s">
        <v>221</v>
      </c>
      <c r="AK12" s="245" t="s">
        <v>222</v>
      </c>
      <c r="AL12" s="242" t="s">
        <v>223</v>
      </c>
      <c r="AM12" s="244" t="s">
        <v>296</v>
      </c>
      <c r="AN12" s="241" t="s">
        <v>298</v>
      </c>
      <c r="AO12" s="241" t="s">
        <v>300</v>
      </c>
      <c r="AP12" s="245" t="s">
        <v>302</v>
      </c>
      <c r="AQ12" s="242" t="s">
        <v>303</v>
      </c>
    </row>
    <row r="13" spans="1:43" s="103" customFormat="1" ht="16.2" x14ac:dyDescent="0.45">
      <c r="B13" s="508" t="s">
        <v>83</v>
      </c>
      <c r="C13" s="509"/>
      <c r="D13" s="104"/>
      <c r="E13" s="104"/>
      <c r="F13" s="104"/>
      <c r="G13" s="105"/>
      <c r="H13" s="105"/>
      <c r="I13" s="104"/>
      <c r="J13" s="104"/>
      <c r="K13" s="104"/>
      <c r="L13" s="105"/>
      <c r="M13" s="124"/>
      <c r="N13" s="104"/>
      <c r="O13" s="104"/>
      <c r="P13" s="104"/>
      <c r="Q13" s="105"/>
      <c r="R13" s="124"/>
      <c r="S13" s="104"/>
      <c r="T13" s="104"/>
      <c r="U13" s="104"/>
      <c r="V13" s="105"/>
      <c r="W13" s="105"/>
      <c r="X13" s="104"/>
      <c r="Y13" s="104"/>
      <c r="Z13" s="104"/>
      <c r="AA13" s="105"/>
      <c r="AB13" s="105"/>
      <c r="AC13" s="104"/>
      <c r="AD13" s="104"/>
      <c r="AE13" s="104"/>
      <c r="AF13" s="105"/>
      <c r="AG13" s="105"/>
      <c r="AH13" s="104"/>
      <c r="AI13" s="104"/>
      <c r="AJ13" s="104"/>
      <c r="AK13" s="105"/>
      <c r="AL13" s="105"/>
      <c r="AM13" s="104"/>
      <c r="AN13" s="104"/>
      <c r="AO13" s="104"/>
      <c r="AP13" s="105"/>
      <c r="AQ13" s="105"/>
    </row>
    <row r="14" spans="1:43" s="103" customFormat="1" x14ac:dyDescent="0.3">
      <c r="B14" s="113" t="s">
        <v>79</v>
      </c>
      <c r="C14" s="176"/>
      <c r="D14" s="125">
        <v>188735</v>
      </c>
      <c r="E14" s="125">
        <v>188299</v>
      </c>
      <c r="F14" s="125">
        <v>203578</v>
      </c>
      <c r="G14" s="126">
        <f>H14-(F14+E14+D14)</f>
        <v>200260</v>
      </c>
      <c r="H14" s="129">
        <v>780872</v>
      </c>
      <c r="I14" s="125">
        <v>162974</v>
      </c>
      <c r="J14" s="125">
        <v>156861</v>
      </c>
      <c r="K14" s="125">
        <v>150128</v>
      </c>
      <c r="L14" s="126">
        <f>M14-(SUM(I14:K14))</f>
        <v>141991</v>
      </c>
      <c r="M14" s="129">
        <v>611954</v>
      </c>
      <c r="N14" s="125">
        <v>122770</v>
      </c>
      <c r="O14" s="125">
        <v>118172</v>
      </c>
      <c r="P14" s="125">
        <v>114137</v>
      </c>
      <c r="Q14" s="125"/>
      <c r="R14" s="129"/>
      <c r="S14" s="125"/>
      <c r="T14" s="125"/>
      <c r="U14" s="125"/>
      <c r="V14" s="125"/>
      <c r="W14" s="129"/>
      <c r="X14" s="125"/>
      <c r="Y14" s="125"/>
      <c r="Z14" s="125"/>
      <c r="AA14" s="125"/>
      <c r="AB14" s="129"/>
      <c r="AC14" s="125"/>
      <c r="AD14" s="125"/>
      <c r="AE14" s="125"/>
      <c r="AF14" s="125"/>
      <c r="AG14" s="129"/>
      <c r="AH14" s="125"/>
      <c r="AI14" s="125"/>
      <c r="AJ14" s="125"/>
      <c r="AK14" s="125"/>
      <c r="AL14" s="129"/>
      <c r="AM14" s="125"/>
      <c r="AN14" s="125"/>
      <c r="AO14" s="125"/>
      <c r="AP14" s="125"/>
      <c r="AQ14" s="129"/>
    </row>
    <row r="15" spans="1:43" s="103" customFormat="1" x14ac:dyDescent="0.3">
      <c r="B15" s="113" t="s">
        <v>80</v>
      </c>
      <c r="C15" s="176"/>
      <c r="D15" s="125">
        <v>74168</v>
      </c>
      <c r="E15" s="125">
        <v>79263</v>
      </c>
      <c r="F15" s="125">
        <v>72557</v>
      </c>
      <c r="G15" s="126">
        <f t="shared" ref="G15:G35" si="0">H15-(F15+E15+D15)</f>
        <v>78362</v>
      </c>
      <c r="H15" s="129">
        <v>304350</v>
      </c>
      <c r="I15" s="125">
        <v>50669</v>
      </c>
      <c r="J15" s="125">
        <v>47028</v>
      </c>
      <c r="K15" s="125">
        <v>47137</v>
      </c>
      <c r="L15" s="126">
        <f>M15-(SUM(I15:K15))</f>
        <v>40732</v>
      </c>
      <c r="M15" s="129">
        <v>185566</v>
      </c>
      <c r="N15" s="125">
        <v>30877</v>
      </c>
      <c r="O15" s="125">
        <v>29897</v>
      </c>
      <c r="P15" s="125">
        <v>29346</v>
      </c>
      <c r="Q15" s="125"/>
      <c r="R15" s="129"/>
      <c r="S15" s="125"/>
      <c r="T15" s="125"/>
      <c r="U15" s="125"/>
      <c r="V15" s="125"/>
      <c r="W15" s="129"/>
      <c r="X15" s="125"/>
      <c r="Y15" s="125"/>
      <c r="Z15" s="125"/>
      <c r="AA15" s="125"/>
      <c r="AB15" s="129"/>
      <c r="AC15" s="125"/>
      <c r="AD15" s="125"/>
      <c r="AE15" s="125"/>
      <c r="AF15" s="125"/>
      <c r="AG15" s="129"/>
      <c r="AH15" s="125"/>
      <c r="AI15" s="125"/>
      <c r="AJ15" s="125"/>
      <c r="AK15" s="125"/>
      <c r="AL15" s="129"/>
      <c r="AM15" s="125"/>
      <c r="AN15" s="125"/>
      <c r="AO15" s="125"/>
      <c r="AP15" s="125"/>
      <c r="AQ15" s="129"/>
    </row>
    <row r="16" spans="1:43" s="41" customFormat="1" ht="16.2" x14ac:dyDescent="0.45">
      <c r="B16" s="465" t="s">
        <v>81</v>
      </c>
      <c r="C16" s="466"/>
      <c r="D16" s="127">
        <f>SUM(D14:D15)</f>
        <v>262903</v>
      </c>
      <c r="E16" s="127">
        <f>SUM(E14:E15)</f>
        <v>267562</v>
      </c>
      <c r="F16" s="127">
        <f>SUM(F14:F15)</f>
        <v>276135</v>
      </c>
      <c r="G16" s="133">
        <f t="shared" si="0"/>
        <v>278622</v>
      </c>
      <c r="H16" s="132">
        <f>SUM(H14:H15)</f>
        <v>1085222</v>
      </c>
      <c r="I16" s="127">
        <f>SUM(I14:I15)</f>
        <v>213643</v>
      </c>
      <c r="J16" s="127">
        <f>SUM(J14:J15)</f>
        <v>203889</v>
      </c>
      <c r="K16" s="127">
        <f>SUM(K14:K15)</f>
        <v>197265</v>
      </c>
      <c r="L16" s="133">
        <f>M16-(SUM(I16:K16))</f>
        <v>182723</v>
      </c>
      <c r="M16" s="132">
        <f>SUM(M14:M15)</f>
        <v>797520</v>
      </c>
      <c r="N16" s="131">
        <f>SUM(N14:N15)</f>
        <v>153647</v>
      </c>
      <c r="O16" s="131">
        <f>SUM(O14:O15)</f>
        <v>148069</v>
      </c>
      <c r="P16" s="175">
        <f>SUM(P14:P15)</f>
        <v>143483</v>
      </c>
      <c r="Q16" s="277">
        <f>Q52+Q60+Q68</f>
        <v>144985.08000000002</v>
      </c>
      <c r="R16" s="344">
        <f>SUM(N16:Q16)</f>
        <v>590184.08000000007</v>
      </c>
      <c r="S16" s="345">
        <f>S52+S60+S68</f>
        <v>148779.14319999999</v>
      </c>
      <c r="T16" s="346">
        <f>T52+T60+T68</f>
        <v>156218.10035999998</v>
      </c>
      <c r="U16" s="346">
        <f>U52+U60+U68</f>
        <v>164029.005378</v>
      </c>
      <c r="V16" s="346">
        <f>V52+V60+V68</f>
        <v>172230.45564690002</v>
      </c>
      <c r="W16" s="347">
        <f>SUM(S16:V16)</f>
        <v>641256.70458489994</v>
      </c>
      <c r="X16" s="345">
        <f>X52+X60+X68</f>
        <v>181077.07032191704</v>
      </c>
      <c r="Y16" s="346">
        <f>Y52+Y60+Y68</f>
        <v>190378.94578478183</v>
      </c>
      <c r="Z16" s="346">
        <f>Z52+Z60+Z68</f>
        <v>200159.55622786217</v>
      </c>
      <c r="AA16" s="346">
        <f>AA52+AA60+AA68</f>
        <v>210443.5886665578</v>
      </c>
      <c r="AB16" s="347">
        <f>SUM(X16:AA16)</f>
        <v>782059.16100111883</v>
      </c>
      <c r="AC16" s="345">
        <f>AC52+AC60+AC68</f>
        <v>221257.00573168986</v>
      </c>
      <c r="AD16" s="346">
        <f>AD52+AD60+AD68</f>
        <v>232627.11171982775</v>
      </c>
      <c r="AE16" s="346">
        <f>AE52+AE60+AE68</f>
        <v>244582.62207095796</v>
      </c>
      <c r="AF16" s="346">
        <f>AF52+AF60+AF68</f>
        <v>257153.73645172731</v>
      </c>
      <c r="AG16" s="347">
        <f>SUM(AC16:AF16)</f>
        <v>955620.47597420285</v>
      </c>
      <c r="AH16" s="345">
        <f>AH52+AH60+AH68</f>
        <v>270372.21563178231</v>
      </c>
      <c r="AI16" s="346">
        <f>AI52+AI60+AI68</f>
        <v>284271.46235050086</v>
      </c>
      <c r="AJ16" s="346">
        <f>AJ52+AJ60+AJ68</f>
        <v>298886.60638169746</v>
      </c>
      <c r="AK16" s="346">
        <f>AK52+AK60+AK68</f>
        <v>314254.59401470574</v>
      </c>
      <c r="AL16" s="347">
        <f>SUM(AH16:AK16)</f>
        <v>1167784.8783786865</v>
      </c>
      <c r="AM16" s="345">
        <f>AM52+AM60+AM68</f>
        <v>330414.28218163032</v>
      </c>
      <c r="AN16" s="346">
        <f>AN52+AN60+AN68</f>
        <v>347406.5374725415</v>
      </c>
      <c r="AO16" s="346">
        <f>AO52+AO60+AO68</f>
        <v>365274.34029299888</v>
      </c>
      <c r="AP16" s="346">
        <f>AP52+AP60+AP68</f>
        <v>384062.89443155477</v>
      </c>
      <c r="AQ16" s="347">
        <f>SUM(AM16:AP16)</f>
        <v>1427158.0543787254</v>
      </c>
    </row>
    <row r="17" spans="2:43" s="34" customFormat="1" ht="17.25" customHeight="1" x14ac:dyDescent="0.45">
      <c r="B17" s="465" t="s">
        <v>82</v>
      </c>
      <c r="C17" s="466"/>
      <c r="D17" s="120"/>
      <c r="E17" s="120"/>
      <c r="F17" s="120"/>
      <c r="G17" s="126"/>
      <c r="H17" s="122"/>
      <c r="I17" s="120"/>
      <c r="J17" s="118"/>
      <c r="K17" s="118"/>
      <c r="L17" s="118"/>
      <c r="M17" s="116"/>
      <c r="N17" s="123"/>
      <c r="O17" s="123"/>
      <c r="P17" s="123"/>
      <c r="Q17" s="123"/>
      <c r="R17" s="122"/>
      <c r="S17" s="53"/>
      <c r="T17" s="53"/>
      <c r="U17" s="53"/>
      <c r="V17" s="53"/>
      <c r="W17" s="122"/>
      <c r="X17" s="53"/>
      <c r="Y17" s="53"/>
      <c r="Z17" s="53"/>
      <c r="AA17" s="53"/>
      <c r="AB17" s="122"/>
      <c r="AC17" s="53"/>
      <c r="AD17" s="53"/>
      <c r="AE17" s="53"/>
      <c r="AF17" s="53"/>
      <c r="AG17" s="122"/>
      <c r="AH17" s="53"/>
      <c r="AI17" s="53"/>
      <c r="AJ17" s="53"/>
      <c r="AK17" s="53"/>
      <c r="AL17" s="122"/>
      <c r="AM17" s="53"/>
      <c r="AN17" s="53"/>
      <c r="AO17" s="53"/>
      <c r="AP17" s="53"/>
      <c r="AQ17" s="122"/>
    </row>
    <row r="18" spans="2:43" s="41" customFormat="1" ht="17.25" customHeight="1" x14ac:dyDescent="0.3">
      <c r="B18" s="171" t="s">
        <v>84</v>
      </c>
      <c r="C18" s="172"/>
      <c r="D18" s="114">
        <v>110571</v>
      </c>
      <c r="E18" s="114">
        <v>111706</v>
      </c>
      <c r="F18" s="114">
        <v>113917</v>
      </c>
      <c r="G18" s="126">
        <f t="shared" si="0"/>
        <v>113294</v>
      </c>
      <c r="H18" s="116">
        <v>449488</v>
      </c>
      <c r="I18" s="117">
        <v>102795</v>
      </c>
      <c r="J18" s="118">
        <v>98462</v>
      </c>
      <c r="K18" s="118">
        <v>94117</v>
      </c>
      <c r="L18" s="126">
        <f>M18-(K18+J18+I18)</f>
        <v>92365</v>
      </c>
      <c r="M18" s="116">
        <v>387739</v>
      </c>
      <c r="N18" s="118">
        <v>85294</v>
      </c>
      <c r="O18" s="118">
        <v>83349</v>
      </c>
      <c r="P18" s="166">
        <v>80419</v>
      </c>
      <c r="Q18" s="118">
        <f>Q16*Q85</f>
        <v>79741.794000000009</v>
      </c>
      <c r="R18" s="129">
        <f t="shared" ref="R18:R24" si="1">SUM(N18:Q18)</f>
        <v>328803.79399999999</v>
      </c>
      <c r="S18" s="304">
        <f>S16*S85</f>
        <v>74389.571599999996</v>
      </c>
      <c r="T18" s="304">
        <f t="shared" ref="T18:AK18" si="2">T16*T85</f>
        <v>78109.050179999991</v>
      </c>
      <c r="U18" s="304">
        <f>U16*U85</f>
        <v>82014.502689000001</v>
      </c>
      <c r="V18" s="304">
        <f t="shared" si="2"/>
        <v>86115.227823450012</v>
      </c>
      <c r="W18" s="305">
        <f t="shared" ref="W18:W24" si="3">SUM(S18:V18)</f>
        <v>320628.35229244997</v>
      </c>
      <c r="X18" s="304">
        <f t="shared" si="2"/>
        <v>90538.53516095852</v>
      </c>
      <c r="Y18" s="304">
        <f t="shared" si="2"/>
        <v>95189.472892390913</v>
      </c>
      <c r="Z18" s="304">
        <f t="shared" si="2"/>
        <v>100079.77811393108</v>
      </c>
      <c r="AA18" s="304">
        <f t="shared" si="2"/>
        <v>105221.7943332789</v>
      </c>
      <c r="AB18" s="305">
        <f t="shared" ref="AB18:AB23" si="4">SUM(X18:AA18)</f>
        <v>391029.58050055942</v>
      </c>
      <c r="AC18" s="304">
        <f t="shared" si="2"/>
        <v>99565.652579260437</v>
      </c>
      <c r="AD18" s="304">
        <f t="shared" si="2"/>
        <v>104682.20027392248</v>
      </c>
      <c r="AE18" s="304">
        <f t="shared" si="2"/>
        <v>110062.17993193108</v>
      </c>
      <c r="AF18" s="304">
        <f t="shared" si="2"/>
        <v>115719.1814032773</v>
      </c>
      <c r="AG18" s="305">
        <f t="shared" ref="AG18:AG23" si="5">SUM(AC18:AF18)</f>
        <v>430029.21418839134</v>
      </c>
      <c r="AH18" s="304">
        <f t="shared" si="2"/>
        <v>118963.77487798422</v>
      </c>
      <c r="AI18" s="304">
        <f t="shared" si="2"/>
        <v>125079.44343422037</v>
      </c>
      <c r="AJ18" s="304">
        <f t="shared" si="2"/>
        <v>131510.1068079469</v>
      </c>
      <c r="AK18" s="304">
        <f t="shared" si="2"/>
        <v>138272.02136647052</v>
      </c>
      <c r="AL18" s="305">
        <f t="shared" ref="AL18:AL23" si="6">SUM(AH18:AK18)</f>
        <v>513825.346486622</v>
      </c>
      <c r="AM18" s="304">
        <f t="shared" ref="AM18:AP18" si="7">AM16*AM85</f>
        <v>145382.28415991736</v>
      </c>
      <c r="AN18" s="304">
        <f t="shared" si="7"/>
        <v>152858.87648791826</v>
      </c>
      <c r="AO18" s="304">
        <f t="shared" si="7"/>
        <v>160720.70972891952</v>
      </c>
      <c r="AP18" s="304">
        <f t="shared" si="7"/>
        <v>168987.67354988409</v>
      </c>
      <c r="AQ18" s="305">
        <f t="shared" ref="AQ18:AQ23" si="8">SUM(AM18:AP18)</f>
        <v>627949.54392663925</v>
      </c>
    </row>
    <row r="19" spans="2:43" s="41" customFormat="1" ht="17.25" customHeight="1" x14ac:dyDescent="0.3">
      <c r="B19" s="171" t="s">
        <v>85</v>
      </c>
      <c r="C19" s="172"/>
      <c r="D19" s="114">
        <v>51098</v>
      </c>
      <c r="E19" s="114">
        <v>56452</v>
      </c>
      <c r="F19" s="114">
        <v>53010</v>
      </c>
      <c r="G19" s="126">
        <f t="shared" si="0"/>
        <v>55223</v>
      </c>
      <c r="H19" s="116">
        <v>215783</v>
      </c>
      <c r="I19" s="117">
        <v>41479</v>
      </c>
      <c r="J19" s="118">
        <v>36157</v>
      </c>
      <c r="K19" s="118">
        <v>34933</v>
      </c>
      <c r="L19" s="126">
        <f>M19-(K19+J19+I19)</f>
        <v>32344</v>
      </c>
      <c r="M19" s="116">
        <v>144913</v>
      </c>
      <c r="N19" s="118">
        <v>27520</v>
      </c>
      <c r="O19" s="118">
        <v>26650</v>
      </c>
      <c r="P19" s="166">
        <v>26734</v>
      </c>
      <c r="Q19" s="118">
        <f>Q16*Q86</f>
        <v>26097.314400000003</v>
      </c>
      <c r="R19" s="129">
        <f t="shared" si="1"/>
        <v>107001.3144</v>
      </c>
      <c r="S19" s="304">
        <f>S16*S86</f>
        <v>26780.245775999996</v>
      </c>
      <c r="T19" s="304">
        <f t="shared" ref="T19:AK19" si="9">T16*T86</f>
        <v>28119.258064799997</v>
      </c>
      <c r="U19" s="304">
        <f t="shared" si="9"/>
        <v>29525.220968039997</v>
      </c>
      <c r="V19" s="304">
        <f t="shared" si="9"/>
        <v>31001.482016442002</v>
      </c>
      <c r="W19" s="305">
        <f t="shared" si="3"/>
        <v>115426.20682528199</v>
      </c>
      <c r="X19" s="304">
        <f t="shared" si="9"/>
        <v>32593.872657945067</v>
      </c>
      <c r="Y19" s="304">
        <f t="shared" si="9"/>
        <v>34268.210241260727</v>
      </c>
      <c r="Z19" s="304">
        <f t="shared" si="9"/>
        <v>36028.720121015191</v>
      </c>
      <c r="AA19" s="304">
        <f t="shared" si="9"/>
        <v>37879.845959980405</v>
      </c>
      <c r="AB19" s="305">
        <f t="shared" si="4"/>
        <v>140770.6489802014</v>
      </c>
      <c r="AC19" s="304">
        <f t="shared" si="9"/>
        <v>39826.261031704176</v>
      </c>
      <c r="AD19" s="304">
        <f t="shared" si="9"/>
        <v>41872.880109568992</v>
      </c>
      <c r="AE19" s="304">
        <f t="shared" si="9"/>
        <v>44024.871972772431</v>
      </c>
      <c r="AF19" s="304">
        <f t="shared" si="9"/>
        <v>46287.672561310916</v>
      </c>
      <c r="AG19" s="305">
        <f t="shared" si="5"/>
        <v>172011.68567535654</v>
      </c>
      <c r="AH19" s="304">
        <f t="shared" si="9"/>
        <v>48666.998813720813</v>
      </c>
      <c r="AI19" s="304">
        <f t="shared" si="9"/>
        <v>51168.863223090157</v>
      </c>
      <c r="AJ19" s="304">
        <f t="shared" si="9"/>
        <v>53799.589148705541</v>
      </c>
      <c r="AK19" s="304">
        <f t="shared" si="9"/>
        <v>56565.826922647029</v>
      </c>
      <c r="AL19" s="305">
        <f t="shared" si="6"/>
        <v>210201.27810816356</v>
      </c>
      <c r="AM19" s="304">
        <f t="shared" ref="AM19:AP19" si="10">AM16*AM86</f>
        <v>59474.570792693456</v>
      </c>
      <c r="AN19" s="304">
        <f t="shared" si="10"/>
        <v>62533.17674505747</v>
      </c>
      <c r="AO19" s="304">
        <f t="shared" si="10"/>
        <v>65749.381252739797</v>
      </c>
      <c r="AP19" s="304">
        <f t="shared" si="10"/>
        <v>69131.320997679853</v>
      </c>
      <c r="AQ19" s="305">
        <f t="shared" si="8"/>
        <v>256888.44978817058</v>
      </c>
    </row>
    <row r="20" spans="2:43" s="41" customFormat="1" ht="17.25" customHeight="1" x14ac:dyDescent="0.3">
      <c r="B20" s="171" t="s">
        <v>86</v>
      </c>
      <c r="C20" s="172"/>
      <c r="D20" s="114">
        <v>10519</v>
      </c>
      <c r="E20" s="114">
        <v>11148</v>
      </c>
      <c r="F20" s="114">
        <v>12316</v>
      </c>
      <c r="G20" s="126">
        <f t="shared" si="0"/>
        <v>11672</v>
      </c>
      <c r="H20" s="116">
        <v>45655</v>
      </c>
      <c r="I20" s="117">
        <v>12674</v>
      </c>
      <c r="J20" s="118">
        <v>12634</v>
      </c>
      <c r="K20" s="118">
        <v>12155</v>
      </c>
      <c r="L20" s="126">
        <f t="shared" ref="L20:L22" si="11">M20-(K20+J20+I20)</f>
        <v>12266</v>
      </c>
      <c r="M20" s="116">
        <v>49729</v>
      </c>
      <c r="N20" s="118">
        <v>11050</v>
      </c>
      <c r="O20" s="118">
        <v>11139</v>
      </c>
      <c r="P20" s="166">
        <v>8406</v>
      </c>
      <c r="Q20" s="118">
        <f>Q16*Q87</f>
        <v>10148.955600000003</v>
      </c>
      <c r="R20" s="129">
        <f t="shared" si="1"/>
        <v>40743.955600000001</v>
      </c>
      <c r="S20" s="304">
        <f>S16*S87</f>
        <v>10414.540024</v>
      </c>
      <c r="T20" s="304">
        <f t="shared" ref="T20:AK20" si="12">T16*T87</f>
        <v>10935.267025199999</v>
      </c>
      <c r="U20" s="304">
        <f t="shared" si="12"/>
        <v>11482.030376460001</v>
      </c>
      <c r="V20" s="304">
        <f t="shared" si="12"/>
        <v>12056.131895283002</v>
      </c>
      <c r="W20" s="305">
        <f t="shared" si="3"/>
        <v>44887.969320943004</v>
      </c>
      <c r="X20" s="304">
        <f t="shared" si="12"/>
        <v>12675.394922534195</v>
      </c>
      <c r="Y20" s="304">
        <f t="shared" si="12"/>
        <v>13326.526204934729</v>
      </c>
      <c r="Z20" s="304">
        <f t="shared" si="12"/>
        <v>14011.168935950353</v>
      </c>
      <c r="AA20" s="304">
        <f t="shared" si="12"/>
        <v>14731.051206659047</v>
      </c>
      <c r="AB20" s="305">
        <f t="shared" si="4"/>
        <v>54744.141270078318</v>
      </c>
      <c r="AC20" s="304">
        <f t="shared" si="12"/>
        <v>15487.990401218292</v>
      </c>
      <c r="AD20" s="304">
        <f t="shared" si="12"/>
        <v>16283.897820387943</v>
      </c>
      <c r="AE20" s="304">
        <f t="shared" si="12"/>
        <v>17120.78354496706</v>
      </c>
      <c r="AF20" s="304">
        <f t="shared" si="12"/>
        <v>18000.761551620912</v>
      </c>
      <c r="AG20" s="305">
        <f t="shared" si="5"/>
        <v>66893.433318194206</v>
      </c>
      <c r="AH20" s="304">
        <f t="shared" si="12"/>
        <v>10814.888625271293</v>
      </c>
      <c r="AI20" s="304">
        <f t="shared" si="12"/>
        <v>11370.858494020034</v>
      </c>
      <c r="AJ20" s="304">
        <f t="shared" si="12"/>
        <v>11955.464255267898</v>
      </c>
      <c r="AK20" s="304">
        <f t="shared" si="12"/>
        <v>12570.18376058823</v>
      </c>
      <c r="AL20" s="305">
        <f t="shared" si="6"/>
        <v>46711.395135147461</v>
      </c>
      <c r="AM20" s="304">
        <f t="shared" ref="AM20:AP20" si="13">AM16*AM87</f>
        <v>13216.571287265213</v>
      </c>
      <c r="AN20" s="304">
        <f t="shared" si="13"/>
        <v>13896.26149890166</v>
      </c>
      <c r="AO20" s="304">
        <f t="shared" si="13"/>
        <v>14610.973611719955</v>
      </c>
      <c r="AP20" s="304">
        <f t="shared" si="13"/>
        <v>15362.515777262191</v>
      </c>
      <c r="AQ20" s="305">
        <f t="shared" si="8"/>
        <v>57086.32217514902</v>
      </c>
    </row>
    <row r="21" spans="2:43" s="41" customFormat="1" ht="17.25" customHeight="1" x14ac:dyDescent="0.3">
      <c r="B21" s="171" t="s">
        <v>87</v>
      </c>
      <c r="C21" s="172"/>
      <c r="D21" s="114">
        <v>6342</v>
      </c>
      <c r="E21" s="114">
        <v>6027</v>
      </c>
      <c r="F21" s="114">
        <v>6362</v>
      </c>
      <c r="G21" s="126">
        <f t="shared" si="0"/>
        <v>6566</v>
      </c>
      <c r="H21" s="116">
        <v>25297</v>
      </c>
      <c r="I21" s="117">
        <v>6345</v>
      </c>
      <c r="J21" s="118">
        <v>6752</v>
      </c>
      <c r="K21" s="118">
        <v>6695</v>
      </c>
      <c r="L21" s="126">
        <f t="shared" si="11"/>
        <v>6753</v>
      </c>
      <c r="M21" s="116">
        <v>26545</v>
      </c>
      <c r="N21" s="118">
        <v>6627</v>
      </c>
      <c r="O21" s="118">
        <v>6531</v>
      </c>
      <c r="P21" s="118">
        <v>6548</v>
      </c>
      <c r="Q21" s="118">
        <f>AVERAGE(O115,P115)*Q211</f>
        <v>6656.75</v>
      </c>
      <c r="R21" s="129">
        <f t="shared" si="1"/>
        <v>26362.75</v>
      </c>
      <c r="S21" s="118">
        <f>AVERAGE(P115,Q115)*S211</f>
        <v>6455.03125</v>
      </c>
      <c r="T21" s="118">
        <f>AVERAGE(Q115,S115)*T211</f>
        <v>6249.13671875</v>
      </c>
      <c r="U21" s="118">
        <f>AVERAGE(T115,S115)*U211</f>
        <v>6053.4325195312504</v>
      </c>
      <c r="V21" s="118">
        <f>AVERAGE(U115,T115)*V211</f>
        <v>5867.7682885742188</v>
      </c>
      <c r="W21" s="305">
        <f t="shared" si="3"/>
        <v>24625.368776855466</v>
      </c>
      <c r="X21" s="118">
        <f>AVERAGE(U115,V115)*X211</f>
        <v>5691.6382683715819</v>
      </c>
      <c r="Y21" s="118">
        <f>AVERAGE(V115,X115)*Y211</f>
        <v>5527.6006044479363</v>
      </c>
      <c r="Z21" s="118">
        <f>AVERAGE(Y115,X115)*Z211</f>
        <v>5378.3145076274486</v>
      </c>
      <c r="AA21" s="118">
        <f>AVERAGE(Z115,Y115)*AA211</f>
        <v>5243.4212485755643</v>
      </c>
      <c r="AB21" s="305">
        <f t="shared" si="4"/>
        <v>21840.97462902253</v>
      </c>
      <c r="AC21" s="118">
        <f>AVERAGE(Z115,AA115)*AC211</f>
        <v>5122.5202043579884</v>
      </c>
      <c r="AD21" s="118">
        <f>AVERAGE(AA115,AC115)*AD211</f>
        <v>5015.2461352065247</v>
      </c>
      <c r="AE21" s="118">
        <f>AVERAGE(AD115,AC115)*AE211</f>
        <v>4921.2701672478797</v>
      </c>
      <c r="AF21" s="118">
        <f>AVERAGE(AE115,AD115)*AF211</f>
        <v>4840.2988597435124</v>
      </c>
      <c r="AG21" s="305">
        <f t="shared" si="5"/>
        <v>19899.335366555904</v>
      </c>
      <c r="AH21" s="118">
        <f>AVERAGE(AE115,AF115)*AH211</f>
        <v>4772.0733141285691</v>
      </c>
      <c r="AI21" s="118">
        <f>AVERAGE(AF115,AH115)*AI211</f>
        <v>4716.3683738445998</v>
      </c>
      <c r="AJ21" s="118">
        <f>AVERAGE(AI115,AH115)*AJ211</f>
        <v>4672.9919139112462</v>
      </c>
      <c r="AK21" s="118">
        <f>AVERAGE(AJ115,AI115)*AK211</f>
        <v>4641.7842180966245</v>
      </c>
      <c r="AL21" s="305">
        <f t="shared" si="6"/>
        <v>18803.217819981041</v>
      </c>
      <c r="AM21" s="118">
        <f>AVERAGE(AJ115,AK115)*AM211</f>
        <v>4622.6174417446655</v>
      </c>
      <c r="AN21" s="118">
        <f>AVERAGE(AK115,AM115)*AN211</f>
        <v>4615.3951585442837</v>
      </c>
      <c r="AO21" s="118">
        <f>AVERAGE(AN115,AM115)*AO211</f>
        <v>4620.0519897474924</v>
      </c>
      <c r="AP21" s="118">
        <f>AVERAGE(AO115,AN115)*AP211</f>
        <v>4636.5533145611525</v>
      </c>
      <c r="AQ21" s="305">
        <f t="shared" si="8"/>
        <v>18494.617904597591</v>
      </c>
    </row>
    <row r="22" spans="2:43" s="41" customFormat="1" ht="17.25" customHeight="1" x14ac:dyDescent="0.3">
      <c r="B22" s="171" t="s">
        <v>88</v>
      </c>
      <c r="C22" s="172"/>
      <c r="D22" s="114">
        <v>291</v>
      </c>
      <c r="E22" s="114">
        <v>291</v>
      </c>
      <c r="F22" s="114">
        <v>483</v>
      </c>
      <c r="G22" s="126">
        <f t="shared" si="0"/>
        <v>334</v>
      </c>
      <c r="H22" s="116">
        <v>1399</v>
      </c>
      <c r="I22" s="117">
        <v>221</v>
      </c>
      <c r="J22" s="118">
        <v>178</v>
      </c>
      <c r="K22" s="118">
        <v>215</v>
      </c>
      <c r="L22" s="126">
        <f t="shared" si="11"/>
        <v>298</v>
      </c>
      <c r="M22" s="116">
        <v>912</v>
      </c>
      <c r="N22" s="118">
        <v>220</v>
      </c>
      <c r="O22" s="118">
        <v>220</v>
      </c>
      <c r="P22" s="166">
        <v>176</v>
      </c>
      <c r="Q22" s="118">
        <f>AVERAGE(O116,P116)*Q212</f>
        <v>197.19</v>
      </c>
      <c r="R22" s="129">
        <f t="shared" si="1"/>
        <v>813.19</v>
      </c>
      <c r="S22" s="118">
        <f>AVERAGE(P116,Q116)*S212</f>
        <v>198.40809999999999</v>
      </c>
      <c r="T22" s="118">
        <f>AVERAGE(Q116,S116)*T212</f>
        <v>194.45211899999998</v>
      </c>
      <c r="U22" s="118">
        <f>AVERAGE(T116,S116)*U212</f>
        <v>190.52351681000002</v>
      </c>
      <c r="V22" s="118">
        <f>AVERAGE(U116,T116)*V212</f>
        <v>186.67376045189999</v>
      </c>
      <c r="W22" s="305">
        <f t="shared" si="3"/>
        <v>770.05749626189993</v>
      </c>
      <c r="X22" s="118">
        <f>AVERAGE(U116,V116)*X212</f>
        <v>182.90178767928097</v>
      </c>
      <c r="Y22" s="118">
        <f>AVERAGE(V116,X116)*Y212</f>
        <v>179.20603219796919</v>
      </c>
      <c r="Z22" s="118">
        <f>AVERAGE(Y116,X116)*Z212</f>
        <v>175.58495399919667</v>
      </c>
      <c r="AA22" s="118">
        <f>AVERAGE(Z116,Y116)*AA212</f>
        <v>172.03704413722502</v>
      </c>
      <c r="AB22" s="305">
        <f t="shared" si="4"/>
        <v>709.72981801367189</v>
      </c>
      <c r="AC22" s="118">
        <f>AVERAGE(Z116,AA116)*AC212</f>
        <v>168.56082415586079</v>
      </c>
      <c r="AD22" s="118">
        <f>AVERAGE(AA116,AC116)*AD212</f>
        <v>165.15484547292994</v>
      </c>
      <c r="AE22" s="118">
        <f>AVERAGE(AD116,AC116)*AE212</f>
        <v>161.81768877664203</v>
      </c>
      <c r="AF22" s="118">
        <f>AVERAGE(AE116,AD116)*AF212</f>
        <v>158.54796343414631</v>
      </c>
      <c r="AG22" s="305">
        <f t="shared" si="5"/>
        <v>654.081321839579</v>
      </c>
      <c r="AH22" s="118">
        <f>AVERAGE(AE116,AF116)*AH212</f>
        <v>155.34430691203841</v>
      </c>
      <c r="AI22" s="118">
        <f>AVERAGE(AF116,AH116)*AI212</f>
        <v>152.20538420857656</v>
      </c>
      <c r="AJ22" s="118">
        <f>AVERAGE(AI116,AH116)*AJ212</f>
        <v>149.1298872973704</v>
      </c>
      <c r="AK22" s="118">
        <f>AVERAGE(AJ116,AI116)*AK212</f>
        <v>146.11653458231092</v>
      </c>
      <c r="AL22" s="305">
        <f t="shared" si="6"/>
        <v>602.79611300029626</v>
      </c>
      <c r="AM22" s="118">
        <f>AVERAGE(AJ116,AK116)*AM212</f>
        <v>143.16407036351413</v>
      </c>
      <c r="AN22" s="118">
        <f>AVERAGE(AK116,AM116)*AN212</f>
        <v>140.27126431405588</v>
      </c>
      <c r="AO22" s="118">
        <f>AVERAGE(AN116,AM116)*AO212</f>
        <v>137.43691096728017</v>
      </c>
      <c r="AP22" s="118">
        <f>AVERAGE(AO116,AN116)*AP212</f>
        <v>134.65982921446681</v>
      </c>
      <c r="AQ22" s="305">
        <f t="shared" si="8"/>
        <v>555.53207485931694</v>
      </c>
    </row>
    <row r="23" spans="2:43" s="41" customFormat="1" ht="17.25" customHeight="1" x14ac:dyDescent="0.3">
      <c r="B23" s="171" t="s">
        <v>89</v>
      </c>
      <c r="C23" s="172"/>
      <c r="D23" s="114">
        <v>1255</v>
      </c>
      <c r="E23" s="114">
        <v>-2196</v>
      </c>
      <c r="F23" s="114">
        <v>927</v>
      </c>
      <c r="G23" s="126">
        <f t="shared" si="0"/>
        <v>1083</v>
      </c>
      <c r="H23" s="116">
        <v>1069</v>
      </c>
      <c r="I23" s="117">
        <v>322</v>
      </c>
      <c r="J23" s="118">
        <v>1813</v>
      </c>
      <c r="K23" s="118">
        <v>2332</v>
      </c>
      <c r="L23" s="126">
        <f>M23-(K23+J23+I23)</f>
        <v>-798</v>
      </c>
      <c r="M23" s="116">
        <v>3669</v>
      </c>
      <c r="N23" s="118">
        <v>-4</v>
      </c>
      <c r="O23" s="118">
        <v>-47</v>
      </c>
      <c r="P23" s="166">
        <v>-288</v>
      </c>
      <c r="Q23" s="118">
        <f>Q16*Q88</f>
        <v>-224.36133333333501</v>
      </c>
      <c r="R23" s="129">
        <f t="shared" si="1"/>
        <v>-563.36133333333498</v>
      </c>
      <c r="S23" s="304">
        <f>S16*S88</f>
        <v>3276.1166899999939</v>
      </c>
      <c r="T23" s="304">
        <f>T16*T88</f>
        <v>2913.5854342499943</v>
      </c>
      <c r="U23" s="304">
        <f>U16*U88</f>
        <v>-105.16312564124748</v>
      </c>
      <c r="V23" s="304">
        <f>V16*V88</f>
        <v>-3138.5585954361122</v>
      </c>
      <c r="W23" s="305">
        <f t="shared" si="3"/>
        <v>2945.9804031726289</v>
      </c>
      <c r="X23" s="304">
        <f>X16*X88</f>
        <v>-4385.4805500354187</v>
      </c>
      <c r="Y23" s="304">
        <f>Y16*Y88</f>
        <v>-4113.4919606527901</v>
      </c>
      <c r="Z23" s="304">
        <f>Z16*Z88</f>
        <v>-3849.75273644975</v>
      </c>
      <c r="AA23" s="304">
        <f>AA16*AA88</f>
        <v>-3593.498768546795</v>
      </c>
      <c r="AB23" s="305">
        <f t="shared" si="4"/>
        <v>-15942.224015684753</v>
      </c>
      <c r="AC23" s="304">
        <f>AC16*AC88</f>
        <v>-1883.3720160316509</v>
      </c>
      <c r="AD23" s="304">
        <f>AD16*AD88</f>
        <v>-1581.9437324954679</v>
      </c>
      <c r="AE23" s="304">
        <f>AE16*AE88</f>
        <v>-1283.5000071743868</v>
      </c>
      <c r="AF23" s="304">
        <f>AF16*AF88</f>
        <v>-987.18041802395885</v>
      </c>
      <c r="AG23" s="305">
        <f t="shared" si="5"/>
        <v>-5735.9961737254644</v>
      </c>
      <c r="AH23" s="304">
        <f>AH16*AH88</f>
        <v>5787.4710042306733</v>
      </c>
      <c r="AI23" s="304">
        <f>AI16*AI88</f>
        <v>6402.2847359668649</v>
      </c>
      <c r="AJ23" s="304">
        <f>AJ16*AJ88</f>
        <v>7033.3424540592778</v>
      </c>
      <c r="AK23" s="304">
        <f>AK16*AK88</f>
        <v>7682.2830079092892</v>
      </c>
      <c r="AL23" s="305">
        <f t="shared" si="6"/>
        <v>26905.381202166107</v>
      </c>
      <c r="AM23" s="304">
        <f>AM16*AM88</f>
        <v>8350.7897751570308</v>
      </c>
      <c r="AN23" s="304">
        <f>AN16*AN88</f>
        <v>9040.5950760433152</v>
      </c>
      <c r="AO23" s="304">
        <f>AO16*AO88</f>
        <v>9753.4847110051669</v>
      </c>
      <c r="AP23" s="304">
        <f>AP16*AP88</f>
        <v>10491.302633486561</v>
      </c>
      <c r="AQ23" s="305">
        <f t="shared" si="8"/>
        <v>37636.172195692074</v>
      </c>
    </row>
    <row r="24" spans="2:43" s="41" customFormat="1" ht="17.25" customHeight="1" x14ac:dyDescent="0.3">
      <c r="B24" s="188" t="s">
        <v>150</v>
      </c>
      <c r="C24" s="189"/>
      <c r="D24" s="114">
        <v>0</v>
      </c>
      <c r="E24" s="114">
        <v>0</v>
      </c>
      <c r="F24" s="114">
        <v>0</v>
      </c>
      <c r="G24" s="125">
        <v>0</v>
      </c>
      <c r="H24" s="116">
        <v>0</v>
      </c>
      <c r="I24" s="114">
        <v>7090</v>
      </c>
      <c r="J24" s="118">
        <v>0</v>
      </c>
      <c r="K24" s="118">
        <v>0</v>
      </c>
      <c r="L24" s="125">
        <f>M24-(K24+J24+I24)</f>
        <v>15853</v>
      </c>
      <c r="M24" s="116">
        <v>22943</v>
      </c>
      <c r="N24" s="118">
        <v>0</v>
      </c>
      <c r="O24" s="118">
        <v>0</v>
      </c>
      <c r="P24" s="166">
        <v>0</v>
      </c>
      <c r="Q24" s="118">
        <v>0</v>
      </c>
      <c r="R24" s="129">
        <f t="shared" si="1"/>
        <v>0</v>
      </c>
      <c r="S24" s="304">
        <v>0</v>
      </c>
      <c r="T24" s="304">
        <v>0</v>
      </c>
      <c r="U24" s="304">
        <v>0</v>
      </c>
      <c r="V24" s="304">
        <v>0</v>
      </c>
      <c r="W24" s="305">
        <f t="shared" si="3"/>
        <v>0</v>
      </c>
      <c r="X24" s="304">
        <v>0</v>
      </c>
      <c r="Y24" s="304">
        <v>0</v>
      </c>
      <c r="Z24" s="304">
        <v>0</v>
      </c>
      <c r="AA24" s="304">
        <v>0</v>
      </c>
      <c r="AB24" s="305">
        <v>0</v>
      </c>
      <c r="AC24" s="304">
        <v>0</v>
      </c>
      <c r="AD24" s="304">
        <v>0</v>
      </c>
      <c r="AE24" s="304">
        <v>0</v>
      </c>
      <c r="AF24" s="304">
        <v>0</v>
      </c>
      <c r="AG24" s="305">
        <v>0</v>
      </c>
      <c r="AH24" s="304">
        <v>0</v>
      </c>
      <c r="AI24" s="304">
        <v>0</v>
      </c>
      <c r="AJ24" s="304">
        <v>0</v>
      </c>
      <c r="AK24" s="304">
        <v>0</v>
      </c>
      <c r="AL24" s="129">
        <v>0</v>
      </c>
      <c r="AM24" s="304">
        <v>0</v>
      </c>
      <c r="AN24" s="304">
        <v>0</v>
      </c>
      <c r="AO24" s="304">
        <v>0</v>
      </c>
      <c r="AP24" s="304">
        <v>0</v>
      </c>
      <c r="AQ24" s="129">
        <v>0</v>
      </c>
    </row>
    <row r="25" spans="2:43" s="41" customFormat="1" ht="17.25" customHeight="1" x14ac:dyDescent="0.45">
      <c r="B25" s="173" t="s">
        <v>90</v>
      </c>
      <c r="C25" s="172"/>
      <c r="D25" s="127">
        <f>D16-SUM(D18:D24)</f>
        <v>82827</v>
      </c>
      <c r="E25" s="127">
        <f t="shared" ref="E25:J25" si="14">E16-SUM(E18:E24)</f>
        <v>84134</v>
      </c>
      <c r="F25" s="127">
        <f t="shared" si="14"/>
        <v>89120</v>
      </c>
      <c r="G25" s="134">
        <f t="shared" si="14"/>
        <v>90450</v>
      </c>
      <c r="H25" s="132">
        <f>H16-SUM(H18:H24)</f>
        <v>346531</v>
      </c>
      <c r="I25" s="127">
        <f t="shared" si="14"/>
        <v>42717</v>
      </c>
      <c r="J25" s="127">
        <f t="shared" si="14"/>
        <v>47893</v>
      </c>
      <c r="K25" s="127">
        <f>K16-SUM(K18:K24)</f>
        <v>46818</v>
      </c>
      <c r="L25" s="134">
        <f>L16-SUM(L18:L24)</f>
        <v>23642</v>
      </c>
      <c r="M25" s="132">
        <f>M16-SUM(M18:M24)</f>
        <v>161070</v>
      </c>
      <c r="N25" s="127">
        <f t="shared" ref="N25" si="15">N16-SUM(N18:N24)</f>
        <v>22940</v>
      </c>
      <c r="O25" s="127">
        <f>O16-SUM(O18:O24)</f>
        <v>20227</v>
      </c>
      <c r="P25" s="127">
        <f>P16-SUM(P18:P24)</f>
        <v>21488</v>
      </c>
      <c r="Q25" s="127">
        <f>Q54+Q62+Q70+Q78</f>
        <v>22367.437333333335</v>
      </c>
      <c r="R25" s="132">
        <f>R16-SUM(R18:R24)</f>
        <v>87022.437333333422</v>
      </c>
      <c r="S25" s="127">
        <f>S54+S62+S70+S78</f>
        <v>27265.229759999998</v>
      </c>
      <c r="T25" s="127">
        <f t="shared" ref="T25:V25" si="16">T54+T62+T70+T78</f>
        <v>29697.350817999999</v>
      </c>
      <c r="U25" s="127">
        <f t="shared" si="16"/>
        <v>34868.458433800006</v>
      </c>
      <c r="V25" s="127">
        <f t="shared" si="16"/>
        <v>40141.730458135004</v>
      </c>
      <c r="W25" s="132">
        <f>W16-SUM(W18:W24)</f>
        <v>131972.76946993498</v>
      </c>
      <c r="X25" s="127">
        <f>X54+X62+X70+X78</f>
        <v>43780.208074463815</v>
      </c>
      <c r="Y25" s="127">
        <f t="shared" ref="Y25:AA25" si="17">Y54+Y62+Y70+Y78</f>
        <v>46001.421770202345</v>
      </c>
      <c r="Z25" s="127">
        <f t="shared" si="17"/>
        <v>48335.74233178865</v>
      </c>
      <c r="AA25" s="127">
        <f t="shared" si="17"/>
        <v>50788.937642473466</v>
      </c>
      <c r="AB25" s="132">
        <f>AB16-SUM(AB18:AB24)</f>
        <v>188906.30981892813</v>
      </c>
      <c r="AC25" s="127">
        <f>AC54+AC62+AC70+AC78</f>
        <v>62969.392707024759</v>
      </c>
      <c r="AD25" s="127">
        <f>AD54+AD62+AD70+AD78</f>
        <v>66189.676267764342</v>
      </c>
      <c r="AE25" s="127">
        <f t="shared" ref="AE25:AF25" si="18">AE54+AE62+AE70+AE78</f>
        <v>69575.198772437274</v>
      </c>
      <c r="AF25" s="127">
        <f t="shared" si="18"/>
        <v>73134.454530364499</v>
      </c>
      <c r="AG25" s="132">
        <f>AG16-SUM(AG18:AG24)</f>
        <v>271868.72227759066</v>
      </c>
      <c r="AH25" s="127">
        <f>AH54+AH62+AH70+AH78</f>
        <v>81211.664689534693</v>
      </c>
      <c r="AI25" s="127">
        <f t="shared" ref="AI25:AK25" si="19">AI54+AI62+AI70+AI78</f>
        <v>85381.438705150256</v>
      </c>
      <c r="AJ25" s="127">
        <f t="shared" si="19"/>
        <v>89765.981914509233</v>
      </c>
      <c r="AK25" s="127">
        <f t="shared" si="19"/>
        <v>94376.378204411725</v>
      </c>
      <c r="AL25" s="132">
        <f>AL16-SUM(AL18:AL24)</f>
        <v>350735.46351360611</v>
      </c>
      <c r="AM25" s="127">
        <f>AM54+AM62+AM70+AM78</f>
        <v>99224.284654489093</v>
      </c>
      <c r="AN25" s="127">
        <f t="shared" ref="AN25:AP25" si="20">AN54+AN62+AN70+AN78</f>
        <v>104321.96124176244</v>
      </c>
      <c r="AO25" s="127">
        <f t="shared" si="20"/>
        <v>109682.30208789966</v>
      </c>
      <c r="AP25" s="127">
        <f t="shared" si="20"/>
        <v>115318.86832946642</v>
      </c>
      <c r="AQ25" s="132">
        <f>AQ16-SUM(AQ18:AQ24)</f>
        <v>428547.41631361749</v>
      </c>
    </row>
    <row r="26" spans="2:43" s="77" customFormat="1" ht="17.25" customHeight="1" x14ac:dyDescent="0.3">
      <c r="B26" s="337" t="s">
        <v>161</v>
      </c>
      <c r="C26" s="339"/>
      <c r="D26" s="114">
        <v>1600</v>
      </c>
      <c r="E26" s="114">
        <v>-1300</v>
      </c>
      <c r="F26" s="114">
        <v>1858</v>
      </c>
      <c r="G26" s="125">
        <v>2076</v>
      </c>
      <c r="H26" s="116">
        <f>SUM(D26:G26)</f>
        <v>4234</v>
      </c>
      <c r="I26" s="114">
        <v>843</v>
      </c>
      <c r="J26" s="114">
        <v>1002</v>
      </c>
      <c r="K26" s="114">
        <v>2610</v>
      </c>
      <c r="L26" s="125">
        <v>53</v>
      </c>
      <c r="M26" s="116">
        <f>SUM(I26:L26)</f>
        <v>4508</v>
      </c>
      <c r="N26" s="114">
        <v>780</v>
      </c>
      <c r="O26" s="114">
        <v>434</v>
      </c>
      <c r="P26" s="114"/>
      <c r="Q26" s="114"/>
      <c r="R26" s="116">
        <f>SUM(N26:Q26)</f>
        <v>1214</v>
      </c>
      <c r="S26" s="114"/>
      <c r="T26" s="114"/>
      <c r="U26" s="114"/>
      <c r="V26" s="114"/>
      <c r="W26" s="116"/>
      <c r="X26" s="114"/>
      <c r="Y26" s="114"/>
      <c r="Z26" s="114"/>
      <c r="AA26" s="114"/>
      <c r="AB26" s="116"/>
      <c r="AC26" s="114"/>
      <c r="AD26" s="114"/>
      <c r="AE26" s="114"/>
      <c r="AF26" s="114"/>
      <c r="AG26" s="116"/>
      <c r="AH26" s="114"/>
      <c r="AI26" s="114"/>
      <c r="AJ26" s="114"/>
      <c r="AK26" s="114"/>
      <c r="AL26" s="116"/>
      <c r="AM26" s="114"/>
      <c r="AN26" s="114"/>
      <c r="AO26" s="114"/>
      <c r="AP26" s="114"/>
      <c r="AQ26" s="116"/>
    </row>
    <row r="27" spans="2:43" s="77" customFormat="1" ht="17.25" customHeight="1" x14ac:dyDescent="0.3">
      <c r="B27" s="337" t="s">
        <v>169</v>
      </c>
      <c r="C27" s="339"/>
      <c r="D27" s="114">
        <v>0</v>
      </c>
      <c r="E27" s="114">
        <v>0</v>
      </c>
      <c r="F27" s="114">
        <v>0</v>
      </c>
      <c r="G27" s="125">
        <v>0</v>
      </c>
      <c r="H27" s="116">
        <v>0</v>
      </c>
      <c r="I27" s="114">
        <v>0</v>
      </c>
      <c r="J27" s="114">
        <v>0</v>
      </c>
      <c r="K27" s="114">
        <v>0</v>
      </c>
      <c r="L27" s="125">
        <v>4871</v>
      </c>
      <c r="M27" s="116">
        <f>SUM(I27:L27)</f>
        <v>4871</v>
      </c>
      <c r="N27" s="114">
        <v>0</v>
      </c>
      <c r="O27" s="114">
        <v>0</v>
      </c>
      <c r="P27" s="114"/>
      <c r="Q27" s="114"/>
      <c r="R27" s="116">
        <f>SUM(N27:Q27)</f>
        <v>0</v>
      </c>
      <c r="S27" s="114"/>
      <c r="T27" s="114"/>
      <c r="U27" s="114"/>
      <c r="V27" s="114"/>
      <c r="W27" s="116"/>
      <c r="X27" s="114"/>
      <c r="Y27" s="114"/>
      <c r="Z27" s="114"/>
      <c r="AA27" s="114"/>
      <c r="AB27" s="116"/>
      <c r="AC27" s="114"/>
      <c r="AD27" s="114"/>
      <c r="AE27" s="114"/>
      <c r="AF27" s="114"/>
      <c r="AG27" s="116"/>
      <c r="AH27" s="114"/>
      <c r="AI27" s="114"/>
      <c r="AJ27" s="114"/>
      <c r="AK27" s="114"/>
      <c r="AL27" s="116"/>
      <c r="AM27" s="114"/>
      <c r="AN27" s="114"/>
      <c r="AO27" s="114"/>
      <c r="AP27" s="114"/>
      <c r="AQ27" s="116"/>
    </row>
    <row r="28" spans="2:43" s="77" customFormat="1" ht="17.25" customHeight="1" x14ac:dyDescent="0.3">
      <c r="B28" s="337" t="s">
        <v>162</v>
      </c>
      <c r="C28" s="339"/>
      <c r="D28" s="114">
        <v>0</v>
      </c>
      <c r="E28" s="114">
        <v>0</v>
      </c>
      <c r="F28" s="114">
        <v>0</v>
      </c>
      <c r="G28" s="125">
        <v>0</v>
      </c>
      <c r="H28" s="116">
        <f>SUM(D28:G28)</f>
        <v>0</v>
      </c>
      <c r="I28" s="114">
        <v>7090</v>
      </c>
      <c r="J28" s="114">
        <v>0</v>
      </c>
      <c r="K28" s="114">
        <v>0</v>
      </c>
      <c r="L28" s="125">
        <v>10982</v>
      </c>
      <c r="M28" s="116">
        <f t="shared" ref="M28" si="21">SUM(I28:L28)</f>
        <v>18072</v>
      </c>
      <c r="N28" s="114">
        <v>0</v>
      </c>
      <c r="O28" s="114">
        <v>0</v>
      </c>
      <c r="P28" s="114"/>
      <c r="Q28" s="114"/>
      <c r="R28" s="116">
        <f t="shared" ref="R28" si="22">SUM(N28:Q28)</f>
        <v>0</v>
      </c>
      <c r="S28" s="114"/>
      <c r="T28" s="114"/>
      <c r="U28" s="114"/>
      <c r="V28" s="114"/>
      <c r="W28" s="116"/>
      <c r="X28" s="114"/>
      <c r="Y28" s="114"/>
      <c r="Z28" s="114"/>
      <c r="AA28" s="114"/>
      <c r="AB28" s="116"/>
      <c r="AC28" s="114"/>
      <c r="AD28" s="114"/>
      <c r="AE28" s="114"/>
      <c r="AF28" s="114"/>
      <c r="AG28" s="116"/>
      <c r="AH28" s="114"/>
      <c r="AI28" s="114"/>
      <c r="AJ28" s="114"/>
      <c r="AK28" s="114"/>
      <c r="AL28" s="116"/>
      <c r="AM28" s="114"/>
      <c r="AN28" s="114"/>
      <c r="AO28" s="114"/>
      <c r="AP28" s="114"/>
      <c r="AQ28" s="116"/>
    </row>
    <row r="29" spans="2:43" s="77" customFormat="1" ht="17.25" customHeight="1" x14ac:dyDescent="0.45">
      <c r="B29" s="340" t="s">
        <v>163</v>
      </c>
      <c r="C29" s="339"/>
      <c r="D29" s="127">
        <f>D25+SUM(D26:D28)</f>
        <v>84427</v>
      </c>
      <c r="E29" s="127">
        <f t="shared" ref="E29:P29" si="23">E25+SUM(E26:E28)</f>
        <v>82834</v>
      </c>
      <c r="F29" s="127">
        <f t="shared" si="23"/>
        <v>90978</v>
      </c>
      <c r="G29" s="134">
        <f t="shared" si="23"/>
        <v>92526</v>
      </c>
      <c r="H29" s="132">
        <f t="shared" si="23"/>
        <v>350765</v>
      </c>
      <c r="I29" s="127">
        <f t="shared" si="23"/>
        <v>50650</v>
      </c>
      <c r="J29" s="127">
        <f t="shared" si="23"/>
        <v>48895</v>
      </c>
      <c r="K29" s="127">
        <f t="shared" si="23"/>
        <v>49428</v>
      </c>
      <c r="L29" s="134">
        <f t="shared" si="23"/>
        <v>39548</v>
      </c>
      <c r="M29" s="132">
        <f t="shared" si="23"/>
        <v>188521</v>
      </c>
      <c r="N29" s="127">
        <f>N25+SUM(N26:N28)</f>
        <v>23720</v>
      </c>
      <c r="O29" s="127">
        <f t="shared" si="23"/>
        <v>20661</v>
      </c>
      <c r="P29" s="127">
        <f t="shared" si="23"/>
        <v>21488</v>
      </c>
      <c r="Q29" s="127">
        <f>Q16*Q84</f>
        <v>22367.437333333335</v>
      </c>
      <c r="R29" s="132">
        <f>R25+SUM(R26:R28)</f>
        <v>88236.437333333422</v>
      </c>
      <c r="S29" s="127">
        <f t="shared" ref="S29:V29" si="24">S16*S84</f>
        <v>27265.229759999998</v>
      </c>
      <c r="T29" s="127">
        <f t="shared" si="24"/>
        <v>29697.350817999999</v>
      </c>
      <c r="U29" s="127">
        <f t="shared" si="24"/>
        <v>34868.458433800006</v>
      </c>
      <c r="V29" s="127">
        <f t="shared" si="24"/>
        <v>40141.730458135004</v>
      </c>
      <c r="W29" s="132">
        <f>W25+SUM(W26:W28)</f>
        <v>131972.76946993498</v>
      </c>
      <c r="X29" s="127">
        <f t="shared" ref="X29:AA29" si="25">X16*X84</f>
        <v>43780.208074463815</v>
      </c>
      <c r="Y29" s="127">
        <f t="shared" si="25"/>
        <v>46001.421770202345</v>
      </c>
      <c r="Z29" s="127">
        <f t="shared" si="25"/>
        <v>48335.74233178865</v>
      </c>
      <c r="AA29" s="127">
        <f t="shared" si="25"/>
        <v>50788.937642473466</v>
      </c>
      <c r="AB29" s="132">
        <f>AB25+SUM(AB26:AB28)</f>
        <v>188906.30981892813</v>
      </c>
      <c r="AC29" s="127">
        <f t="shared" ref="AC29:AF29" si="26">AC16*AC84</f>
        <v>62969.392707024766</v>
      </c>
      <c r="AD29" s="127">
        <f t="shared" si="26"/>
        <v>66189.676267764342</v>
      </c>
      <c r="AE29" s="127">
        <f t="shared" si="26"/>
        <v>69575.198772437274</v>
      </c>
      <c r="AF29" s="127">
        <f t="shared" si="26"/>
        <v>73134.454530364499</v>
      </c>
      <c r="AG29" s="132">
        <f>AG25+SUM(AG26:AG28)</f>
        <v>271868.72227759066</v>
      </c>
      <c r="AH29" s="127">
        <f t="shared" ref="AH29:AK29" si="27">AH16*AH84</f>
        <v>81211.664689534693</v>
      </c>
      <c r="AI29" s="127">
        <f t="shared" si="27"/>
        <v>85381.438705150256</v>
      </c>
      <c r="AJ29" s="127">
        <f t="shared" si="27"/>
        <v>89765.981914509233</v>
      </c>
      <c r="AK29" s="127">
        <f t="shared" si="27"/>
        <v>94376.378204411711</v>
      </c>
      <c r="AL29" s="132">
        <f>AL25+SUM(AL26:AL28)</f>
        <v>350735.46351360611</v>
      </c>
      <c r="AM29" s="127">
        <f t="shared" ref="AM29:AP29" si="28">AM16*AM84</f>
        <v>99224.284654489093</v>
      </c>
      <c r="AN29" s="127">
        <f t="shared" si="28"/>
        <v>104321.96124176243</v>
      </c>
      <c r="AO29" s="127">
        <f t="shared" si="28"/>
        <v>109682.30208789968</v>
      </c>
      <c r="AP29" s="127">
        <f t="shared" si="28"/>
        <v>115318.86832946641</v>
      </c>
      <c r="AQ29" s="132">
        <f>AQ25+SUM(AQ26:AQ28)</f>
        <v>428547.41631361749</v>
      </c>
    </row>
    <row r="30" spans="2:43" s="40" customFormat="1" x14ac:dyDescent="0.3">
      <c r="B30" s="171" t="s">
        <v>39</v>
      </c>
      <c r="C30" s="172"/>
      <c r="D30" s="114">
        <v>2363</v>
      </c>
      <c r="E30" s="114">
        <v>2794</v>
      </c>
      <c r="F30" s="114">
        <v>2561</v>
      </c>
      <c r="G30" s="126">
        <f>H30-(F30+E30+D30)</f>
        <v>2882</v>
      </c>
      <c r="H30" s="116">
        <v>10600</v>
      </c>
      <c r="I30" s="117">
        <v>2403</v>
      </c>
      <c r="J30" s="118">
        <v>3116</v>
      </c>
      <c r="K30" s="118">
        <v>3471</v>
      </c>
      <c r="L30" s="126">
        <f t="shared" ref="L30:L35" si="29">M30-(K30+J30+I30)</f>
        <v>3390</v>
      </c>
      <c r="M30" s="116">
        <v>12380</v>
      </c>
      <c r="N30" s="118">
        <v>3434</v>
      </c>
      <c r="O30" s="118">
        <v>3021</v>
      </c>
      <c r="P30" s="166">
        <v>2569</v>
      </c>
      <c r="Q30" s="118">
        <f>Q16*Q89</f>
        <v>2899.7016000000003</v>
      </c>
      <c r="R30" s="158">
        <f>SUM(N30:Q30)</f>
        <v>11923.7016</v>
      </c>
      <c r="S30" s="118">
        <f>S16*S89</f>
        <v>2975.582864</v>
      </c>
      <c r="T30" s="118">
        <f>T16*T89</f>
        <v>3124.3620071999999</v>
      </c>
      <c r="U30" s="118">
        <f>U16*U89</f>
        <v>3280.5801075600002</v>
      </c>
      <c r="V30" s="118">
        <f>V16*V89</f>
        <v>3444.6091129380006</v>
      </c>
      <c r="W30" s="158">
        <f>SUM(S30:V30)</f>
        <v>12825.134091698001</v>
      </c>
      <c r="X30" s="118">
        <f>X16*X89</f>
        <v>1810.7707032191704</v>
      </c>
      <c r="Y30" s="118">
        <f>Y16*Y89</f>
        <v>1903.7894578478183</v>
      </c>
      <c r="Z30" s="118">
        <f>Z16*Z89</f>
        <v>2001.5955622786216</v>
      </c>
      <c r="AA30" s="118">
        <f>AA16*AA89</f>
        <v>2104.435886665578</v>
      </c>
      <c r="AB30" s="158">
        <f>SUM(X30:AA30)</f>
        <v>7820.5916100111881</v>
      </c>
      <c r="AC30" s="118">
        <f>AC16*AC89</f>
        <v>2212.5700573168988</v>
      </c>
      <c r="AD30" s="118">
        <f>AD16*AD89</f>
        <v>2326.2711171982774</v>
      </c>
      <c r="AE30" s="118">
        <f>AE16*AE89</f>
        <v>2445.8262207095795</v>
      </c>
      <c r="AF30" s="118">
        <f>AF16*AF89</f>
        <v>2571.5373645172731</v>
      </c>
      <c r="AG30" s="158">
        <f>SUM(AC30:AF30)</f>
        <v>9556.2047597420278</v>
      </c>
      <c r="AH30" s="118">
        <f>AH16*AH89</f>
        <v>2703.7221563178232</v>
      </c>
      <c r="AI30" s="118">
        <f>AI16*AI89</f>
        <v>2842.7146235050086</v>
      </c>
      <c r="AJ30" s="118">
        <f>AJ16*AJ89</f>
        <v>2988.8660638169745</v>
      </c>
      <c r="AK30" s="118">
        <f>AK16*AK89</f>
        <v>3142.5459401470575</v>
      </c>
      <c r="AL30" s="158">
        <f>SUM(AH30:AK30)</f>
        <v>11677.848783786865</v>
      </c>
      <c r="AM30" s="118">
        <f>AM16*AM89</f>
        <v>3304.1428218163032</v>
      </c>
      <c r="AN30" s="118">
        <f>AN16*AN89</f>
        <v>3474.065374725415</v>
      </c>
      <c r="AO30" s="118">
        <f>AO16*AO89</f>
        <v>3652.7434029299889</v>
      </c>
      <c r="AP30" s="118">
        <f>AP16*AP89</f>
        <v>3840.6289443155479</v>
      </c>
      <c r="AQ30" s="158">
        <f>SUM(AM30:AP30)</f>
        <v>14271.580543787255</v>
      </c>
    </row>
    <row r="31" spans="2:43" ht="16.2" x14ac:dyDescent="0.45">
      <c r="B31" s="465" t="s">
        <v>91</v>
      </c>
      <c r="C31" s="466"/>
      <c r="D31" s="127">
        <f>D25-D30</f>
        <v>80464</v>
      </c>
      <c r="E31" s="127">
        <f t="shared" ref="E31:M31" si="30">E25-E30</f>
        <v>81340</v>
      </c>
      <c r="F31" s="127">
        <f t="shared" si="30"/>
        <v>86559</v>
      </c>
      <c r="G31" s="133">
        <f t="shared" si="30"/>
        <v>87568</v>
      </c>
      <c r="H31" s="130">
        <f>H25-H30</f>
        <v>335931</v>
      </c>
      <c r="I31" s="130">
        <f t="shared" si="30"/>
        <v>40314</v>
      </c>
      <c r="J31" s="127">
        <f t="shared" si="30"/>
        <v>44777</v>
      </c>
      <c r="K31" s="127">
        <f t="shared" si="30"/>
        <v>43347</v>
      </c>
      <c r="L31" s="133">
        <f t="shared" si="30"/>
        <v>20252</v>
      </c>
      <c r="M31" s="132">
        <f t="shared" si="30"/>
        <v>148690</v>
      </c>
      <c r="N31" s="131">
        <f t="shared" ref="N31:O31" si="31">N25-N30</f>
        <v>19506</v>
      </c>
      <c r="O31" s="131">
        <f t="shared" si="31"/>
        <v>17206</v>
      </c>
      <c r="P31" s="131">
        <f>P25-P30</f>
        <v>18919</v>
      </c>
      <c r="Q31" s="131">
        <f>Q25-Q30</f>
        <v>19467.735733333335</v>
      </c>
      <c r="R31" s="160">
        <f>R25-R30</f>
        <v>75098.735733333422</v>
      </c>
      <c r="S31" s="131">
        <f t="shared" ref="S31:V31" si="32">S25-S30</f>
        <v>24289.646895999998</v>
      </c>
      <c r="T31" s="131">
        <f t="shared" si="32"/>
        <v>26572.988810799998</v>
      </c>
      <c r="U31" s="131">
        <f t="shared" si="32"/>
        <v>31587.878326240007</v>
      </c>
      <c r="V31" s="131">
        <f t="shared" si="32"/>
        <v>36697.121345197003</v>
      </c>
      <c r="W31" s="160">
        <f>W25-W30</f>
        <v>119147.63537823698</v>
      </c>
      <c r="X31" s="131">
        <f t="shared" ref="X31:AA31" si="33">X25-X30</f>
        <v>41969.437371244647</v>
      </c>
      <c r="Y31" s="131">
        <f t="shared" si="33"/>
        <v>44097.63231235453</v>
      </c>
      <c r="Z31" s="131">
        <f t="shared" si="33"/>
        <v>46334.146769510029</v>
      </c>
      <c r="AA31" s="131">
        <f t="shared" si="33"/>
        <v>48684.501755807891</v>
      </c>
      <c r="AB31" s="160">
        <f>AB25-AB30</f>
        <v>181085.71820891695</v>
      </c>
      <c r="AC31" s="131">
        <f t="shared" ref="AC31:AF31" si="34">AC25-AC30</f>
        <v>60756.822649707858</v>
      </c>
      <c r="AD31" s="131">
        <f t="shared" si="34"/>
        <v>63863.405150566061</v>
      </c>
      <c r="AE31" s="131">
        <f t="shared" si="34"/>
        <v>67129.372551727691</v>
      </c>
      <c r="AF31" s="131">
        <f t="shared" si="34"/>
        <v>70562.917165847233</v>
      </c>
      <c r="AG31" s="160">
        <f>AG25-AG30</f>
        <v>262312.51751784864</v>
      </c>
      <c r="AH31" s="131">
        <f t="shared" ref="AH31:AK31" si="35">AH25-AH30</f>
        <v>78507.942533216876</v>
      </c>
      <c r="AI31" s="131">
        <f t="shared" si="35"/>
        <v>82538.724081645254</v>
      </c>
      <c r="AJ31" s="131">
        <f t="shared" si="35"/>
        <v>86777.115850692266</v>
      </c>
      <c r="AK31" s="131">
        <f t="shared" si="35"/>
        <v>91233.832264264667</v>
      </c>
      <c r="AL31" s="160">
        <f>AL25-AL30</f>
        <v>339057.61472981924</v>
      </c>
      <c r="AM31" s="131">
        <f t="shared" ref="AM31:AP31" si="36">AM25-AM30</f>
        <v>95920.141832672787</v>
      </c>
      <c r="AN31" s="131">
        <f t="shared" si="36"/>
        <v>100847.89586703703</v>
      </c>
      <c r="AO31" s="131">
        <f t="shared" si="36"/>
        <v>106029.55868496967</v>
      </c>
      <c r="AP31" s="131">
        <f t="shared" si="36"/>
        <v>111478.23938515087</v>
      </c>
      <c r="AQ31" s="160">
        <f>AQ25-AQ30</f>
        <v>414275.83576983021</v>
      </c>
    </row>
    <row r="32" spans="2:43" x14ac:dyDescent="0.3">
      <c r="B32" s="471" t="s">
        <v>56</v>
      </c>
      <c r="C32" s="472"/>
      <c r="D32" s="114">
        <v>19311</v>
      </c>
      <c r="E32" s="114">
        <v>17244</v>
      </c>
      <c r="F32" s="114">
        <v>19909</v>
      </c>
      <c r="G32" s="126">
        <f>H32-(F32+E32+D32)</f>
        <v>20841</v>
      </c>
      <c r="H32" s="116">
        <v>77305</v>
      </c>
      <c r="I32" s="117">
        <v>9272</v>
      </c>
      <c r="J32" s="118">
        <v>10075</v>
      </c>
      <c r="K32" s="118">
        <v>9753</v>
      </c>
      <c r="L32" s="126">
        <f t="shared" si="29"/>
        <v>4658</v>
      </c>
      <c r="M32" s="116">
        <v>33758</v>
      </c>
      <c r="N32" s="118">
        <v>4389</v>
      </c>
      <c r="O32" s="118">
        <v>671</v>
      </c>
      <c r="P32" s="118">
        <v>2081</v>
      </c>
      <c r="Q32" s="118">
        <f>Q31*Q90</f>
        <v>1168.0641439999999</v>
      </c>
      <c r="R32" s="158">
        <f>SUM(N32:Q32)</f>
        <v>8309.0641439999999</v>
      </c>
      <c r="S32" s="118">
        <f>S31*S90</f>
        <v>4857.9293791999999</v>
      </c>
      <c r="T32" s="118">
        <f>T31*T90</f>
        <v>5314.5977621599995</v>
      </c>
      <c r="U32" s="118">
        <f>U31*U90</f>
        <v>6317.5756652480013</v>
      </c>
      <c r="V32" s="118">
        <f>V31*V90</f>
        <v>7339.4242690394012</v>
      </c>
      <c r="W32" s="158">
        <f>SUM(S32:V32)</f>
        <v>23829.527075647402</v>
      </c>
      <c r="X32" s="118">
        <f>X31*X90</f>
        <v>8393.8874742489297</v>
      </c>
      <c r="Y32" s="118">
        <f>Y31*Y90</f>
        <v>8819.5264624709071</v>
      </c>
      <c r="Z32" s="118">
        <f>Z31*Z90</f>
        <v>9266.8293539020069</v>
      </c>
      <c r="AA32" s="118">
        <f>AA31*AA90</f>
        <v>9736.9003511615792</v>
      </c>
      <c r="AB32" s="158">
        <f>SUM(X32:AA32)</f>
        <v>36217.143641783427</v>
      </c>
      <c r="AC32" s="118">
        <f>AC31*AC90</f>
        <v>13974.069209432808</v>
      </c>
      <c r="AD32" s="118">
        <f>AD31*AD90</f>
        <v>14688.583184630195</v>
      </c>
      <c r="AE32" s="118">
        <f>AE31*AE90</f>
        <v>15439.75568689737</v>
      </c>
      <c r="AF32" s="118">
        <f>AF31*AF90</f>
        <v>16229.470948144864</v>
      </c>
      <c r="AG32" s="158">
        <f>SUM(AC32:AF32)</f>
        <v>60331.879029105243</v>
      </c>
      <c r="AH32" s="118">
        <f>AH31*AH90</f>
        <v>18056.826782639881</v>
      </c>
      <c r="AI32" s="118">
        <f>AI31*AI90</f>
        <v>18983.90653877841</v>
      </c>
      <c r="AJ32" s="118">
        <f>AJ31*AJ90</f>
        <v>19958.736645659221</v>
      </c>
      <c r="AK32" s="118">
        <f>AK31*AK90</f>
        <v>20983.781420780873</v>
      </c>
      <c r="AL32" s="158">
        <f>SUM(AH32:AK32)</f>
        <v>77983.251387858385</v>
      </c>
      <c r="AM32" s="118">
        <f>AM31*AM90</f>
        <v>22061.632621514742</v>
      </c>
      <c r="AN32" s="118">
        <f>AN31*AN90</f>
        <v>23195.016049418518</v>
      </c>
      <c r="AO32" s="118">
        <f>AO31*AO90</f>
        <v>24386.798497543026</v>
      </c>
      <c r="AP32" s="118">
        <f>AP31*AP90</f>
        <v>25639.9950585847</v>
      </c>
      <c r="AQ32" s="158">
        <f>SUM(AM32:AP32)</f>
        <v>95283.442227060979</v>
      </c>
    </row>
    <row r="33" spans="1:43" ht="16.2" x14ac:dyDescent="0.45">
      <c r="B33" s="465" t="s">
        <v>57</v>
      </c>
      <c r="C33" s="466"/>
      <c r="D33" s="127">
        <f>D31-D32</f>
        <v>61153</v>
      </c>
      <c r="E33" s="127">
        <f>E31-E32</f>
        <v>64096</v>
      </c>
      <c r="F33" s="127">
        <f>F31-F32</f>
        <v>66650</v>
      </c>
      <c r="G33" s="133">
        <f t="shared" si="0"/>
        <v>66727</v>
      </c>
      <c r="H33" s="130">
        <f>H31-H32</f>
        <v>258626</v>
      </c>
      <c r="I33" s="130">
        <f>I31-I32</f>
        <v>31042</v>
      </c>
      <c r="J33" s="127">
        <f>J31-J32</f>
        <v>34702</v>
      </c>
      <c r="K33" s="127">
        <f>K31-K32</f>
        <v>33594</v>
      </c>
      <c r="L33" s="133">
        <f t="shared" si="29"/>
        <v>15594</v>
      </c>
      <c r="M33" s="132">
        <f t="shared" ref="M33:Q33" si="37">M31-M32</f>
        <v>114932</v>
      </c>
      <c r="N33" s="131">
        <f t="shared" si="37"/>
        <v>15117</v>
      </c>
      <c r="O33" s="131">
        <f t="shared" si="37"/>
        <v>16535</v>
      </c>
      <c r="P33" s="131">
        <f t="shared" si="37"/>
        <v>16838</v>
      </c>
      <c r="Q33" s="131">
        <f t="shared" si="37"/>
        <v>18299.671589333335</v>
      </c>
      <c r="R33" s="160">
        <f>R31-R32</f>
        <v>66789.671589333419</v>
      </c>
      <c r="S33" s="131">
        <f>S31-S32</f>
        <v>19431.717516799999</v>
      </c>
      <c r="T33" s="131">
        <f t="shared" ref="T33:V33" si="38">T31-T32</f>
        <v>21258.391048639998</v>
      </c>
      <c r="U33" s="131">
        <f t="shared" si="38"/>
        <v>25270.302660992005</v>
      </c>
      <c r="V33" s="131">
        <f t="shared" si="38"/>
        <v>29357.697076157601</v>
      </c>
      <c r="W33" s="160">
        <f>W31-W32</f>
        <v>95318.108302589579</v>
      </c>
      <c r="X33" s="131">
        <f>X31-X32</f>
        <v>33575.549896995719</v>
      </c>
      <c r="Y33" s="131">
        <f t="shared" ref="Y33:AA33" si="39">Y31-Y32</f>
        <v>35278.105849883621</v>
      </c>
      <c r="Z33" s="131">
        <f t="shared" si="39"/>
        <v>37067.31741560802</v>
      </c>
      <c r="AA33" s="131">
        <f t="shared" si="39"/>
        <v>38947.60140464631</v>
      </c>
      <c r="AB33" s="160">
        <f>AB31-AB32</f>
        <v>144868.57456713353</v>
      </c>
      <c r="AC33" s="131">
        <f>AC31-AC32</f>
        <v>46782.753440275046</v>
      </c>
      <c r="AD33" s="131">
        <f t="shared" ref="AD33:AF33" si="40">AD31-AD32</f>
        <v>49174.821965935866</v>
      </c>
      <c r="AE33" s="131">
        <f t="shared" si="40"/>
        <v>51689.616864830321</v>
      </c>
      <c r="AF33" s="131">
        <f t="shared" si="40"/>
        <v>54333.446217702367</v>
      </c>
      <c r="AG33" s="160">
        <f>AG31-AG32</f>
        <v>201980.6384887434</v>
      </c>
      <c r="AH33" s="131">
        <f>AH31-AH32</f>
        <v>60451.115750576995</v>
      </c>
      <c r="AI33" s="131">
        <f t="shared" ref="AI33:AK33" si="41">AI31-AI32</f>
        <v>63554.817542866847</v>
      </c>
      <c r="AJ33" s="131">
        <f t="shared" si="41"/>
        <v>66818.379205033038</v>
      </c>
      <c r="AK33" s="131">
        <f t="shared" si="41"/>
        <v>70250.050843483798</v>
      </c>
      <c r="AL33" s="160">
        <f>AL31-AL32</f>
        <v>261074.36334196085</v>
      </c>
      <c r="AM33" s="131">
        <f>AM31-AM32</f>
        <v>73858.509211158045</v>
      </c>
      <c r="AN33" s="131">
        <f t="shared" ref="AN33:AP33" si="42">AN31-AN32</f>
        <v>77652.879817618523</v>
      </c>
      <c r="AO33" s="131">
        <f t="shared" si="42"/>
        <v>81642.76018742664</v>
      </c>
      <c r="AP33" s="131">
        <f t="shared" si="42"/>
        <v>85838.244326566171</v>
      </c>
      <c r="AQ33" s="160">
        <f>AQ31-AQ32</f>
        <v>318992.39354276925</v>
      </c>
    </row>
    <row r="34" spans="1:43" s="41" customFormat="1" x14ac:dyDescent="0.3">
      <c r="B34" s="171" t="s">
        <v>58</v>
      </c>
      <c r="C34" s="172"/>
      <c r="D34" s="114">
        <v>89</v>
      </c>
      <c r="E34" s="114">
        <v>362</v>
      </c>
      <c r="F34" s="114">
        <v>153</v>
      </c>
      <c r="G34" s="126">
        <f t="shared" si="0"/>
        <v>537</v>
      </c>
      <c r="H34" s="116">
        <v>1141</v>
      </c>
      <c r="I34" s="117">
        <v>-357</v>
      </c>
      <c r="J34" s="118">
        <v>76</v>
      </c>
      <c r="K34" s="118">
        <v>190</v>
      </c>
      <c r="L34" s="126">
        <f>M34-(K34+J34+I34)</f>
        <v>176</v>
      </c>
      <c r="M34" s="116">
        <v>85</v>
      </c>
      <c r="N34" s="118">
        <v>35</v>
      </c>
      <c r="O34" s="118">
        <v>-89</v>
      </c>
      <c r="P34" s="118">
        <v>108</v>
      </c>
      <c r="Q34" s="118">
        <f>P34</f>
        <v>108</v>
      </c>
      <c r="R34" s="158">
        <f>SUM(N34:Q34)</f>
        <v>162</v>
      </c>
      <c r="S34" s="118">
        <v>85</v>
      </c>
      <c r="T34" s="118">
        <f>S34</f>
        <v>85</v>
      </c>
      <c r="U34" s="118">
        <f t="shared" ref="U34:V34" si="43">T34</f>
        <v>85</v>
      </c>
      <c r="V34" s="118">
        <f t="shared" si="43"/>
        <v>85</v>
      </c>
      <c r="W34" s="158">
        <f>SUM(S34:V34)</f>
        <v>340</v>
      </c>
      <c r="X34" s="118">
        <v>85</v>
      </c>
      <c r="Y34" s="118">
        <f>X34</f>
        <v>85</v>
      </c>
      <c r="Z34" s="118">
        <f t="shared" ref="Z34" si="44">Y34</f>
        <v>85</v>
      </c>
      <c r="AA34" s="118">
        <f t="shared" ref="AA34" si="45">Z34</f>
        <v>85</v>
      </c>
      <c r="AB34" s="158">
        <f>SUM(X34:AA34)</f>
        <v>340</v>
      </c>
      <c r="AC34" s="118">
        <v>85</v>
      </c>
      <c r="AD34" s="118">
        <f>AC34</f>
        <v>85</v>
      </c>
      <c r="AE34" s="118">
        <f t="shared" ref="AE34" si="46">AD34</f>
        <v>85</v>
      </c>
      <c r="AF34" s="118">
        <f t="shared" ref="AF34" si="47">AE34</f>
        <v>85</v>
      </c>
      <c r="AG34" s="158">
        <f>SUM(AC34:AF34)</f>
        <v>340</v>
      </c>
      <c r="AH34" s="118">
        <v>85</v>
      </c>
      <c r="AI34" s="118">
        <f>AH34</f>
        <v>85</v>
      </c>
      <c r="AJ34" s="118">
        <f t="shared" ref="AJ34" si="48">AI34</f>
        <v>85</v>
      </c>
      <c r="AK34" s="118">
        <f t="shared" ref="AK34" si="49">AJ34</f>
        <v>85</v>
      </c>
      <c r="AL34" s="158">
        <f>SUM(AH34:AK34)</f>
        <v>340</v>
      </c>
      <c r="AM34" s="118">
        <v>85</v>
      </c>
      <c r="AN34" s="118">
        <f>AM34</f>
        <v>85</v>
      </c>
      <c r="AO34" s="118">
        <f t="shared" ref="AO34" si="50">AN34</f>
        <v>85</v>
      </c>
      <c r="AP34" s="118">
        <f t="shared" ref="AP34" si="51">AO34</f>
        <v>85</v>
      </c>
      <c r="AQ34" s="158">
        <f>SUM(AM34:AP34)</f>
        <v>340</v>
      </c>
    </row>
    <row r="35" spans="1:43" s="21" customFormat="1" ht="16.2" x14ac:dyDescent="0.45">
      <c r="B35" s="465" t="s">
        <v>92</v>
      </c>
      <c r="C35" s="466"/>
      <c r="D35" s="127">
        <f>D33-D34</f>
        <v>61064</v>
      </c>
      <c r="E35" s="127">
        <f>E33-E34</f>
        <v>63734</v>
      </c>
      <c r="F35" s="127">
        <f>F33-F34</f>
        <v>66497</v>
      </c>
      <c r="G35" s="133">
        <f t="shared" si="0"/>
        <v>66190</v>
      </c>
      <c r="H35" s="130">
        <f>H33-H34</f>
        <v>257485</v>
      </c>
      <c r="I35" s="130">
        <f>I33-I34</f>
        <v>31399</v>
      </c>
      <c r="J35" s="127">
        <f>J33-J34</f>
        <v>34626</v>
      </c>
      <c r="K35" s="127">
        <f>K33-K34</f>
        <v>33404</v>
      </c>
      <c r="L35" s="133">
        <f t="shared" si="29"/>
        <v>15418</v>
      </c>
      <c r="M35" s="132">
        <f>M33-M34</f>
        <v>114847</v>
      </c>
      <c r="N35" s="131">
        <f t="shared" ref="N35:Q35" si="52">N33-N34</f>
        <v>15082</v>
      </c>
      <c r="O35" s="131">
        <f t="shared" si="52"/>
        <v>16624</v>
      </c>
      <c r="P35" s="131">
        <f t="shared" si="52"/>
        <v>16730</v>
      </c>
      <c r="Q35" s="131">
        <f t="shared" si="52"/>
        <v>18191.671589333335</v>
      </c>
      <c r="R35" s="132">
        <f>R33-R34</f>
        <v>66627.671589333419</v>
      </c>
      <c r="S35" s="131">
        <f>S33-S34</f>
        <v>19346.717516799999</v>
      </c>
      <c r="T35" s="131">
        <f t="shared" ref="T35:V35" si="53">T33-T34</f>
        <v>21173.391048639998</v>
      </c>
      <c r="U35" s="131">
        <f t="shared" si="53"/>
        <v>25185.302660992005</v>
      </c>
      <c r="V35" s="131">
        <f t="shared" si="53"/>
        <v>29272.697076157601</v>
      </c>
      <c r="W35" s="132">
        <f>W33-W34</f>
        <v>94978.108302589579</v>
      </c>
      <c r="X35" s="131">
        <f>X33-X34</f>
        <v>33490.549896995719</v>
      </c>
      <c r="Y35" s="131">
        <f t="shared" ref="Y35:AA35" si="54">Y33-Y34</f>
        <v>35193.105849883621</v>
      </c>
      <c r="Z35" s="131">
        <f t="shared" si="54"/>
        <v>36982.31741560802</v>
      </c>
      <c r="AA35" s="131">
        <f t="shared" si="54"/>
        <v>38862.60140464631</v>
      </c>
      <c r="AB35" s="132">
        <f>AB33-AB34</f>
        <v>144528.57456713353</v>
      </c>
      <c r="AC35" s="131">
        <f>AC33-AC34</f>
        <v>46697.753440275046</v>
      </c>
      <c r="AD35" s="131">
        <f t="shared" ref="AD35:AF35" si="55">AD33-AD34</f>
        <v>49089.821965935866</v>
      </c>
      <c r="AE35" s="131">
        <f t="shared" si="55"/>
        <v>51604.616864830321</v>
      </c>
      <c r="AF35" s="131">
        <f t="shared" si="55"/>
        <v>54248.446217702367</v>
      </c>
      <c r="AG35" s="132">
        <f>AG33-AG34</f>
        <v>201640.6384887434</v>
      </c>
      <c r="AH35" s="131">
        <f>AH33-AH34</f>
        <v>60366.115750576995</v>
      </c>
      <c r="AI35" s="131">
        <f t="shared" ref="AI35:AK35" si="56">AI33-AI34</f>
        <v>63469.817542866847</v>
      </c>
      <c r="AJ35" s="131">
        <f t="shared" si="56"/>
        <v>66733.379205033038</v>
      </c>
      <c r="AK35" s="131">
        <f t="shared" si="56"/>
        <v>70165.050843483798</v>
      </c>
      <c r="AL35" s="132">
        <f>AL33-AL34</f>
        <v>260734.36334196085</v>
      </c>
      <c r="AM35" s="131">
        <f>AM33-AM34</f>
        <v>73773.509211158045</v>
      </c>
      <c r="AN35" s="131">
        <f t="shared" ref="AN35:AP35" si="57">AN33-AN34</f>
        <v>77567.879817618523</v>
      </c>
      <c r="AO35" s="131">
        <f t="shared" si="57"/>
        <v>81557.76018742664</v>
      </c>
      <c r="AP35" s="131">
        <f t="shared" si="57"/>
        <v>85753.244326566171</v>
      </c>
      <c r="AQ35" s="132">
        <f>AQ33-AQ34</f>
        <v>318652.39354276925</v>
      </c>
    </row>
    <row r="36" spans="1:43" s="47" customFormat="1" x14ac:dyDescent="0.3">
      <c r="B36" s="337" t="s">
        <v>164</v>
      </c>
      <c r="C36" s="341"/>
      <c r="D36" s="114">
        <v>1216</v>
      </c>
      <c r="E36" s="114">
        <v>-1024</v>
      </c>
      <c r="F36" s="114">
        <v>1431</v>
      </c>
      <c r="G36" s="114">
        <v>1582</v>
      </c>
      <c r="H36" s="117">
        <f>SUM(D36:G36)</f>
        <v>3205</v>
      </c>
      <c r="I36" s="117">
        <v>649</v>
      </c>
      <c r="J36" s="114">
        <v>777</v>
      </c>
      <c r="K36" s="114">
        <v>2020</v>
      </c>
      <c r="L36" s="114">
        <v>41</v>
      </c>
      <c r="M36" s="117">
        <f>SUM(I36:L36)</f>
        <v>3487</v>
      </c>
      <c r="N36" s="117">
        <v>604</v>
      </c>
      <c r="O36" s="114">
        <f>O26*(1-0.039)</f>
        <v>417.07400000000001</v>
      </c>
      <c r="P36" s="114"/>
      <c r="Q36" s="114"/>
      <c r="R36" s="117">
        <f>SUM(N36:Q36)</f>
        <v>1021.0740000000001</v>
      </c>
      <c r="S36" s="117"/>
      <c r="T36" s="114"/>
      <c r="U36" s="114"/>
      <c r="V36" s="114"/>
      <c r="W36" s="117">
        <f>SUM(S36:V36)</f>
        <v>0</v>
      </c>
      <c r="X36" s="117"/>
      <c r="Y36" s="114"/>
      <c r="Z36" s="114"/>
      <c r="AA36" s="114"/>
      <c r="AB36" s="117">
        <f>SUM(X36:AA36)</f>
        <v>0</v>
      </c>
      <c r="AC36" s="117"/>
      <c r="AD36" s="114"/>
      <c r="AE36" s="114"/>
      <c r="AF36" s="114"/>
      <c r="AG36" s="117">
        <f>SUM(AC36:AF36)</f>
        <v>0</v>
      </c>
      <c r="AH36" s="117"/>
      <c r="AI36" s="114"/>
      <c r="AJ36" s="114"/>
      <c r="AK36" s="114"/>
      <c r="AL36" s="116">
        <f>SUM(AH36:AK36)</f>
        <v>0</v>
      </c>
      <c r="AM36" s="117"/>
      <c r="AN36" s="114"/>
      <c r="AO36" s="114"/>
      <c r="AP36" s="114"/>
      <c r="AQ36" s="116">
        <f>SUM(AM36:AP36)</f>
        <v>0</v>
      </c>
    </row>
    <row r="37" spans="1:43" s="47" customFormat="1" x14ac:dyDescent="0.3">
      <c r="B37" s="337" t="s">
        <v>165</v>
      </c>
      <c r="C37" s="341"/>
      <c r="D37" s="114">
        <v>0</v>
      </c>
      <c r="E37" s="114">
        <v>-2242</v>
      </c>
      <c r="F37" s="114">
        <v>0</v>
      </c>
      <c r="G37" s="114">
        <v>0</v>
      </c>
      <c r="H37" s="117">
        <f>SUM(D37:G37)</f>
        <v>-2242</v>
      </c>
      <c r="I37" s="117">
        <v>0</v>
      </c>
      <c r="J37" s="114">
        <v>0</v>
      </c>
      <c r="K37" s="114">
        <v>0</v>
      </c>
      <c r="L37" s="114">
        <v>0</v>
      </c>
      <c r="M37" s="117">
        <f>SUM(I37:L37)</f>
        <v>0</v>
      </c>
      <c r="N37" s="117">
        <v>0</v>
      </c>
      <c r="O37" s="114">
        <v>-1782</v>
      </c>
      <c r="P37" s="114"/>
      <c r="Q37" s="114"/>
      <c r="R37" s="117">
        <f>SUM(N37:Q37)</f>
        <v>-1782</v>
      </c>
      <c r="S37" s="117"/>
      <c r="T37" s="114"/>
      <c r="U37" s="114"/>
      <c r="V37" s="114"/>
      <c r="W37" s="117">
        <f>SUM(S37:V37)</f>
        <v>0</v>
      </c>
      <c r="X37" s="117"/>
      <c r="Y37" s="114"/>
      <c r="Z37" s="114"/>
      <c r="AA37" s="114"/>
      <c r="AB37" s="117">
        <f>SUM(X37:AA37)</f>
        <v>0</v>
      </c>
      <c r="AC37" s="117"/>
      <c r="AD37" s="114"/>
      <c r="AE37" s="114"/>
      <c r="AF37" s="114"/>
      <c r="AG37" s="117">
        <f>SUM(AC37:AF37)</f>
        <v>0</v>
      </c>
      <c r="AH37" s="117"/>
      <c r="AI37" s="114"/>
      <c r="AJ37" s="114"/>
      <c r="AK37" s="114"/>
      <c r="AL37" s="116">
        <f>SUM(AH37:AK37)</f>
        <v>0</v>
      </c>
      <c r="AM37" s="117"/>
      <c r="AN37" s="114"/>
      <c r="AO37" s="114"/>
      <c r="AP37" s="114"/>
      <c r="AQ37" s="116">
        <f>SUM(AM37:AP37)</f>
        <v>0</v>
      </c>
    </row>
    <row r="38" spans="1:43" s="47" customFormat="1" x14ac:dyDescent="0.3">
      <c r="B38" s="337" t="s">
        <v>170</v>
      </c>
      <c r="C38" s="341"/>
      <c r="D38" s="114">
        <v>0</v>
      </c>
      <c r="E38" s="114">
        <v>0</v>
      </c>
      <c r="F38" s="114">
        <v>0</v>
      </c>
      <c r="G38" s="114">
        <v>0</v>
      </c>
      <c r="H38" s="117">
        <v>0</v>
      </c>
      <c r="I38" s="117">
        <v>0</v>
      </c>
      <c r="J38" s="114">
        <v>0</v>
      </c>
      <c r="K38" s="114">
        <v>0</v>
      </c>
      <c r="L38" s="114">
        <v>3751</v>
      </c>
      <c r="M38" s="117">
        <f>SUM(I38:L38)</f>
        <v>3751</v>
      </c>
      <c r="N38" s="117">
        <v>0</v>
      </c>
      <c r="O38" s="114">
        <v>0</v>
      </c>
      <c r="P38" s="114"/>
      <c r="Q38" s="114"/>
      <c r="R38" s="117">
        <f>SUM(N38:Q38)</f>
        <v>0</v>
      </c>
      <c r="S38" s="117"/>
      <c r="T38" s="114"/>
      <c r="U38" s="114"/>
      <c r="V38" s="114"/>
      <c r="W38" s="117">
        <f>SUM(S38:V38)</f>
        <v>0</v>
      </c>
      <c r="X38" s="117"/>
      <c r="Y38" s="114"/>
      <c r="Z38" s="114"/>
      <c r="AA38" s="114"/>
      <c r="AB38" s="117">
        <f>SUM(X38:AA38)</f>
        <v>0</v>
      </c>
      <c r="AC38" s="117"/>
      <c r="AD38" s="114"/>
      <c r="AE38" s="114"/>
      <c r="AF38" s="114"/>
      <c r="AG38" s="117">
        <f>SUM(AC38:AF38)</f>
        <v>0</v>
      </c>
      <c r="AH38" s="117"/>
      <c r="AI38" s="114"/>
      <c r="AJ38" s="114"/>
      <c r="AK38" s="114"/>
      <c r="AL38" s="116">
        <f>SUM(AH38:AK38)</f>
        <v>0</v>
      </c>
      <c r="AM38" s="117"/>
      <c r="AN38" s="114"/>
      <c r="AO38" s="114"/>
      <c r="AP38" s="114"/>
      <c r="AQ38" s="116">
        <f>SUM(AM38:AP38)</f>
        <v>0</v>
      </c>
    </row>
    <row r="39" spans="1:43" s="47" customFormat="1" x14ac:dyDescent="0.3">
      <c r="B39" s="337" t="s">
        <v>166</v>
      </c>
      <c r="C39" s="341"/>
      <c r="D39" s="114">
        <v>0</v>
      </c>
      <c r="E39" s="114">
        <v>0</v>
      </c>
      <c r="F39" s="114">
        <v>0</v>
      </c>
      <c r="G39" s="114">
        <v>0</v>
      </c>
      <c r="H39" s="117">
        <f>SUM(D39:G39)</f>
        <v>0</v>
      </c>
      <c r="I39" s="117">
        <v>5459</v>
      </c>
      <c r="J39" s="114">
        <v>0</v>
      </c>
      <c r="K39" s="114">
        <v>0</v>
      </c>
      <c r="L39" s="114">
        <v>8456</v>
      </c>
      <c r="M39" s="117">
        <f>SUM(I39:L39)</f>
        <v>13915</v>
      </c>
      <c r="N39" s="117">
        <v>0</v>
      </c>
      <c r="O39" s="114">
        <v>0</v>
      </c>
      <c r="P39" s="114"/>
      <c r="Q39" s="114"/>
      <c r="R39" s="117">
        <f>SUM(N39:Q39)</f>
        <v>0</v>
      </c>
      <c r="S39" s="117"/>
      <c r="T39" s="114"/>
      <c r="U39" s="114"/>
      <c r="V39" s="114"/>
      <c r="W39" s="117">
        <f>SUM(S39:V39)</f>
        <v>0</v>
      </c>
      <c r="X39" s="117"/>
      <c r="Y39" s="114"/>
      <c r="Z39" s="114"/>
      <c r="AA39" s="114"/>
      <c r="AB39" s="117">
        <f>SUM(X39:AA39)</f>
        <v>0</v>
      </c>
      <c r="AC39" s="117"/>
      <c r="AD39" s="114"/>
      <c r="AE39" s="114"/>
      <c r="AF39" s="114"/>
      <c r="AG39" s="117">
        <f>SUM(AC39:AF39)</f>
        <v>0</v>
      </c>
      <c r="AH39" s="117"/>
      <c r="AI39" s="114"/>
      <c r="AJ39" s="114"/>
      <c r="AK39" s="114"/>
      <c r="AL39" s="116">
        <f>SUM(AH39:AK39)</f>
        <v>0</v>
      </c>
      <c r="AM39" s="117"/>
      <c r="AN39" s="114"/>
      <c r="AO39" s="114"/>
      <c r="AP39" s="114"/>
      <c r="AQ39" s="116">
        <f>SUM(AM39:AP39)</f>
        <v>0</v>
      </c>
    </row>
    <row r="40" spans="1:43" s="47" customFormat="1" ht="16.2" x14ac:dyDescent="0.45">
      <c r="B40" s="340" t="s">
        <v>167</v>
      </c>
      <c r="C40" s="341"/>
      <c r="D40" s="131">
        <f>D35+SUM(D36:D39)</f>
        <v>62280</v>
      </c>
      <c r="E40" s="131">
        <f t="shared" ref="E40:M40" si="58">E35+SUM(E36:E39)</f>
        <v>60468</v>
      </c>
      <c r="F40" s="131">
        <f t="shared" si="58"/>
        <v>67928</v>
      </c>
      <c r="G40" s="131">
        <f t="shared" si="58"/>
        <v>67772</v>
      </c>
      <c r="H40" s="130">
        <f t="shared" si="58"/>
        <v>258448</v>
      </c>
      <c r="I40" s="399">
        <f t="shared" si="58"/>
        <v>37507</v>
      </c>
      <c r="J40" s="131">
        <f t="shared" si="58"/>
        <v>35403</v>
      </c>
      <c r="K40" s="131">
        <f t="shared" si="58"/>
        <v>35424</v>
      </c>
      <c r="L40" s="131">
        <f>L35+SUM(L36:L39)</f>
        <v>27666</v>
      </c>
      <c r="M40" s="130">
        <f t="shared" si="58"/>
        <v>136000</v>
      </c>
      <c r="N40" s="399">
        <f>N35+SUM(N36:N39)</f>
        <v>15686</v>
      </c>
      <c r="O40" s="131">
        <f>O35+SUM(O36:O39)</f>
        <v>15259.074000000001</v>
      </c>
      <c r="P40" s="131">
        <f>P35+SUM(P36:P39)</f>
        <v>16730</v>
      </c>
      <c r="Q40" s="131">
        <f>Q16*Q98</f>
        <v>18299.671589333335</v>
      </c>
      <c r="R40" s="130">
        <f>SUM(N40:Q40)</f>
        <v>65974.745589333339</v>
      </c>
      <c r="S40" s="399">
        <f>S16*S98</f>
        <v>19431.717516799999</v>
      </c>
      <c r="T40" s="131">
        <f>T16*T98</f>
        <v>21258.391048639998</v>
      </c>
      <c r="U40" s="131">
        <f>U16*U98</f>
        <v>25270.302660992002</v>
      </c>
      <c r="V40" s="131">
        <f>V16*V98</f>
        <v>29357.697076157601</v>
      </c>
      <c r="W40" s="130">
        <f>SUM(S40:V40)</f>
        <v>95318.108302589593</v>
      </c>
      <c r="X40" s="399">
        <f>X16*X98</f>
        <v>33575.549896995719</v>
      </c>
      <c r="Y40" s="131">
        <f>Y16*Y98</f>
        <v>35278.105849883621</v>
      </c>
      <c r="Z40" s="131">
        <f>Z16*Z98</f>
        <v>37067.31741560802</v>
      </c>
      <c r="AA40" s="131">
        <f>AA16*AA98</f>
        <v>38947.60140464631</v>
      </c>
      <c r="AB40" s="130">
        <f>SUM(X40:AA40)</f>
        <v>144868.57456713368</v>
      </c>
      <c r="AC40" s="399">
        <f>AC16*AC98</f>
        <v>46782.753440275046</v>
      </c>
      <c r="AD40" s="131">
        <f>AD16*AD98</f>
        <v>49174.821965935866</v>
      </c>
      <c r="AE40" s="131">
        <f>AE16*AE98</f>
        <v>51689.616864830321</v>
      </c>
      <c r="AF40" s="131">
        <f>AF16*AF98</f>
        <v>54333.446217702367</v>
      </c>
      <c r="AG40" s="130">
        <f>SUM(AC40:AF40)</f>
        <v>201980.63848874357</v>
      </c>
      <c r="AH40" s="399">
        <f>AH16*AH98</f>
        <v>60451.115750576995</v>
      </c>
      <c r="AI40" s="131">
        <f>AI16*AI98</f>
        <v>63554.817542866847</v>
      </c>
      <c r="AJ40" s="131">
        <f>AJ16*AJ98</f>
        <v>66818.379205033038</v>
      </c>
      <c r="AK40" s="131">
        <f>AK16*AK98</f>
        <v>70250.050843483798</v>
      </c>
      <c r="AL40" s="132">
        <f>SUM(AH40:AK40)</f>
        <v>261074.36334196068</v>
      </c>
      <c r="AM40" s="399">
        <f>AM16*AM98</f>
        <v>73858.509211158045</v>
      </c>
      <c r="AN40" s="131">
        <f>AN16*AN98</f>
        <v>77652.879817618523</v>
      </c>
      <c r="AO40" s="131">
        <f>AO16*AO98</f>
        <v>81642.76018742664</v>
      </c>
      <c r="AP40" s="131">
        <f>AP16*AP98</f>
        <v>85838.244326566171</v>
      </c>
      <c r="AQ40" s="132">
        <f>SUM(AM40:AP40)</f>
        <v>318992.39354276937</v>
      </c>
    </row>
    <row r="41" spans="1:43" s="47" customFormat="1" x14ac:dyDescent="0.3">
      <c r="A41"/>
      <c r="B41" s="490" t="s">
        <v>59</v>
      </c>
      <c r="C41" s="491"/>
      <c r="D41" s="114"/>
      <c r="E41" s="114"/>
      <c r="F41" s="114"/>
      <c r="G41" s="126">
        <f>H41-(F41+E41+D41)</f>
        <v>0</v>
      </c>
      <c r="H41" s="51"/>
      <c r="I41" s="50"/>
      <c r="J41" s="52"/>
      <c r="K41" s="52"/>
      <c r="L41" s="52"/>
      <c r="M41" s="51"/>
      <c r="N41" s="52"/>
      <c r="O41" s="52"/>
      <c r="P41" s="52"/>
      <c r="Q41" s="52"/>
      <c r="R41" s="51"/>
      <c r="S41" s="52"/>
      <c r="T41" s="52"/>
      <c r="U41" s="52"/>
      <c r="V41" s="52"/>
      <c r="W41" s="51"/>
      <c r="X41" s="52"/>
      <c r="Y41" s="52"/>
      <c r="Z41" s="52"/>
      <c r="AA41" s="52"/>
      <c r="AB41" s="51"/>
      <c r="AC41" s="52"/>
      <c r="AD41" s="52"/>
      <c r="AE41" s="52"/>
      <c r="AF41" s="52"/>
      <c r="AG41" s="51"/>
      <c r="AH41" s="52"/>
      <c r="AI41" s="52"/>
      <c r="AJ41" s="52"/>
      <c r="AK41" s="52"/>
      <c r="AL41" s="51"/>
      <c r="AM41" s="52"/>
      <c r="AN41" s="52"/>
      <c r="AO41" s="52"/>
      <c r="AP41" s="52"/>
      <c r="AQ41" s="51"/>
    </row>
    <row r="42" spans="1:43" s="47" customFormat="1" ht="15.75" customHeight="1" x14ac:dyDescent="0.3">
      <c r="A42"/>
      <c r="B42" s="451" t="s">
        <v>60</v>
      </c>
      <c r="C42" s="452"/>
      <c r="D42" s="32">
        <f t="shared" ref="D42:M42" si="59">D35/D45</f>
        <v>1.3597577269083458</v>
      </c>
      <c r="E42" s="32">
        <f t="shared" si="59"/>
        <v>1.4270935960591133</v>
      </c>
      <c r="F42" s="32">
        <f t="shared" si="59"/>
        <v>1.5060925892371806</v>
      </c>
      <c r="G42" s="32">
        <f t="shared" si="59"/>
        <v>1.4920427392813669</v>
      </c>
      <c r="H42" s="49">
        <f t="shared" si="59"/>
        <v>5.7847477974766877</v>
      </c>
      <c r="I42" s="49">
        <f t="shared" si="59"/>
        <v>0.72448084910013844</v>
      </c>
      <c r="J42" s="32">
        <f t="shared" si="59"/>
        <v>0.80920775882215468</v>
      </c>
      <c r="K42" s="32">
        <f t="shared" si="59"/>
        <v>0.78566220570595291</v>
      </c>
      <c r="L42" s="32">
        <f t="shared" si="59"/>
        <v>0.36068028165719229</v>
      </c>
      <c r="M42" s="30">
        <f t="shared" si="59"/>
        <v>2.679885279037916</v>
      </c>
      <c r="N42" s="29">
        <f t="shared" ref="N42:P42" si="60">N35/N45</f>
        <v>0.35587541293062763</v>
      </c>
      <c r="O42" s="29">
        <f t="shared" si="60"/>
        <v>0.38395269880130262</v>
      </c>
      <c r="P42" s="167">
        <f t="shared" si="60"/>
        <v>0.37927907503967356</v>
      </c>
      <c r="Q42" s="301">
        <f>Q35/Q45</f>
        <v>0.4043294524236053</v>
      </c>
      <c r="R42" s="342">
        <f>R35/R45</f>
        <v>1.5226949027352494</v>
      </c>
      <c r="S42" s="301">
        <f t="shared" ref="S42:V42" si="61">S35/S45</f>
        <v>0.43216240154546942</v>
      </c>
      <c r="T42" s="343">
        <f t="shared" si="61"/>
        <v>0.47534291758830971</v>
      </c>
      <c r="U42" s="343">
        <f t="shared" si="61"/>
        <v>0.56825164619001622</v>
      </c>
      <c r="V42" s="343">
        <f t="shared" si="61"/>
        <v>0.66379379135037087</v>
      </c>
      <c r="W42" s="342">
        <f>W35/W45</f>
        <v>2.1394839825738483</v>
      </c>
      <c r="X42" s="301">
        <f t="shared" ref="X42:AA42" si="62">X35/X45</f>
        <v>0.76325497753603988</v>
      </c>
      <c r="Y42" s="343">
        <f t="shared" si="62"/>
        <v>0.8060869341156951</v>
      </c>
      <c r="Z42" s="343">
        <f t="shared" si="62"/>
        <v>0.85132488230269709</v>
      </c>
      <c r="AA42" s="343">
        <f t="shared" si="62"/>
        <v>0.899104130355182</v>
      </c>
      <c r="AB42" s="342">
        <f>AB35/AB45</f>
        <v>3.3196668798462956</v>
      </c>
      <c r="AC42" s="301">
        <f t="shared" ref="AC42:AF42" si="63">AC35/AC45</f>
        <v>1.0858029857623612</v>
      </c>
      <c r="AD42" s="343">
        <f t="shared" si="63"/>
        <v>1.1471584805267492</v>
      </c>
      <c r="AE42" s="343">
        <f t="shared" si="63"/>
        <v>1.2119855452995789</v>
      </c>
      <c r="AF42" s="343">
        <f t="shared" si="63"/>
        <v>1.2804809010676452</v>
      </c>
      <c r="AG42" s="342">
        <f>AG35/AG45</f>
        <v>4.7252798182702405</v>
      </c>
      <c r="AH42" s="301">
        <f t="shared" ref="AH42:AK42" si="64">AH35/AH45</f>
        <v>1.4320426509943369</v>
      </c>
      <c r="AI42" s="343">
        <f t="shared" si="64"/>
        <v>1.5132367847582526</v>
      </c>
      <c r="AJ42" s="343">
        <f t="shared" si="64"/>
        <v>1.5990412830179459</v>
      </c>
      <c r="AK42" s="343">
        <f t="shared" si="64"/>
        <v>1.6897183590441998</v>
      </c>
      <c r="AL42" s="342">
        <f>AL35/AL45</f>
        <v>6.2338437066950432</v>
      </c>
      <c r="AM42" s="301">
        <f t="shared" ref="AM42:AP42" si="65">AM35/AM45</f>
        <v>1.785545164657323</v>
      </c>
      <c r="AN42" s="343">
        <f t="shared" si="65"/>
        <v>1.8868146427709447</v>
      </c>
      <c r="AO42" s="343">
        <f t="shared" si="65"/>
        <v>1.9938364286771106</v>
      </c>
      <c r="AP42" s="343">
        <f t="shared" si="65"/>
        <v>2.1069378028643664</v>
      </c>
      <c r="AQ42" s="342">
        <f>AQ35/AQ45</f>
        <v>7.7728904338680751</v>
      </c>
    </row>
    <row r="43" spans="1:43" s="47" customFormat="1" ht="15.75" customHeight="1" x14ac:dyDescent="0.3">
      <c r="A43" s="40"/>
      <c r="B43" s="451" t="s">
        <v>61</v>
      </c>
      <c r="C43" s="452"/>
      <c r="D43" s="32">
        <f t="shared" ref="D43:M43" si="66">D35/D46</f>
        <v>1.351511663936966</v>
      </c>
      <c r="E43" s="32">
        <f t="shared" si="66"/>
        <v>1.4191494099309732</v>
      </c>
      <c r="F43" s="32">
        <f t="shared" si="66"/>
        <v>1.4983213537324531</v>
      </c>
      <c r="G43" s="32">
        <f t="shared" si="66"/>
        <v>1.4840807174887893</v>
      </c>
      <c r="H43" s="49">
        <f t="shared" si="66"/>
        <v>5.7528006949853676</v>
      </c>
      <c r="I43" s="49">
        <f t="shared" si="66"/>
        <v>0.72238071136060367</v>
      </c>
      <c r="J43" s="32">
        <f t="shared" si="66"/>
        <v>0.8060243487976908</v>
      </c>
      <c r="K43" s="32">
        <f t="shared" si="66"/>
        <v>0.78256998945765488</v>
      </c>
      <c r="L43" s="32">
        <f t="shared" si="66"/>
        <v>0.35932693204064509</v>
      </c>
      <c r="M43" s="30">
        <f t="shared" si="66"/>
        <v>2.6701729450063958</v>
      </c>
      <c r="N43" s="29">
        <f t="shared" ref="N43:P43" si="67">N35/N46</f>
        <v>0.35470366886171212</v>
      </c>
      <c r="O43" s="29">
        <f t="shared" si="67"/>
        <v>0.38211699804620158</v>
      </c>
      <c r="P43" s="167">
        <f t="shared" si="67"/>
        <v>0.37748194945848373</v>
      </c>
      <c r="Q43" s="301">
        <f>Q35/Q46</f>
        <v>0.40241363146221187</v>
      </c>
      <c r="R43" s="342">
        <f t="shared" ref="R43:V43" si="68">R35/R46</f>
        <v>1.5159459528638133</v>
      </c>
      <c r="S43" s="301">
        <f t="shared" si="68"/>
        <v>0.43011470063561946</v>
      </c>
      <c r="T43" s="343">
        <f t="shared" si="68"/>
        <v>0.47309061585785966</v>
      </c>
      <c r="U43" s="343">
        <f t="shared" si="68"/>
        <v>0.56555911808306891</v>
      </c>
      <c r="V43" s="343">
        <f t="shared" si="68"/>
        <v>0.66064855903575936</v>
      </c>
      <c r="W43" s="342">
        <f t="shared" ref="W43:AA43" si="69">W35/W46</f>
        <v>2.1293465359055155</v>
      </c>
      <c r="X43" s="301">
        <f t="shared" si="69"/>
        <v>0.75963847155042219</v>
      </c>
      <c r="Y43" s="343">
        <f t="shared" si="69"/>
        <v>0.80226747887733074</v>
      </c>
      <c r="Z43" s="343">
        <f t="shared" si="69"/>
        <v>0.84729107758059485</v>
      </c>
      <c r="AA43" s="343">
        <f t="shared" si="69"/>
        <v>0.89484393479167579</v>
      </c>
      <c r="AB43" s="342">
        <f t="shared" ref="AB43:AL43" si="70">AB35/AB46</f>
        <v>3.3039374113271678</v>
      </c>
      <c r="AC43" s="301">
        <f t="shared" si="70"/>
        <v>1.0806581611457071</v>
      </c>
      <c r="AD43" s="343">
        <f t="shared" si="70"/>
        <v>1.1417229371849029</v>
      </c>
      <c r="AE43" s="343">
        <f t="shared" si="70"/>
        <v>1.2062428340064173</v>
      </c>
      <c r="AF43" s="343">
        <f t="shared" si="70"/>
        <v>1.2744136404804562</v>
      </c>
      <c r="AG43" s="342">
        <f t="shared" si="70"/>
        <v>4.7028901801421537</v>
      </c>
      <c r="AH43" s="301">
        <f t="shared" si="70"/>
        <v>1.4252572503465746</v>
      </c>
      <c r="AI43" s="343">
        <f t="shared" si="70"/>
        <v>1.5060666646138654</v>
      </c>
      <c r="AJ43" s="343">
        <f t="shared" si="70"/>
        <v>1.5914645982383029</v>
      </c>
      <c r="AK43" s="343">
        <f t="shared" si="70"/>
        <v>1.6817120220541437</v>
      </c>
      <c r="AL43" s="342">
        <f t="shared" si="70"/>
        <v>6.2043060898537519</v>
      </c>
      <c r="AM43" s="301">
        <f t="shared" ref="AM43:AQ43" si="71">AM35/AM46</f>
        <v>1.7770847746623313</v>
      </c>
      <c r="AN43" s="343">
        <f t="shared" si="71"/>
        <v>1.8778744109347105</v>
      </c>
      <c r="AO43" s="343">
        <f t="shared" si="71"/>
        <v>1.9843890990285955</v>
      </c>
      <c r="AP43" s="343">
        <f t="shared" si="71"/>
        <v>2.0969545686901445</v>
      </c>
      <c r="AQ43" s="342">
        <f t="shared" si="71"/>
        <v>7.7360604024801614</v>
      </c>
    </row>
    <row r="44" spans="1:43" s="47" customFormat="1" ht="15.75" customHeight="1" x14ac:dyDescent="0.3">
      <c r="B44" s="451" t="s">
        <v>168</v>
      </c>
      <c r="C44" s="452"/>
      <c r="D44" s="32">
        <f>D40/D46+0.07</f>
        <v>1.4484250365189677</v>
      </c>
      <c r="E44" s="32">
        <f t="shared" ref="E44:H44" si="72">E40/E46</f>
        <v>1.3464261857047428</v>
      </c>
      <c r="F44" s="32">
        <f t="shared" si="72"/>
        <v>1.5305648813681529</v>
      </c>
      <c r="G44" s="32">
        <f>G40/G46</f>
        <v>1.5195515695067265</v>
      </c>
      <c r="H44" s="30">
        <f t="shared" si="72"/>
        <v>5.7743163058724907</v>
      </c>
      <c r="I44" s="49">
        <f>I40/I46</f>
        <v>0.86290433902360464</v>
      </c>
      <c r="J44" s="32">
        <f t="shared" ref="J44:M44" si="73">J40/J46</f>
        <v>0.82411136199632207</v>
      </c>
      <c r="K44" s="32">
        <f t="shared" si="73"/>
        <v>0.8298934051774628</v>
      </c>
      <c r="L44" s="32">
        <f t="shared" si="73"/>
        <v>0.64477486715763965</v>
      </c>
      <c r="M44" s="30">
        <f t="shared" si="73"/>
        <v>3.1619765472399788</v>
      </c>
      <c r="N44" s="49">
        <f>N40/N46</f>
        <v>0.36890874882408281</v>
      </c>
      <c r="O44" s="32">
        <f t="shared" ref="O44:P44" si="74">O40/O46</f>
        <v>0.3507429950580393</v>
      </c>
      <c r="P44" s="32">
        <f t="shared" si="74"/>
        <v>0.37748194945848373</v>
      </c>
      <c r="Q44" s="32">
        <f>Q40/Q46</f>
        <v>0.40480267372171497</v>
      </c>
      <c r="R44" s="30">
        <f t="shared" ref="R44:V44" si="75">R40/R46</f>
        <v>1.5010902554694869</v>
      </c>
      <c r="S44" s="49">
        <f t="shared" si="75"/>
        <v>0.43200441394343414</v>
      </c>
      <c r="T44" s="32">
        <f t="shared" si="75"/>
        <v>0.4749898252124472</v>
      </c>
      <c r="U44" s="32">
        <f t="shared" si="75"/>
        <v>0.56746787120325737</v>
      </c>
      <c r="V44" s="32">
        <f t="shared" si="75"/>
        <v>0.66256690388016992</v>
      </c>
      <c r="W44" s="30">
        <f t="shared" ref="W44:AA44" si="76">W40/W46</f>
        <v>2.1369691116247682</v>
      </c>
      <c r="X44" s="49">
        <f t="shared" si="76"/>
        <v>0.76156645631867403</v>
      </c>
      <c r="Y44" s="32">
        <f t="shared" si="76"/>
        <v>0.8042051520112522</v>
      </c>
      <c r="Z44" s="32">
        <f t="shared" si="76"/>
        <v>0.84923848776544053</v>
      </c>
      <c r="AA44" s="32">
        <f t="shared" si="76"/>
        <v>0.89680113095734981</v>
      </c>
      <c r="AB44" s="30">
        <f t="shared" ref="AB44:AL44" si="77">AB40/AB46</f>
        <v>3.3117098447246196</v>
      </c>
      <c r="AC44" s="49">
        <f t="shared" si="77"/>
        <v>1.0826251924679926</v>
      </c>
      <c r="AD44" s="32">
        <f t="shared" si="77"/>
        <v>1.1436998530866973</v>
      </c>
      <c r="AE44" s="32">
        <f t="shared" si="77"/>
        <v>1.2082296841589746</v>
      </c>
      <c r="AF44" s="32">
        <f t="shared" si="77"/>
        <v>1.2764104748046343</v>
      </c>
      <c r="AG44" s="30">
        <f t="shared" si="77"/>
        <v>4.7108200432552305</v>
      </c>
      <c r="AH44" s="49">
        <f t="shared" si="77"/>
        <v>1.4272641190140904</v>
      </c>
      <c r="AI44" s="32">
        <f t="shared" si="77"/>
        <v>1.5080836180485546</v>
      </c>
      <c r="AJ44" s="32">
        <f t="shared" si="77"/>
        <v>1.5934916871173874</v>
      </c>
      <c r="AK44" s="32">
        <f t="shared" si="77"/>
        <v>1.6837492973095052</v>
      </c>
      <c r="AL44" s="30">
        <f t="shared" si="77"/>
        <v>6.2123965618709853</v>
      </c>
      <c r="AM44" s="49">
        <f t="shared" ref="AM44:AQ44" si="78">AM40/AM46</f>
        <v>1.7791322874817899</v>
      </c>
      <c r="AN44" s="32">
        <f t="shared" si="78"/>
        <v>1.8799322127633122</v>
      </c>
      <c r="AO44" s="32">
        <f t="shared" si="78"/>
        <v>1.9864572415699038</v>
      </c>
      <c r="AP44" s="32">
        <f t="shared" si="78"/>
        <v>2.0990331039075398</v>
      </c>
      <c r="AQ44" s="30">
        <f t="shared" si="78"/>
        <v>7.7443147278520845</v>
      </c>
    </row>
    <row r="45" spans="1:43" s="77" customFormat="1" ht="15.75" customHeight="1" x14ac:dyDescent="0.3">
      <c r="A45" s="41"/>
      <c r="B45" s="490" t="s">
        <v>62</v>
      </c>
      <c r="C45" s="491"/>
      <c r="D45" s="114">
        <v>44908</v>
      </c>
      <c r="E45" s="114">
        <v>44660</v>
      </c>
      <c r="F45" s="114">
        <v>44152</v>
      </c>
      <c r="G45" s="126">
        <v>44362</v>
      </c>
      <c r="H45" s="214">
        <f>(D45*D35/H35)+(E45*E35/H35)+(F45*F35/H35)+(G45*G35/H35)</f>
        <v>44511.015694118105</v>
      </c>
      <c r="I45" s="117">
        <v>43340</v>
      </c>
      <c r="J45" s="118">
        <v>42790</v>
      </c>
      <c r="K45" s="118">
        <v>42517</v>
      </c>
      <c r="L45" s="118">
        <v>42747</v>
      </c>
      <c r="M45" s="214">
        <f>(I45*I35/M35)+(J45*J35/M35)+(K45*K35/M35)+(L45*L35/M35)</f>
        <v>42855.19268243837</v>
      </c>
      <c r="N45" s="118">
        <v>42380</v>
      </c>
      <c r="O45" s="118">
        <v>43297</v>
      </c>
      <c r="P45" s="166">
        <v>44110</v>
      </c>
      <c r="Q45" s="118">
        <f>P45*(1+Q100)</f>
        <v>44992.200000000004</v>
      </c>
      <c r="R45" s="214">
        <f>(N45*N35/R35)+(O45*O35/R35)+(P45*P35/R35)+(Q45*Q35/R35)</f>
        <v>43756.41598960416</v>
      </c>
      <c r="S45" s="118">
        <f>Q45*(1+S100)</f>
        <v>44767.239000000001</v>
      </c>
      <c r="T45" s="118">
        <f t="shared" ref="T45:V45" si="79">S45*(1+T100)</f>
        <v>44543.402804999998</v>
      </c>
      <c r="U45" s="118">
        <f t="shared" si="79"/>
        <v>44320.685790974996</v>
      </c>
      <c r="V45" s="118">
        <f t="shared" si="79"/>
        <v>44099.082362020119</v>
      </c>
      <c r="W45" s="116">
        <f>(S45*S35/W35)+(T45*T35/W35)+(U45*U35/W35)+(V45*V35/W35)</f>
        <v>44392.998066911787</v>
      </c>
      <c r="X45" s="118">
        <f>V45*(1+X100)</f>
        <v>43878.586950210018</v>
      </c>
      <c r="Y45" s="118">
        <f t="shared" ref="Y45:AA45" si="80">X45*(1+Y100)</f>
        <v>43659.194015458968</v>
      </c>
      <c r="Z45" s="118">
        <f t="shared" si="80"/>
        <v>43440.898045381677</v>
      </c>
      <c r="AA45" s="118">
        <f t="shared" si="80"/>
        <v>43223.693555154765</v>
      </c>
      <c r="AB45" s="116">
        <f>(X45*X35/AB35)+(Y45*Y35/AB35)+(Z45*Z35/AB35)+(AA45*AA35/AB35)</f>
        <v>43537.071579249954</v>
      </c>
      <c r="AC45" s="118">
        <f>AA45*(1+AC100)</f>
        <v>43007.575087378988</v>
      </c>
      <c r="AD45" s="118">
        <f t="shared" ref="AD45:AF45" si="81">AC45*(1+AD100)</f>
        <v>42792.537211942094</v>
      </c>
      <c r="AE45" s="118">
        <f t="shared" si="81"/>
        <v>42578.574525882381</v>
      </c>
      <c r="AF45" s="118">
        <f t="shared" si="81"/>
        <v>42365.68165325297</v>
      </c>
      <c r="AG45" s="116">
        <f>(AC45*AC35/AG35)+(AD45*AD35/AG35)+(AE45*AE35/AG35)+(AF45*AF35/AG35)</f>
        <v>42672.740291294955</v>
      </c>
      <c r="AH45" s="118">
        <f>AF45*(1+AH100)</f>
        <v>42153.853244986705</v>
      </c>
      <c r="AI45" s="118">
        <f t="shared" ref="AI45:AK45" si="82">AH45*(1+AI100)</f>
        <v>41943.083978761773</v>
      </c>
      <c r="AJ45" s="118">
        <f t="shared" si="82"/>
        <v>41733.368558867965</v>
      </c>
      <c r="AK45" s="118">
        <f t="shared" si="82"/>
        <v>41524.701716073629</v>
      </c>
      <c r="AL45" s="214">
        <f>(AH45*AH35/AL35)+(AI45*AI35/AL35)+(AJ45*AJ35/AL35)+(AK45*AK35/AL35)</f>
        <v>41825.617646130035</v>
      </c>
      <c r="AM45" s="118">
        <f>AK45*(1+AM100)</f>
        <v>41317.078207493258</v>
      </c>
      <c r="AN45" s="118">
        <f t="shared" ref="AN45:AP45" si="83">AM45*(1+AN100)</f>
        <v>41110.492816455793</v>
      </c>
      <c r="AO45" s="118">
        <f t="shared" si="83"/>
        <v>40904.940352373516</v>
      </c>
      <c r="AP45" s="118">
        <f t="shared" si="83"/>
        <v>40700.415650611649</v>
      </c>
      <c r="AQ45" s="214">
        <f>(AM45*AM35/AQ35)+(AN45*AN35/AQ35)+(AO45*AO35/AQ35)+(AP45*AP35/AQ35)</f>
        <v>40995.353820290009</v>
      </c>
    </row>
    <row r="46" spans="1:43" s="47" customFormat="1" x14ac:dyDescent="0.3">
      <c r="A46"/>
      <c r="B46" s="490" t="s">
        <v>63</v>
      </c>
      <c r="C46" s="491"/>
      <c r="D46" s="114">
        <v>45182</v>
      </c>
      <c r="E46" s="114">
        <v>44910</v>
      </c>
      <c r="F46" s="114">
        <v>44381</v>
      </c>
      <c r="G46" s="126">
        <v>44600</v>
      </c>
      <c r="H46" s="116">
        <f>(D46*D35/H35)+(E46*E35/H35)+(F46*F35/H35)+(G46*G35/H35)</f>
        <v>44758.199293162703</v>
      </c>
      <c r="I46" s="117">
        <v>43466</v>
      </c>
      <c r="J46" s="118">
        <v>42959</v>
      </c>
      <c r="K46" s="118">
        <v>42685</v>
      </c>
      <c r="L46" s="118">
        <v>42908</v>
      </c>
      <c r="M46" s="214">
        <f>(I46*I35/M35)+(J46*J35/M35)+(K46*K35/M35)+(L46*L35/M35)</f>
        <v>43011.071704093272</v>
      </c>
      <c r="N46" s="118">
        <v>42520</v>
      </c>
      <c r="O46" s="118">
        <v>43505</v>
      </c>
      <c r="P46" s="166">
        <v>44320</v>
      </c>
      <c r="Q46" s="118">
        <f>P46*(1+Q101)</f>
        <v>45206.400000000001</v>
      </c>
      <c r="R46" s="116">
        <f>(N46*N35/R35)+(O46*O35/R35)+(P46*P35/R35)+(Q46*Q35/R35)</f>
        <v>43951.218355420482</v>
      </c>
      <c r="S46" s="118">
        <f>Q46*(1+S101)</f>
        <v>44980.368000000002</v>
      </c>
      <c r="T46" s="118">
        <f>S46*(1+T101)</f>
        <v>44755.466160000004</v>
      </c>
      <c r="U46" s="118">
        <f>T46*(1+U101)</f>
        <v>44531.6888292</v>
      </c>
      <c r="V46" s="118">
        <f>U46*(1+V101)</f>
        <v>44309.030385054</v>
      </c>
      <c r="W46" s="116">
        <f>(S46*S35/W35)+(T46*T35/W35)+(U46*U35/W35)+(V46*V35/W35)</f>
        <v>44604.345371243042</v>
      </c>
      <c r="X46" s="118">
        <f>V46*(1+X101)</f>
        <v>44087.485233128733</v>
      </c>
      <c r="Y46" s="118">
        <f>X46*(1+Y101)</f>
        <v>43867.047806963092</v>
      </c>
      <c r="Z46" s="118">
        <f>Y46*(1+Z101)</f>
        <v>43647.712567928276</v>
      </c>
      <c r="AA46" s="118">
        <f>Z46*(1+AA101)</f>
        <v>43429.474005088632</v>
      </c>
      <c r="AB46" s="116">
        <f>(X46*X35/AB35)+(Y46*Y35/AB35)+(Z46*Z35/AB35)+(AA46*AA35/AB35)</f>
        <v>43744.343967181099</v>
      </c>
      <c r="AC46" s="118">
        <f>AA46*(1+AC101)</f>
        <v>43212.326635063189</v>
      </c>
      <c r="AD46" s="118">
        <f>AC46*(1+AD101)</f>
        <v>42996.26500188787</v>
      </c>
      <c r="AE46" s="118">
        <f>AD46*(1+AE101)</f>
        <v>42781.283676878433</v>
      </c>
      <c r="AF46" s="118">
        <f>AE46*(1+AF101)</f>
        <v>42567.377258494038</v>
      </c>
      <c r="AG46" s="116">
        <f>(AC46*AC35/AG35)+(AD46*AD35/AG35)+(AE46*AE35/AG35)+(AF46*AF35/AG35)</f>
        <v>42875.897749040872</v>
      </c>
      <c r="AH46" s="118">
        <f>AF46*(1+AH101)</f>
        <v>42354.540372201569</v>
      </c>
      <c r="AI46" s="118">
        <f>AH46*(1+AI101)</f>
        <v>42142.76767034056</v>
      </c>
      <c r="AJ46" s="118">
        <f>AI46*(1+AJ101)</f>
        <v>41932.053831988858</v>
      </c>
      <c r="AK46" s="118">
        <f>AJ46*(1+AK101)</f>
        <v>41722.393562828911</v>
      </c>
      <c r="AL46" s="214">
        <f>(AH46*AH35/AL35)+(AI46*AI35/AL35)+(AJ46*AJ35/AL35)+(AK46*AK35/AL35)</f>
        <v>42024.742101031137</v>
      </c>
      <c r="AM46" s="118">
        <f>AK46*(1+AM101)</f>
        <v>41513.781595014763</v>
      </c>
      <c r="AN46" s="118">
        <f>AM46*(1+AN101)</f>
        <v>41306.21268703969</v>
      </c>
      <c r="AO46" s="118">
        <f>AN46*(1+AO101)</f>
        <v>41099.681623604491</v>
      </c>
      <c r="AP46" s="118">
        <f>AO46*(1+AP101)</f>
        <v>40894.183215486468</v>
      </c>
      <c r="AQ46" s="214">
        <f>(AM46*AM35/AQ35)+(AN46*AN35/AQ35)+(AO46*AO35/AQ35)+(AP46*AP35/AQ35)</f>
        <v>41190.525534238346</v>
      </c>
    </row>
    <row r="47" spans="1:43" s="77" customFormat="1" x14ac:dyDescent="0.3">
      <c r="B47" s="338" t="s">
        <v>64</v>
      </c>
      <c r="C47" s="349"/>
      <c r="D47" s="400">
        <f>-D194/D46</f>
        <v>0.49778672922845379</v>
      </c>
      <c r="E47" s="400">
        <f>-E194/E46</f>
        <v>0.49979959919839678</v>
      </c>
      <c r="F47" s="400">
        <f>-F194/F46</f>
        <v>0.50057457019895901</v>
      </c>
      <c r="G47" s="401">
        <f>-G194/G46</f>
        <v>0.49183856502242151</v>
      </c>
      <c r="H47" s="30">
        <f>SUM(D47:G47)</f>
        <v>1.9899994636482312</v>
      </c>
      <c r="I47" s="29">
        <f>-I194/I46</f>
        <v>0.5507753186398564</v>
      </c>
      <c r="J47" s="29">
        <f>-J194/J46</f>
        <v>0.54861612234921675</v>
      </c>
      <c r="K47" s="29">
        <f>-K194/K46</f>
        <v>0.54878763031509903</v>
      </c>
      <c r="L47" s="29">
        <f>-L194/L46</f>
        <v>0.54306889158198934</v>
      </c>
      <c r="M47" s="30">
        <f>SUM(I47:L47)</f>
        <v>2.1912479628861616</v>
      </c>
      <c r="N47" s="29">
        <f>-N194/N46</f>
        <v>0.54811853245531517</v>
      </c>
      <c r="O47" s="29">
        <f>-O194/O46</f>
        <v>0.53603034134007588</v>
      </c>
      <c r="P47" s="29">
        <f>-P194/P46</f>
        <v>0.54731498194945849</v>
      </c>
      <c r="Q47" s="29">
        <v>0.55000000000000004</v>
      </c>
      <c r="R47" s="30">
        <f>SUM(N47:Q47)</f>
        <v>2.1814638557448496</v>
      </c>
      <c r="S47" s="29">
        <f>Q47</f>
        <v>0.55000000000000004</v>
      </c>
      <c r="T47" s="29">
        <f>S47</f>
        <v>0.55000000000000004</v>
      </c>
      <c r="U47" s="29">
        <f t="shared" ref="U47:V47" si="84">T47</f>
        <v>0.55000000000000004</v>
      </c>
      <c r="V47" s="29">
        <f t="shared" si="84"/>
        <v>0.55000000000000004</v>
      </c>
      <c r="W47" s="30">
        <f>SUM(S47:V47)</f>
        <v>2.2000000000000002</v>
      </c>
      <c r="X47" s="29">
        <f>V47</f>
        <v>0.55000000000000004</v>
      </c>
      <c r="Y47" s="29">
        <f>X47</f>
        <v>0.55000000000000004</v>
      </c>
      <c r="Z47" s="29">
        <f t="shared" ref="Z47:AA47" si="85">Y47</f>
        <v>0.55000000000000004</v>
      </c>
      <c r="AA47" s="29">
        <f t="shared" si="85"/>
        <v>0.55000000000000004</v>
      </c>
      <c r="AB47" s="30">
        <f>SUM(X47:AA47)</f>
        <v>2.2000000000000002</v>
      </c>
      <c r="AC47" s="29">
        <f>AA47</f>
        <v>0.55000000000000004</v>
      </c>
      <c r="AD47" s="29">
        <f>AC47</f>
        <v>0.55000000000000004</v>
      </c>
      <c r="AE47" s="29">
        <f t="shared" ref="AE47:AF47" si="86">AD47</f>
        <v>0.55000000000000004</v>
      </c>
      <c r="AF47" s="29">
        <f t="shared" si="86"/>
        <v>0.55000000000000004</v>
      </c>
      <c r="AG47" s="30">
        <f>SUM(AC47:AF47)</f>
        <v>2.2000000000000002</v>
      </c>
      <c r="AH47" s="29">
        <f>AF47</f>
        <v>0.55000000000000004</v>
      </c>
      <c r="AI47" s="29">
        <f>AH47</f>
        <v>0.55000000000000004</v>
      </c>
      <c r="AJ47" s="29">
        <f t="shared" ref="AJ47:AK47" si="87">AI47</f>
        <v>0.55000000000000004</v>
      </c>
      <c r="AK47" s="29">
        <f t="shared" si="87"/>
        <v>0.55000000000000004</v>
      </c>
      <c r="AL47" s="30">
        <f>SUM(AH47:AK47)</f>
        <v>2.2000000000000002</v>
      </c>
      <c r="AM47" s="29">
        <f>AK47</f>
        <v>0.55000000000000004</v>
      </c>
      <c r="AN47" s="29">
        <f>AM47</f>
        <v>0.55000000000000004</v>
      </c>
      <c r="AO47" s="29">
        <f t="shared" ref="AO47" si="88">AN47</f>
        <v>0.55000000000000004</v>
      </c>
      <c r="AP47" s="29">
        <f t="shared" ref="AP47" si="89">AO47</f>
        <v>0.55000000000000004</v>
      </c>
      <c r="AQ47" s="30">
        <f>SUM(AM47:AP47)</f>
        <v>2.2000000000000002</v>
      </c>
    </row>
    <row r="48" spans="1:43" x14ac:dyDescent="0.3">
      <c r="B48" s="17"/>
      <c r="C48" s="20"/>
      <c r="D48" s="45">
        <f>ROUND(D14+D15-(D52+D60+D68+D76),0)</f>
        <v>0</v>
      </c>
      <c r="E48" s="45">
        <f>ROUND(E14+E15-(E52+E60+E68+E76),0)</f>
        <v>0</v>
      </c>
      <c r="F48" s="45">
        <f>ROUND(F14+F15-(F52+F60+F68+F76),0)</f>
        <v>0</v>
      </c>
      <c r="G48" s="45">
        <f>ROUND(G14+G15-(G52+G60+G68+G76),0)</f>
        <v>0</v>
      </c>
      <c r="H48" s="45"/>
      <c r="I48" s="45">
        <f>ROUND(I14+I15-(I52+I60+I68+I76),0)</f>
        <v>0</v>
      </c>
      <c r="J48" s="45">
        <f>ROUND(J14+J15-(J52+J60+J68+J76),0)</f>
        <v>0</v>
      </c>
      <c r="K48" s="45">
        <f>ROUND(K14+K15-(K52+K60+K68+K76),0)</f>
        <v>0</v>
      </c>
      <c r="L48" s="45">
        <f>ROUND(L14+L15-(L52+L60+L68+L76),0)</f>
        <v>0</v>
      </c>
      <c r="M48" s="45"/>
      <c r="N48" s="45">
        <f>ROUND(N14+N15-(N52+N60+N68+N76),0)</f>
        <v>0</v>
      </c>
      <c r="O48" s="45">
        <f>ROUND(O14+O15-(O52+O60+O68+O76),0)</f>
        <v>0</v>
      </c>
      <c r="P48" s="45">
        <f>ROUND(P14+P15-(P52+P60+P68+P76),0)</f>
        <v>0</v>
      </c>
      <c r="Q48" s="45">
        <f>ROUND(Q16-(Q52+Q60+Q68+Q76),0)</f>
        <v>0</v>
      </c>
      <c r="R48" s="45"/>
      <c r="S48" s="45">
        <f t="shared" ref="S48:AK48" si="90">ROUND(S16-(S52+S60+S68+S76),0)</f>
        <v>0</v>
      </c>
      <c r="T48" s="45">
        <f t="shared" si="90"/>
        <v>0</v>
      </c>
      <c r="U48" s="45">
        <f t="shared" si="90"/>
        <v>0</v>
      </c>
      <c r="V48" s="45">
        <f t="shared" si="90"/>
        <v>0</v>
      </c>
      <c r="W48" s="45"/>
      <c r="X48" s="45">
        <f t="shared" si="90"/>
        <v>0</v>
      </c>
      <c r="Y48" s="45">
        <f t="shared" si="90"/>
        <v>0</v>
      </c>
      <c r="Z48" s="45">
        <f t="shared" si="90"/>
        <v>0</v>
      </c>
      <c r="AA48" s="45">
        <f t="shared" si="90"/>
        <v>0</v>
      </c>
      <c r="AB48" s="45"/>
      <c r="AC48" s="45">
        <f t="shared" si="90"/>
        <v>0</v>
      </c>
      <c r="AD48" s="45">
        <f t="shared" si="90"/>
        <v>0</v>
      </c>
      <c r="AE48" s="45">
        <f t="shared" si="90"/>
        <v>0</v>
      </c>
      <c r="AF48" s="45">
        <f t="shared" si="90"/>
        <v>0</v>
      </c>
      <c r="AG48" s="45"/>
      <c r="AH48" s="45">
        <f t="shared" si="90"/>
        <v>0</v>
      </c>
      <c r="AI48" s="45">
        <f t="shared" si="90"/>
        <v>0</v>
      </c>
      <c r="AJ48" s="45">
        <f t="shared" si="90"/>
        <v>0</v>
      </c>
      <c r="AK48" s="45">
        <f t="shared" si="90"/>
        <v>0</v>
      </c>
      <c r="AL48" s="45"/>
      <c r="AM48" s="45">
        <f t="shared" ref="AM48:AP48" si="91">ROUND(AM16-(AM52+AM60+AM68+AM76),0)</f>
        <v>0</v>
      </c>
      <c r="AN48" s="45">
        <f t="shared" si="91"/>
        <v>0</v>
      </c>
      <c r="AO48" s="45">
        <f t="shared" si="91"/>
        <v>0</v>
      </c>
      <c r="AP48" s="45">
        <f t="shared" si="91"/>
        <v>0</v>
      </c>
      <c r="AQ48" s="45"/>
    </row>
    <row r="49" spans="2:43 16379:16379" ht="15.6" x14ac:dyDescent="0.3">
      <c r="B49" s="477" t="s">
        <v>17</v>
      </c>
      <c r="C49" s="492"/>
      <c r="D49" s="229" t="s">
        <v>3</v>
      </c>
      <c r="E49" s="42" t="s">
        <v>2</v>
      </c>
      <c r="F49" s="42" t="s">
        <v>1</v>
      </c>
      <c r="G49" s="135" t="s">
        <v>4</v>
      </c>
      <c r="H49" s="246" t="s">
        <v>4</v>
      </c>
      <c r="I49" s="42" t="s">
        <v>5</v>
      </c>
      <c r="J49" s="42" t="s">
        <v>6</v>
      </c>
      <c r="K49" s="42" t="s">
        <v>7</v>
      </c>
      <c r="L49" s="42" t="s">
        <v>9</v>
      </c>
      <c r="M49" s="246" t="s">
        <v>9</v>
      </c>
      <c r="N49" s="229" t="s">
        <v>10</v>
      </c>
      <c r="O49" s="42" t="s">
        <v>11</v>
      </c>
      <c r="P49" s="42" t="s">
        <v>12</v>
      </c>
      <c r="Q49" s="46" t="s">
        <v>8</v>
      </c>
      <c r="R49" s="237" t="s">
        <v>8</v>
      </c>
      <c r="S49" s="238" t="s">
        <v>13</v>
      </c>
      <c r="T49" s="44" t="s">
        <v>14</v>
      </c>
      <c r="U49" s="44" t="s">
        <v>15</v>
      </c>
      <c r="V49" s="46" t="s">
        <v>16</v>
      </c>
      <c r="W49" s="237" t="s">
        <v>16</v>
      </c>
      <c r="X49" s="238" t="s">
        <v>197</v>
      </c>
      <c r="Y49" s="44" t="s">
        <v>198</v>
      </c>
      <c r="Z49" s="44" t="s">
        <v>199</v>
      </c>
      <c r="AA49" s="46" t="s">
        <v>200</v>
      </c>
      <c r="AB49" s="237" t="s">
        <v>200</v>
      </c>
      <c r="AC49" s="238" t="s">
        <v>201</v>
      </c>
      <c r="AD49" s="44" t="s">
        <v>202</v>
      </c>
      <c r="AE49" s="44" t="s">
        <v>203</v>
      </c>
      <c r="AF49" s="46" t="s">
        <v>204</v>
      </c>
      <c r="AG49" s="237" t="s">
        <v>204</v>
      </c>
      <c r="AH49" s="238" t="s">
        <v>205</v>
      </c>
      <c r="AI49" s="44" t="s">
        <v>206</v>
      </c>
      <c r="AJ49" s="44" t="s">
        <v>207</v>
      </c>
      <c r="AK49" s="46" t="s">
        <v>208</v>
      </c>
      <c r="AL49" s="237" t="s">
        <v>208</v>
      </c>
      <c r="AM49" s="238" t="s">
        <v>295</v>
      </c>
      <c r="AN49" s="44" t="s">
        <v>297</v>
      </c>
      <c r="AO49" s="44" t="s">
        <v>299</v>
      </c>
      <c r="AP49" s="46" t="s">
        <v>301</v>
      </c>
      <c r="AQ49" s="237" t="s">
        <v>301</v>
      </c>
    </row>
    <row r="50" spans="2:43 16379:16379" ht="16.2" x14ac:dyDescent="0.45">
      <c r="B50" s="475" t="s">
        <v>118</v>
      </c>
      <c r="C50" s="479"/>
      <c r="D50" s="239" t="s">
        <v>23</v>
      </c>
      <c r="E50" s="243" t="s">
        <v>24</v>
      </c>
      <c r="F50" s="243" t="s">
        <v>25</v>
      </c>
      <c r="G50" s="240" t="s">
        <v>26</v>
      </c>
      <c r="H50" s="247" t="s">
        <v>18</v>
      </c>
      <c r="I50" s="43" t="s">
        <v>27</v>
      </c>
      <c r="J50" s="43" t="s">
        <v>28</v>
      </c>
      <c r="K50" s="43" t="s">
        <v>37</v>
      </c>
      <c r="L50" s="43" t="s">
        <v>41</v>
      </c>
      <c r="M50" s="247" t="s">
        <v>42</v>
      </c>
      <c r="N50" s="239" t="s">
        <v>29</v>
      </c>
      <c r="O50" s="243" t="s">
        <v>30</v>
      </c>
      <c r="P50" s="243" t="s">
        <v>31</v>
      </c>
      <c r="Q50" s="245" t="s">
        <v>32</v>
      </c>
      <c r="R50" s="242" t="s">
        <v>19</v>
      </c>
      <c r="S50" s="244" t="s">
        <v>33</v>
      </c>
      <c r="T50" s="241" t="s">
        <v>34</v>
      </c>
      <c r="U50" s="241" t="s">
        <v>35</v>
      </c>
      <c r="V50" s="245" t="s">
        <v>36</v>
      </c>
      <c r="W50" s="242" t="s">
        <v>20</v>
      </c>
      <c r="X50" s="244" t="s">
        <v>209</v>
      </c>
      <c r="Y50" s="241" t="s">
        <v>210</v>
      </c>
      <c r="Z50" s="241" t="s">
        <v>211</v>
      </c>
      <c r="AA50" s="245" t="s">
        <v>212</v>
      </c>
      <c r="AB50" s="242" t="s">
        <v>213</v>
      </c>
      <c r="AC50" s="244" t="s">
        <v>214</v>
      </c>
      <c r="AD50" s="241" t="s">
        <v>215</v>
      </c>
      <c r="AE50" s="241" t="s">
        <v>216</v>
      </c>
      <c r="AF50" s="245" t="s">
        <v>217</v>
      </c>
      <c r="AG50" s="242" t="s">
        <v>218</v>
      </c>
      <c r="AH50" s="244" t="s">
        <v>219</v>
      </c>
      <c r="AI50" s="241" t="s">
        <v>220</v>
      </c>
      <c r="AJ50" s="241" t="s">
        <v>221</v>
      </c>
      <c r="AK50" s="245" t="s">
        <v>222</v>
      </c>
      <c r="AL50" s="242" t="s">
        <v>223</v>
      </c>
      <c r="AM50" s="244" t="s">
        <v>296</v>
      </c>
      <c r="AN50" s="241" t="s">
        <v>298</v>
      </c>
      <c r="AO50" s="241" t="s">
        <v>300</v>
      </c>
      <c r="AP50" s="245" t="s">
        <v>302</v>
      </c>
      <c r="AQ50" s="242" t="s">
        <v>303</v>
      </c>
    </row>
    <row r="51" spans="2:43 16379:16379" s="47" customFormat="1" ht="14.55" customHeight="1" outlineLevel="1" x14ac:dyDescent="0.3">
      <c r="B51" s="271" t="s">
        <v>174</v>
      </c>
      <c r="C51" s="153"/>
      <c r="D51" s="33"/>
      <c r="E51" s="25"/>
      <c r="F51" s="25"/>
      <c r="G51" s="25"/>
      <c r="H51" s="156"/>
      <c r="I51" s="25"/>
      <c r="J51" s="25"/>
      <c r="K51" s="25"/>
      <c r="L51" s="25"/>
      <c r="M51" s="31"/>
      <c r="N51" s="25"/>
      <c r="O51" s="25"/>
      <c r="P51" s="25"/>
      <c r="Q51" s="25"/>
      <c r="R51" s="31"/>
      <c r="S51" s="25"/>
      <c r="T51" s="25"/>
      <c r="U51" s="25"/>
      <c r="V51" s="25"/>
      <c r="W51" s="31"/>
      <c r="X51" s="25"/>
      <c r="Y51" s="25"/>
      <c r="Z51" s="25"/>
      <c r="AA51" s="25"/>
      <c r="AB51" s="31"/>
      <c r="AC51" s="25"/>
      <c r="AD51" s="25"/>
      <c r="AE51" s="25"/>
      <c r="AF51" s="25"/>
      <c r="AG51" s="31"/>
      <c r="AH51" s="25"/>
      <c r="AI51" s="25"/>
      <c r="AJ51" s="25"/>
      <c r="AK51" s="25"/>
      <c r="AL51" s="31"/>
      <c r="AM51" s="25"/>
      <c r="AN51" s="25"/>
      <c r="AO51" s="25"/>
      <c r="AP51" s="25"/>
      <c r="AQ51" s="31"/>
    </row>
    <row r="52" spans="2:43 16379:16379" s="47" customFormat="1" ht="14.55" customHeight="1" outlineLevel="1" x14ac:dyDescent="0.3">
      <c r="B52" s="154" t="s">
        <v>171</v>
      </c>
      <c r="C52" s="170"/>
      <c r="D52" s="264">
        <v>125256</v>
      </c>
      <c r="E52" s="264">
        <v>130589</v>
      </c>
      <c r="F52" s="264">
        <v>131380</v>
      </c>
      <c r="G52" s="264">
        <f>H52-SUM(D52:F52)</f>
        <v>131749</v>
      </c>
      <c r="H52" s="265">
        <v>518974</v>
      </c>
      <c r="I52" s="264">
        <v>121759</v>
      </c>
      <c r="J52" s="264">
        <v>118911</v>
      </c>
      <c r="K52" s="264">
        <v>117943</v>
      </c>
      <c r="L52" s="264">
        <f>M52-SUM(I52:K52)</f>
        <v>114759</v>
      </c>
      <c r="M52" s="265">
        <v>473372</v>
      </c>
      <c r="N52" s="264">
        <v>101549</v>
      </c>
      <c r="O52" s="264">
        <v>102962</v>
      </c>
      <c r="P52" s="264">
        <v>100267</v>
      </c>
      <c r="Q52" s="264">
        <f>P52*(1+Q53)</f>
        <v>100267</v>
      </c>
      <c r="R52" s="265"/>
      <c r="S52" s="302">
        <f>Q52*(1+S53)</f>
        <v>102272.34</v>
      </c>
      <c r="T52" s="302">
        <f t="shared" ref="T52:V52" si="92">S52*(1+T53)</f>
        <v>107385.95699999999</v>
      </c>
      <c r="U52" s="302">
        <f t="shared" si="92"/>
        <v>112755.25485</v>
      </c>
      <c r="V52" s="302">
        <f t="shared" si="92"/>
        <v>118393.01759250001</v>
      </c>
      <c r="W52" s="265"/>
      <c r="X52" s="302">
        <f>V52*(1+X53)</f>
        <v>124312.66847212502</v>
      </c>
      <c r="Y52" s="302">
        <f t="shared" ref="Y52" si="93">X52*(1+Y53)</f>
        <v>130528.30189573127</v>
      </c>
      <c r="Z52" s="302">
        <f t="shared" ref="Z52" si="94">Y52*(1+Z53)</f>
        <v>137054.71699051783</v>
      </c>
      <c r="AA52" s="302">
        <f t="shared" ref="AA52" si="95">Z52*(1+AA53)</f>
        <v>143907.45284004373</v>
      </c>
      <c r="AB52" s="265"/>
      <c r="AC52" s="302">
        <f>AA52*(1+AC53)</f>
        <v>151102.82548204591</v>
      </c>
      <c r="AD52" s="302">
        <f t="shared" ref="AD52" si="96">AC52*(1+AD53)</f>
        <v>158657.96675614821</v>
      </c>
      <c r="AE52" s="302">
        <f t="shared" ref="AE52" si="97">AD52*(1+AE53)</f>
        <v>166590.86509395562</v>
      </c>
      <c r="AF52" s="302">
        <f t="shared" ref="AF52" si="98">AE52*(1+AF53)</f>
        <v>174920.40834865341</v>
      </c>
      <c r="AG52" s="265"/>
      <c r="AH52" s="302">
        <f>AF52*(1+AH53)</f>
        <v>183666.42876608609</v>
      </c>
      <c r="AI52" s="302">
        <f t="shared" ref="AI52" si="99">AH52*(1+AI53)</f>
        <v>192849.75020439041</v>
      </c>
      <c r="AJ52" s="302">
        <f t="shared" ref="AJ52" si="100">AI52*(1+AJ53)</f>
        <v>202492.23771460995</v>
      </c>
      <c r="AK52" s="302">
        <f t="shared" ref="AK52" si="101">AJ52*(1+AK53)</f>
        <v>212616.84960034044</v>
      </c>
      <c r="AL52" s="26"/>
      <c r="AM52" s="302">
        <f>AK52*(1+AM53)</f>
        <v>223247.69208035746</v>
      </c>
      <c r="AN52" s="302">
        <f t="shared" ref="AN52" si="102">AM52*(1+AN53)</f>
        <v>234410.07668437535</v>
      </c>
      <c r="AO52" s="302">
        <f t="shared" ref="AO52" si="103">AN52*(1+AO53)</f>
        <v>246130.58051859413</v>
      </c>
      <c r="AP52" s="302">
        <f t="shared" ref="AP52" si="104">AO52*(1+AP53)</f>
        <v>258437.10954452385</v>
      </c>
      <c r="AQ52" s="26"/>
    </row>
    <row r="53" spans="2:43 16379:16379" s="47" customFormat="1" ht="14.55" customHeight="1" outlineLevel="1" x14ac:dyDescent="0.3">
      <c r="B53" s="496" t="s">
        <v>183</v>
      </c>
      <c r="C53" s="497"/>
      <c r="D53" s="272">
        <f>D52/(522251-386000)-1</f>
        <v>-8.069665543739124E-2</v>
      </c>
      <c r="E53" s="272">
        <f>E52/D52-1</f>
        <v>4.2576802708053973E-2</v>
      </c>
      <c r="F53" s="272">
        <f>F52/E52-1</f>
        <v>6.0571717372825962E-3</v>
      </c>
      <c r="G53" s="272">
        <f>G52/F52-1</f>
        <v>2.8086466737706761E-3</v>
      </c>
      <c r="H53" s="273"/>
      <c r="I53" s="272">
        <f>I52/G52-1</f>
        <v>-7.5826002474402077E-2</v>
      </c>
      <c r="J53" s="272">
        <f>J52/I52-1</f>
        <v>-2.3390468055749514E-2</v>
      </c>
      <c r="K53" s="272">
        <f>K52/J52-1</f>
        <v>-8.140542086098046E-3</v>
      </c>
      <c r="L53" s="272">
        <f>L52/K52-1</f>
        <v>-2.6996091332253669E-2</v>
      </c>
      <c r="M53" s="273"/>
      <c r="N53" s="272">
        <f>N52/L52-1</f>
        <v>-0.1151107974102249</v>
      </c>
      <c r="O53" s="272">
        <f>O52/N52-1</f>
        <v>1.3914464938108662E-2</v>
      </c>
      <c r="P53" s="272">
        <f>P52/O52-1</f>
        <v>-2.6174705231056139E-2</v>
      </c>
      <c r="Q53" s="272">
        <v>0</v>
      </c>
      <c r="R53" s="273"/>
      <c r="S53" s="282">
        <v>0.02</v>
      </c>
      <c r="T53" s="282">
        <v>0.05</v>
      </c>
      <c r="U53" s="298">
        <v>0.05</v>
      </c>
      <c r="V53" s="298">
        <f>U53</f>
        <v>0.05</v>
      </c>
      <c r="W53" s="273"/>
      <c r="X53" s="282">
        <v>0.05</v>
      </c>
      <c r="Y53" s="282">
        <f>X53</f>
        <v>0.05</v>
      </c>
      <c r="Z53" s="282">
        <f>Y53</f>
        <v>0.05</v>
      </c>
      <c r="AA53" s="282">
        <f>Z53</f>
        <v>0.05</v>
      </c>
      <c r="AB53" s="273"/>
      <c r="AC53" s="282">
        <f>AA53</f>
        <v>0.05</v>
      </c>
      <c r="AD53" s="282">
        <f>AC53</f>
        <v>0.05</v>
      </c>
      <c r="AE53" s="282">
        <f>AD53</f>
        <v>0.05</v>
      </c>
      <c r="AF53" s="282">
        <f>AE53</f>
        <v>0.05</v>
      </c>
      <c r="AG53" s="273"/>
      <c r="AH53" s="282">
        <f>AF53</f>
        <v>0.05</v>
      </c>
      <c r="AI53" s="282">
        <f>AH53</f>
        <v>0.05</v>
      </c>
      <c r="AJ53" s="282">
        <f>AI53</f>
        <v>0.05</v>
      </c>
      <c r="AK53" s="282">
        <f>AJ53</f>
        <v>0.05</v>
      </c>
      <c r="AL53" s="273"/>
      <c r="AM53" s="282">
        <f>AK53</f>
        <v>0.05</v>
      </c>
      <c r="AN53" s="282">
        <f>AM53</f>
        <v>0.05</v>
      </c>
      <c r="AO53" s="282">
        <f>AN53</f>
        <v>0.05</v>
      </c>
      <c r="AP53" s="282">
        <f>AO53</f>
        <v>0.05</v>
      </c>
      <c r="AQ53" s="273"/>
      <c r="XEY53" s="272"/>
    </row>
    <row r="54" spans="2:43 16379:16379" s="47" customFormat="1" ht="14.55" customHeight="1" outlineLevel="1" x14ac:dyDescent="0.3">
      <c r="B54" s="154" t="s">
        <v>172</v>
      </c>
      <c r="C54" s="170"/>
      <c r="D54" s="264">
        <v>34853</v>
      </c>
      <c r="E54" s="264">
        <v>36341</v>
      </c>
      <c r="F54" s="264">
        <v>35377</v>
      </c>
      <c r="G54" s="264">
        <f>H54-SUM(D54:F54)</f>
        <v>37053</v>
      </c>
      <c r="H54" s="265">
        <v>143624</v>
      </c>
      <c r="I54" s="264">
        <v>28530</v>
      </c>
      <c r="J54" s="264">
        <v>30944</v>
      </c>
      <c r="K54" s="264">
        <v>30338</v>
      </c>
      <c r="L54" s="264">
        <f>M54-SUM(I54:K54)</f>
        <v>21220</v>
      </c>
      <c r="M54" s="265">
        <v>111032</v>
      </c>
      <c r="N54" s="264">
        <v>18220</v>
      </c>
      <c r="O54" s="264">
        <v>19209</v>
      </c>
      <c r="P54" s="264">
        <v>20395</v>
      </c>
      <c r="Q54" s="264">
        <f>Q52*Q55</f>
        <v>20053.400000000001</v>
      </c>
      <c r="R54" s="265"/>
      <c r="S54" s="302">
        <f>S52*S55</f>
        <v>24545.361599999997</v>
      </c>
      <c r="T54" s="302">
        <f>T52*T55</f>
        <v>26846.489249999999</v>
      </c>
      <c r="U54" s="302">
        <f>U52*U55</f>
        <v>29316.366260999999</v>
      </c>
      <c r="V54" s="357">
        <f>V52*V55</f>
        <v>31966.114749975004</v>
      </c>
      <c r="W54" s="264"/>
      <c r="X54" s="358">
        <f>X52*X55</f>
        <v>34807.547172195009</v>
      </c>
      <c r="Y54" s="302">
        <f t="shared" ref="Y54:AJ54" si="105">Y52*Y55</f>
        <v>36547.924530804761</v>
      </c>
      <c r="Z54" s="302">
        <f t="shared" si="105"/>
        <v>38375.320757344998</v>
      </c>
      <c r="AA54" s="357">
        <f t="shared" si="105"/>
        <v>40294.08679521225</v>
      </c>
      <c r="AB54" s="264"/>
      <c r="AC54" s="358">
        <f t="shared" si="105"/>
        <v>45330.847644613772</v>
      </c>
      <c r="AD54" s="302">
        <f t="shared" si="105"/>
        <v>47597.390026844463</v>
      </c>
      <c r="AE54" s="302">
        <f t="shared" si="105"/>
        <v>49977.259528186689</v>
      </c>
      <c r="AF54" s="357">
        <f t="shared" si="105"/>
        <v>52476.122504596024</v>
      </c>
      <c r="AG54" s="264"/>
      <c r="AH54" s="358">
        <f t="shared" si="105"/>
        <v>55099.928629825823</v>
      </c>
      <c r="AI54" s="302">
        <f t="shared" si="105"/>
        <v>57854.925061317124</v>
      </c>
      <c r="AJ54" s="302">
        <f t="shared" si="105"/>
        <v>60747.671314382984</v>
      </c>
      <c r="AK54" s="302">
        <f>AK52*AK55</f>
        <v>63785.054880102129</v>
      </c>
      <c r="AL54" s="26"/>
      <c r="AM54" s="358">
        <f t="shared" ref="AM54:AO54" si="106">AM52*AM55</f>
        <v>66974.307624107241</v>
      </c>
      <c r="AN54" s="302">
        <f t="shared" si="106"/>
        <v>70323.0230053126</v>
      </c>
      <c r="AO54" s="302">
        <f t="shared" si="106"/>
        <v>73839.174155578236</v>
      </c>
      <c r="AP54" s="302">
        <f>AP52*AP55</f>
        <v>77531.132863357154</v>
      </c>
      <c r="AQ54" s="26"/>
    </row>
    <row r="55" spans="2:43 16379:16379" s="47" customFormat="1" ht="14.55" customHeight="1" outlineLevel="1" x14ac:dyDescent="0.3">
      <c r="B55" s="276" t="s">
        <v>196</v>
      </c>
      <c r="C55" s="275"/>
      <c r="D55" s="272">
        <f>D54/D52</f>
        <v>0.27825413553043365</v>
      </c>
      <c r="E55" s="272">
        <f>E54/E52</f>
        <v>0.27828530733829038</v>
      </c>
      <c r="F55" s="272">
        <f>F54/F52</f>
        <v>0.26927233977774395</v>
      </c>
      <c r="G55" s="272">
        <f>G54/G52</f>
        <v>0.28123932629469672</v>
      </c>
      <c r="H55" s="273"/>
      <c r="I55" s="272">
        <f>I54/I52</f>
        <v>0.23431532781970943</v>
      </c>
      <c r="J55" s="272">
        <f>J54/J52</f>
        <v>0.26022823792584371</v>
      </c>
      <c r="K55" s="272">
        <f>K54/K52</f>
        <v>0.25722594812748534</v>
      </c>
      <c r="L55" s="272">
        <f>L54/L52</f>
        <v>0.18490924459083818</v>
      </c>
      <c r="M55" s="273"/>
      <c r="N55" s="272">
        <f>N54/N52</f>
        <v>0.17942077223803288</v>
      </c>
      <c r="O55" s="272">
        <f>O54/O52</f>
        <v>0.18656397505875955</v>
      </c>
      <c r="P55" s="272">
        <f>P54/P52</f>
        <v>0.20340690356747484</v>
      </c>
      <c r="Q55" s="279">
        <v>0.2</v>
      </c>
      <c r="R55" s="273"/>
      <c r="S55" s="282">
        <v>0.24</v>
      </c>
      <c r="T55" s="282">
        <v>0.25</v>
      </c>
      <c r="U55" s="282">
        <v>0.26</v>
      </c>
      <c r="V55" s="282">
        <v>0.27</v>
      </c>
      <c r="W55" s="273"/>
      <c r="X55" s="282">
        <v>0.28000000000000003</v>
      </c>
      <c r="Y55" s="282">
        <f>X55</f>
        <v>0.28000000000000003</v>
      </c>
      <c r="Z55" s="282">
        <f>Y55</f>
        <v>0.28000000000000003</v>
      </c>
      <c r="AA55" s="282">
        <f>Z55</f>
        <v>0.28000000000000003</v>
      </c>
      <c r="AB55" s="273"/>
      <c r="AC55" s="282">
        <v>0.3</v>
      </c>
      <c r="AD55" s="282">
        <f>AC55</f>
        <v>0.3</v>
      </c>
      <c r="AE55" s="282">
        <f>AD55</f>
        <v>0.3</v>
      </c>
      <c r="AF55" s="282">
        <f>AE55</f>
        <v>0.3</v>
      </c>
      <c r="AG55" s="273"/>
      <c r="AH55" s="282">
        <f>AF55</f>
        <v>0.3</v>
      </c>
      <c r="AI55" s="282">
        <f>AH55</f>
        <v>0.3</v>
      </c>
      <c r="AJ55" s="282">
        <f>AI55</f>
        <v>0.3</v>
      </c>
      <c r="AK55" s="282">
        <f>AJ55</f>
        <v>0.3</v>
      </c>
      <c r="AL55" s="273"/>
      <c r="AM55" s="282">
        <f>AK55</f>
        <v>0.3</v>
      </c>
      <c r="AN55" s="282">
        <f>AM55</f>
        <v>0.3</v>
      </c>
      <c r="AO55" s="282">
        <f>AN55</f>
        <v>0.3</v>
      </c>
      <c r="AP55" s="282">
        <f>AO55</f>
        <v>0.3</v>
      </c>
      <c r="AQ55" s="273"/>
    </row>
    <row r="56" spans="2:43 16379:16379" s="47" customFormat="1" ht="14.55" customHeight="1" outlineLevel="1" x14ac:dyDescent="0.3">
      <c r="B56" s="154" t="s">
        <v>173</v>
      </c>
      <c r="C56" s="170"/>
      <c r="D56" s="264">
        <v>325139</v>
      </c>
      <c r="E56" s="266">
        <v>318370</v>
      </c>
      <c r="F56" s="266">
        <v>317741</v>
      </c>
      <c r="G56" s="266">
        <f>H56</f>
        <v>319325</v>
      </c>
      <c r="H56" s="265">
        <v>319325</v>
      </c>
      <c r="I56" s="266">
        <v>312126</v>
      </c>
      <c r="J56" s="266">
        <v>330417</v>
      </c>
      <c r="K56" s="266">
        <v>334892</v>
      </c>
      <c r="L56" s="266">
        <f>M56</f>
        <v>326182</v>
      </c>
      <c r="M56" s="265">
        <v>326182</v>
      </c>
      <c r="N56" s="266">
        <v>316705</v>
      </c>
      <c r="O56" s="266">
        <v>309308</v>
      </c>
      <c r="P56" s="266">
        <v>308739</v>
      </c>
      <c r="Q56" s="266"/>
      <c r="R56" s="265"/>
      <c r="S56" s="264"/>
      <c r="T56" s="264"/>
      <c r="U56" s="264"/>
      <c r="V56" s="264"/>
      <c r="W56" s="48"/>
      <c r="X56" s="264"/>
      <c r="Y56" s="264"/>
      <c r="Z56" s="264"/>
      <c r="AA56" s="264"/>
      <c r="AB56" s="48"/>
      <c r="AC56" s="264"/>
      <c r="AD56" s="264"/>
      <c r="AE56" s="264"/>
      <c r="AF56" s="264"/>
      <c r="AG56" s="48"/>
      <c r="AH56" s="264"/>
      <c r="AI56" s="264"/>
      <c r="AJ56" s="264"/>
      <c r="AK56" s="264"/>
      <c r="AL56" s="48"/>
      <c r="AM56" s="264"/>
      <c r="AN56" s="264"/>
      <c r="AO56" s="264"/>
      <c r="AP56" s="264"/>
      <c r="AQ56" s="48"/>
    </row>
    <row r="57" spans="2:43 16379:16379" s="78" customFormat="1" ht="14.55" customHeight="1" outlineLevel="1" x14ac:dyDescent="0.3">
      <c r="B57" s="154" t="s">
        <v>136</v>
      </c>
      <c r="C57" s="152"/>
      <c r="D57" s="264">
        <v>4816</v>
      </c>
      <c r="E57" s="264">
        <v>6280</v>
      </c>
      <c r="F57" s="264">
        <v>4577</v>
      </c>
      <c r="G57" s="264">
        <f>H57-SUM(D57:F57)</f>
        <v>5698</v>
      </c>
      <c r="H57" s="265">
        <v>21371</v>
      </c>
      <c r="I57" s="264">
        <v>4437</v>
      </c>
      <c r="J57" s="264">
        <v>4297</v>
      </c>
      <c r="K57" s="264">
        <v>5224</v>
      </c>
      <c r="L57" s="264">
        <f>M57-SUM(I57:K57)</f>
        <v>3891</v>
      </c>
      <c r="M57" s="265">
        <v>17849</v>
      </c>
      <c r="N57" s="264">
        <v>2074</v>
      </c>
      <c r="O57" s="264">
        <v>2266</v>
      </c>
      <c r="P57" s="264">
        <v>2012</v>
      </c>
      <c r="Q57" s="264"/>
      <c r="R57" s="265"/>
      <c r="S57" s="264"/>
      <c r="T57" s="264"/>
      <c r="U57" s="264"/>
      <c r="V57" s="264"/>
      <c r="W57" s="26"/>
      <c r="X57" s="264"/>
      <c r="Y57" s="264"/>
      <c r="Z57" s="264"/>
      <c r="AA57" s="264"/>
      <c r="AB57" s="26"/>
      <c r="AC57" s="264"/>
      <c r="AD57" s="264"/>
      <c r="AE57" s="264"/>
      <c r="AF57" s="264"/>
      <c r="AG57" s="26"/>
      <c r="AH57" s="264"/>
      <c r="AI57" s="264"/>
      <c r="AJ57" s="264"/>
      <c r="AK57" s="264"/>
      <c r="AL57" s="26"/>
      <c r="AM57" s="264"/>
      <c r="AN57" s="264"/>
      <c r="AO57" s="264"/>
      <c r="AP57" s="264"/>
      <c r="AQ57" s="26"/>
    </row>
    <row r="58" spans="2:43 16379:16379" s="78" customFormat="1" ht="14.55" customHeight="1" outlineLevel="1" x14ac:dyDescent="0.3">
      <c r="B58" s="366" t="s">
        <v>175</v>
      </c>
      <c r="C58" s="367"/>
      <c r="D58" s="368">
        <v>3848</v>
      </c>
      <c r="E58" s="369">
        <v>3935</v>
      </c>
      <c r="F58" s="369">
        <v>4158</v>
      </c>
      <c r="G58" s="368">
        <f>H58-SUM(D58:F58)</f>
        <v>3875</v>
      </c>
      <c r="H58" s="370">
        <v>15816</v>
      </c>
      <c r="I58" s="369">
        <v>3783</v>
      </c>
      <c r="J58" s="369">
        <v>4232</v>
      </c>
      <c r="K58" s="369">
        <v>4287</v>
      </c>
      <c r="L58" s="369">
        <f>M58-SUM(I58:K58)</f>
        <v>4476</v>
      </c>
      <c r="M58" s="370">
        <v>16778</v>
      </c>
      <c r="N58" s="369">
        <v>4436</v>
      </c>
      <c r="O58" s="369">
        <v>4454</v>
      </c>
      <c r="P58" s="369">
        <v>4455</v>
      </c>
      <c r="Q58" s="369"/>
      <c r="R58" s="370"/>
      <c r="S58" s="369"/>
      <c r="T58" s="369"/>
      <c r="U58" s="369"/>
      <c r="V58" s="369"/>
      <c r="W58" s="371"/>
      <c r="X58" s="369"/>
      <c r="Y58" s="369"/>
      <c r="Z58" s="369"/>
      <c r="AA58" s="369"/>
      <c r="AB58" s="371"/>
      <c r="AC58" s="369"/>
      <c r="AD58" s="369"/>
      <c r="AE58" s="369"/>
      <c r="AF58" s="369"/>
      <c r="AG58" s="371"/>
      <c r="AH58" s="369"/>
      <c r="AI58" s="369"/>
      <c r="AJ58" s="369"/>
      <c r="AK58" s="369"/>
      <c r="AL58" s="371"/>
      <c r="AM58" s="369"/>
      <c r="AN58" s="369"/>
      <c r="AO58" s="369"/>
      <c r="AP58" s="369"/>
      <c r="AQ58" s="371"/>
    </row>
    <row r="59" spans="2:43 16379:16379" s="77" customFormat="1" ht="14.55" customHeight="1" outlineLevel="1" x14ac:dyDescent="0.3">
      <c r="B59" s="271" t="s">
        <v>176</v>
      </c>
      <c r="C59" s="152"/>
      <c r="D59" s="266"/>
      <c r="E59" s="266"/>
      <c r="F59" s="266"/>
      <c r="G59" s="266"/>
      <c r="H59" s="265"/>
      <c r="I59" s="266"/>
      <c r="J59" s="266"/>
      <c r="K59" s="266"/>
      <c r="L59" s="266"/>
      <c r="M59" s="265"/>
      <c r="N59" s="266"/>
      <c r="O59" s="266"/>
      <c r="P59" s="266"/>
      <c r="Q59" s="266"/>
      <c r="R59" s="265"/>
      <c r="S59" s="266"/>
      <c r="T59" s="266"/>
      <c r="U59" s="266"/>
      <c r="V59" s="266"/>
      <c r="W59" s="31"/>
      <c r="X59" s="266"/>
      <c r="Y59" s="266"/>
      <c r="Z59" s="266"/>
      <c r="AA59" s="266"/>
      <c r="AB59" s="31"/>
      <c r="AC59" s="266"/>
      <c r="AD59" s="266"/>
      <c r="AE59" s="266"/>
      <c r="AF59" s="266"/>
      <c r="AG59" s="31"/>
      <c r="AH59" s="266"/>
      <c r="AI59" s="266"/>
      <c r="AJ59" s="266"/>
      <c r="AK59" s="266"/>
      <c r="AL59" s="31"/>
      <c r="AM59" s="266"/>
      <c r="AN59" s="266"/>
      <c r="AO59" s="266"/>
      <c r="AP59" s="266"/>
      <c r="AQ59" s="31"/>
    </row>
    <row r="60" spans="2:43 16379:16379" s="47" customFormat="1" ht="14.1" customHeight="1" outlineLevel="1" x14ac:dyDescent="0.3">
      <c r="B60" s="154" t="s">
        <v>171</v>
      </c>
      <c r="C60" s="170"/>
      <c r="D60" s="264">
        <v>110280</v>
      </c>
      <c r="E60" s="264">
        <v>110993</v>
      </c>
      <c r="F60" s="264">
        <v>122161</v>
      </c>
      <c r="G60" s="264">
        <f>H60-SUM(D60:F60)</f>
        <v>124143</v>
      </c>
      <c r="H60" s="265">
        <v>467577</v>
      </c>
      <c r="I60" s="264">
        <v>75145</v>
      </c>
      <c r="J60" s="264">
        <v>70589</v>
      </c>
      <c r="K60" s="264">
        <v>64918</v>
      </c>
      <c r="L60" s="264">
        <f>M60-SUM(I60:K60)</f>
        <v>56572</v>
      </c>
      <c r="M60" s="265">
        <v>267224</v>
      </c>
      <c r="N60" s="264">
        <v>44145</v>
      </c>
      <c r="O60" s="264">
        <v>39149</v>
      </c>
      <c r="P60" s="264">
        <v>37552</v>
      </c>
      <c r="Q60" s="280">
        <f>P60*(1+Q61)</f>
        <v>39054.080000000002</v>
      </c>
      <c r="R60" s="265"/>
      <c r="S60" s="302">
        <f>Q60*(1+S61)</f>
        <v>40616.243200000004</v>
      </c>
      <c r="T60" s="302">
        <f t="shared" ref="T60" si="107">S60*(1+T61)</f>
        <v>42647.055360000006</v>
      </c>
      <c r="U60" s="302">
        <f t="shared" ref="U60" si="108">T60*(1+U61)</f>
        <v>44779.40812800001</v>
      </c>
      <c r="V60" s="302">
        <f t="shared" ref="V60" si="109">U60*(1+V61)</f>
        <v>47018.378534400013</v>
      </c>
      <c r="W60" s="265"/>
      <c r="X60" s="302">
        <f>V60*(1+X61)</f>
        <v>49604.389353792008</v>
      </c>
      <c r="Y60" s="302">
        <f t="shared" ref="Y60" si="110">X60*(1+Y61)</f>
        <v>52332.630768250565</v>
      </c>
      <c r="Z60" s="302">
        <f t="shared" ref="Z60" si="111">Y60*(1+Z61)</f>
        <v>55210.925460504346</v>
      </c>
      <c r="AA60" s="302">
        <f t="shared" ref="AA60" si="112">Z60*(1+AA61)</f>
        <v>58247.526360832082</v>
      </c>
      <c r="AB60" s="265"/>
      <c r="AC60" s="302">
        <f>AA60*(1+AC61)</f>
        <v>61451.140310677845</v>
      </c>
      <c r="AD60" s="302">
        <f t="shared" ref="AD60" si="113">AC60*(1+AD61)</f>
        <v>64830.953027765121</v>
      </c>
      <c r="AE60" s="302">
        <f t="shared" ref="AE60" si="114">AD60*(1+AE61)</f>
        <v>68396.655444292192</v>
      </c>
      <c r="AF60" s="302">
        <f t="shared" ref="AF60" si="115">AE60*(1+AF61)</f>
        <v>72158.471493728255</v>
      </c>
      <c r="AG60" s="265"/>
      <c r="AH60" s="302">
        <f>AF60*(1+AH61)</f>
        <v>76127.187425883298</v>
      </c>
      <c r="AI60" s="302">
        <f t="shared" ref="AI60" si="116">AH60*(1+AI61)</f>
        <v>80314.182734306873</v>
      </c>
      <c r="AJ60" s="302">
        <f t="shared" ref="AJ60" si="117">AI60*(1+AJ61)</f>
        <v>84731.462784693751</v>
      </c>
      <c r="AK60" s="302">
        <f t="shared" ref="AK60" si="118">AJ60*(1+AK61)</f>
        <v>89391.693237851898</v>
      </c>
      <c r="AL60" s="26"/>
      <c r="AM60" s="302">
        <f>AK60*(1+AM61)</f>
        <v>94308.236365933742</v>
      </c>
      <c r="AN60" s="302">
        <f t="shared" ref="AN60" si="119">AM60*(1+AN61)</f>
        <v>99495.189366060091</v>
      </c>
      <c r="AO60" s="302">
        <f t="shared" ref="AO60" si="120">AN60*(1+AO61)</f>
        <v>104967.42478119339</v>
      </c>
      <c r="AP60" s="302">
        <f t="shared" ref="AP60" si="121">AO60*(1+AP61)</f>
        <v>110740.63314415902</v>
      </c>
      <c r="AQ60" s="26"/>
    </row>
    <row r="61" spans="2:43 16379:16379" s="47" customFormat="1" ht="14.1" customHeight="1" outlineLevel="1" x14ac:dyDescent="0.3">
      <c r="B61" s="496" t="s">
        <v>183</v>
      </c>
      <c r="C61" s="497"/>
      <c r="D61" s="272">
        <f>D60/(452415-337141)-1</f>
        <v>-4.3322865520412202E-2</v>
      </c>
      <c r="E61" s="272">
        <f>E60/D60-1</f>
        <v>6.4653608995284273E-3</v>
      </c>
      <c r="F61" s="272">
        <f>F60/E60-1</f>
        <v>0.10061895795230336</v>
      </c>
      <c r="G61" s="272">
        <f>G60/F60-1</f>
        <v>1.6224490631216115E-2</v>
      </c>
      <c r="H61" s="274"/>
      <c r="I61" s="272">
        <f>I60/G60-1</f>
        <v>-0.39468999460299814</v>
      </c>
      <c r="J61" s="272">
        <f>J60/I60-1</f>
        <v>-6.0629449730520979E-2</v>
      </c>
      <c r="K61" s="272">
        <f>K60/J60-1</f>
        <v>-8.0338296335123016E-2</v>
      </c>
      <c r="L61" s="272">
        <f>L60/K60-1</f>
        <v>-0.12856218614251824</v>
      </c>
      <c r="M61" s="265"/>
      <c r="N61" s="272">
        <f>N60/L60-1</f>
        <v>-0.21966697306087812</v>
      </c>
      <c r="O61" s="272">
        <f>O60/N60-1</f>
        <v>-0.11317249971684218</v>
      </c>
      <c r="P61" s="272">
        <f>P60/O60-1</f>
        <v>-4.0792868272497396E-2</v>
      </c>
      <c r="Q61" s="282">
        <v>0.04</v>
      </c>
      <c r="R61" s="265"/>
      <c r="S61" s="282">
        <v>0.04</v>
      </c>
      <c r="T61" s="282">
        <v>0.05</v>
      </c>
      <c r="U61" s="298">
        <f>T61</f>
        <v>0.05</v>
      </c>
      <c r="V61" s="298">
        <f>U61</f>
        <v>0.05</v>
      </c>
      <c r="W61" s="273"/>
      <c r="X61" s="282">
        <v>5.5E-2</v>
      </c>
      <c r="Y61" s="282">
        <f>X61</f>
        <v>5.5E-2</v>
      </c>
      <c r="Z61" s="282">
        <f>Y61</f>
        <v>5.5E-2</v>
      </c>
      <c r="AA61" s="282">
        <f>Z61</f>
        <v>5.5E-2</v>
      </c>
      <c r="AB61" s="273"/>
      <c r="AC61" s="282">
        <f>AA61</f>
        <v>5.5E-2</v>
      </c>
      <c r="AD61" s="282">
        <f>AC61</f>
        <v>5.5E-2</v>
      </c>
      <c r="AE61" s="282">
        <f>AD61</f>
        <v>5.5E-2</v>
      </c>
      <c r="AF61" s="282">
        <f>AE61</f>
        <v>5.5E-2</v>
      </c>
      <c r="AG61" s="273"/>
      <c r="AH61" s="282">
        <f>AF61</f>
        <v>5.5E-2</v>
      </c>
      <c r="AI61" s="282">
        <f>AH61</f>
        <v>5.5E-2</v>
      </c>
      <c r="AJ61" s="282">
        <f>AI61</f>
        <v>5.5E-2</v>
      </c>
      <c r="AK61" s="282">
        <f>AJ61</f>
        <v>5.5E-2</v>
      </c>
      <c r="AL61" s="273"/>
      <c r="AM61" s="282">
        <f>AK61</f>
        <v>5.5E-2</v>
      </c>
      <c r="AN61" s="282">
        <f>AM61</f>
        <v>5.5E-2</v>
      </c>
      <c r="AO61" s="282">
        <f>AN61</f>
        <v>5.5E-2</v>
      </c>
      <c r="AP61" s="282">
        <f>AO61</f>
        <v>5.5E-2</v>
      </c>
      <c r="AQ61" s="273"/>
    </row>
    <row r="62" spans="2:43 16379:16379" s="47" customFormat="1" outlineLevel="1" x14ac:dyDescent="0.3">
      <c r="B62" s="154" t="s">
        <v>172</v>
      </c>
      <c r="C62" s="170"/>
      <c r="D62" s="264">
        <v>37202</v>
      </c>
      <c r="E62" s="264">
        <v>37660</v>
      </c>
      <c r="F62" s="264">
        <v>45735</v>
      </c>
      <c r="G62" s="264">
        <f>H62-SUM(D62:F62)</f>
        <v>44607</v>
      </c>
      <c r="H62" s="265">
        <v>165204</v>
      </c>
      <c r="I62" s="264">
        <v>9923</v>
      </c>
      <c r="J62" s="264">
        <v>14376</v>
      </c>
      <c r="K62" s="264">
        <v>11367</v>
      </c>
      <c r="L62" s="264">
        <f>M62-SUM(I62:K62)</f>
        <v>-639</v>
      </c>
      <c r="M62" s="265">
        <v>35027</v>
      </c>
      <c r="N62" s="264">
        <v>4141</v>
      </c>
      <c r="O62" s="264">
        <v>755</v>
      </c>
      <c r="P62" s="264">
        <v>1121</v>
      </c>
      <c r="Q62" s="302">
        <f>Q60*Q63</f>
        <v>1952.7040000000002</v>
      </c>
      <c r="R62" s="265"/>
      <c r="S62" s="302">
        <f>S60*S63</f>
        <v>2030.8121600000004</v>
      </c>
      <c r="T62" s="302">
        <f>T60*T63</f>
        <v>2132.3527680000002</v>
      </c>
      <c r="U62" s="302">
        <f>U60*U63</f>
        <v>4477.9408128000014</v>
      </c>
      <c r="V62" s="302">
        <f>V60*V63</f>
        <v>7052.7567801600017</v>
      </c>
      <c r="W62" s="48"/>
      <c r="X62" s="302">
        <f>X60*X63</f>
        <v>7440.6584030688009</v>
      </c>
      <c r="Y62" s="302">
        <f>Y60*Y63</f>
        <v>7849.8946152375847</v>
      </c>
      <c r="Z62" s="302">
        <f t="shared" ref="Z62" si="122">Z60*Z63</f>
        <v>8281.6388190756516</v>
      </c>
      <c r="AA62" s="302">
        <f t="shared" ref="AA62" si="123">AA60*AA63</f>
        <v>8737.1289541248116</v>
      </c>
      <c r="AB62" s="48"/>
      <c r="AC62" s="302">
        <f t="shared" ref="AC62" si="124">AC60*AC63</f>
        <v>15362.785077669461</v>
      </c>
      <c r="AD62" s="302">
        <f t="shared" ref="AD62" si="125">AD60*AD63</f>
        <v>16207.73825694128</v>
      </c>
      <c r="AE62" s="302">
        <f t="shared" ref="AE62" si="126">AE60*AE63</f>
        <v>17099.163861073048</v>
      </c>
      <c r="AF62" s="302">
        <f t="shared" ref="AF62" si="127">AF60*AF63</f>
        <v>18039.617873432064</v>
      </c>
      <c r="AG62" s="48"/>
      <c r="AH62" s="302">
        <f t="shared" ref="AH62" si="128">AH60*AH63</f>
        <v>22838.15622776499</v>
      </c>
      <c r="AI62" s="302">
        <f t="shared" ref="AI62" si="129">AI60*AI63</f>
        <v>24094.254820292063</v>
      </c>
      <c r="AJ62" s="302">
        <f t="shared" ref="AJ62" si="130">AJ60*AJ63</f>
        <v>25419.438835408124</v>
      </c>
      <c r="AK62" s="302">
        <f>AK60*AK63</f>
        <v>26817.507971355568</v>
      </c>
      <c r="AL62" s="48"/>
      <c r="AM62" s="302">
        <f t="shared" ref="AM62:AO62" si="131">AM60*AM63</f>
        <v>28292.470909780121</v>
      </c>
      <c r="AN62" s="302">
        <f t="shared" si="131"/>
        <v>29848.556809818027</v>
      </c>
      <c r="AO62" s="302">
        <f t="shared" si="131"/>
        <v>31490.227434358014</v>
      </c>
      <c r="AP62" s="302">
        <f>AP60*AP63</f>
        <v>33222.1899432477</v>
      </c>
      <c r="AQ62" s="48"/>
    </row>
    <row r="63" spans="2:43 16379:16379" s="47" customFormat="1" outlineLevel="1" x14ac:dyDescent="0.3">
      <c r="B63" s="276" t="s">
        <v>196</v>
      </c>
      <c r="C63" s="275"/>
      <c r="D63" s="272">
        <f>D62/D60</f>
        <v>0.33734131302140008</v>
      </c>
      <c r="E63" s="272">
        <f>E62/E60</f>
        <v>0.33930067661924623</v>
      </c>
      <c r="F63" s="272">
        <f>F62/F60</f>
        <v>0.37438298638681738</v>
      </c>
      <c r="G63" s="272">
        <f>G62/G60</f>
        <v>0.35931949445397648</v>
      </c>
      <c r="H63" s="273"/>
      <c r="I63" s="272">
        <f>I62/I60</f>
        <v>0.13205136735644421</v>
      </c>
      <c r="J63" s="272">
        <f>J62/J60</f>
        <v>0.20365779370723483</v>
      </c>
      <c r="K63" s="272">
        <f>K62/K60</f>
        <v>0.17509781570596752</v>
      </c>
      <c r="L63" s="272">
        <f>L62/L60</f>
        <v>-1.1295340451106554E-2</v>
      </c>
      <c r="M63" s="273"/>
      <c r="N63" s="272">
        <f>N62/N60</f>
        <v>9.3804507871786152E-2</v>
      </c>
      <c r="O63" s="272">
        <f>O62/O60</f>
        <v>1.9285294643541343E-2</v>
      </c>
      <c r="P63" s="272">
        <f>P62/P60</f>
        <v>2.9851938645078825E-2</v>
      </c>
      <c r="Q63" s="282">
        <v>0.05</v>
      </c>
      <c r="R63" s="273"/>
      <c r="S63" s="282">
        <v>0.05</v>
      </c>
      <c r="T63" s="282">
        <f>S63</f>
        <v>0.05</v>
      </c>
      <c r="U63" s="282">
        <v>0.1</v>
      </c>
      <c r="V63" s="282">
        <v>0.15</v>
      </c>
      <c r="W63" s="273"/>
      <c r="X63" s="282">
        <v>0.15</v>
      </c>
      <c r="Y63" s="282">
        <f>X63</f>
        <v>0.15</v>
      </c>
      <c r="Z63" s="282">
        <f>Y63</f>
        <v>0.15</v>
      </c>
      <c r="AA63" s="282">
        <f>Z63</f>
        <v>0.15</v>
      </c>
      <c r="AB63" s="273"/>
      <c r="AC63" s="282">
        <v>0.25</v>
      </c>
      <c r="AD63" s="282">
        <f>AC63</f>
        <v>0.25</v>
      </c>
      <c r="AE63" s="282">
        <f>AD63</f>
        <v>0.25</v>
      </c>
      <c r="AF63" s="282">
        <f>AE63</f>
        <v>0.25</v>
      </c>
      <c r="AG63" s="273"/>
      <c r="AH63" s="282">
        <v>0.3</v>
      </c>
      <c r="AI63" s="282">
        <f>AH63</f>
        <v>0.3</v>
      </c>
      <c r="AJ63" s="282">
        <f>AI63</f>
        <v>0.3</v>
      </c>
      <c r="AK63" s="282">
        <f>AJ63</f>
        <v>0.3</v>
      </c>
      <c r="AL63" s="273"/>
      <c r="AM63" s="282">
        <v>0.3</v>
      </c>
      <c r="AN63" s="282">
        <f>AM63</f>
        <v>0.3</v>
      </c>
      <c r="AO63" s="282">
        <f>AN63</f>
        <v>0.3</v>
      </c>
      <c r="AP63" s="282">
        <f>AO63</f>
        <v>0.3</v>
      </c>
      <c r="AQ63" s="273"/>
    </row>
    <row r="64" spans="2:43 16379:16379" s="47" customFormat="1" outlineLevel="1" x14ac:dyDescent="0.3">
      <c r="B64" s="154" t="s">
        <v>173</v>
      </c>
      <c r="C64" s="170"/>
      <c r="D64" s="264">
        <v>263351</v>
      </c>
      <c r="E64" s="266">
        <v>264784</v>
      </c>
      <c r="F64" s="266">
        <v>277320</v>
      </c>
      <c r="G64" s="266">
        <f>H64</f>
        <v>257135</v>
      </c>
      <c r="H64" s="265">
        <v>257135</v>
      </c>
      <c r="I64" s="266">
        <v>233414</v>
      </c>
      <c r="J64" s="266">
        <v>229899</v>
      </c>
      <c r="K64" s="266">
        <v>210209</v>
      </c>
      <c r="L64" s="266">
        <f>M64</f>
        <v>210214</v>
      </c>
      <c r="M64" s="265">
        <v>210214</v>
      </c>
      <c r="N64" s="264">
        <v>202470</v>
      </c>
      <c r="O64" s="264">
        <v>192729</v>
      </c>
      <c r="P64" s="264">
        <v>187846</v>
      </c>
      <c r="Q64" s="264"/>
      <c r="R64" s="265"/>
      <c r="S64" s="264"/>
      <c r="T64" s="264"/>
      <c r="U64" s="264"/>
      <c r="V64" s="264"/>
      <c r="W64" s="48"/>
      <c r="X64" s="264"/>
      <c r="Y64" s="264"/>
      <c r="Z64" s="264"/>
      <c r="AA64" s="264"/>
      <c r="AB64" s="48"/>
      <c r="AC64" s="264"/>
      <c r="AD64" s="264"/>
      <c r="AE64" s="264"/>
      <c r="AF64" s="264"/>
      <c r="AG64" s="48"/>
      <c r="AH64" s="264"/>
      <c r="AI64" s="264"/>
      <c r="AJ64" s="264"/>
      <c r="AK64" s="264"/>
      <c r="AL64" s="48"/>
      <c r="AM64" s="264"/>
      <c r="AN64" s="264"/>
      <c r="AO64" s="264"/>
      <c r="AP64" s="264"/>
      <c r="AQ64" s="48"/>
    </row>
    <row r="65" spans="1:43" s="47" customFormat="1" outlineLevel="1" x14ac:dyDescent="0.3">
      <c r="B65" s="154" t="s">
        <v>136</v>
      </c>
      <c r="C65" s="170"/>
      <c r="D65" s="264">
        <v>1075</v>
      </c>
      <c r="E65" s="264">
        <v>1755</v>
      </c>
      <c r="F65" s="264">
        <v>2678</v>
      </c>
      <c r="G65" s="264">
        <f>H65-SUM(D65:F65)</f>
        <v>2482</v>
      </c>
      <c r="H65" s="265">
        <v>7990</v>
      </c>
      <c r="I65" s="264">
        <v>1803</v>
      </c>
      <c r="J65" s="264">
        <v>709</v>
      </c>
      <c r="K65" s="264">
        <v>309</v>
      </c>
      <c r="L65" s="264">
        <f>M65-SUM(I65:K65)</f>
        <v>471</v>
      </c>
      <c r="M65" s="265">
        <v>3292</v>
      </c>
      <c r="N65" s="264">
        <v>378</v>
      </c>
      <c r="O65" s="264">
        <v>160</v>
      </c>
      <c r="P65" s="268">
        <v>318</v>
      </c>
      <c r="Q65" s="264"/>
      <c r="R65" s="265"/>
      <c r="S65" s="264"/>
      <c r="T65" s="264"/>
      <c r="U65" s="264"/>
      <c r="V65" s="264"/>
      <c r="W65" s="26"/>
      <c r="X65" s="264"/>
      <c r="Y65" s="264"/>
      <c r="Z65" s="264"/>
      <c r="AA65" s="264"/>
      <c r="AB65" s="26"/>
      <c r="AC65" s="264"/>
      <c r="AD65" s="264"/>
      <c r="AE65" s="264"/>
      <c r="AF65" s="264"/>
      <c r="AG65" s="26"/>
      <c r="AH65" s="264"/>
      <c r="AI65" s="264"/>
      <c r="AJ65" s="264"/>
      <c r="AK65" s="264"/>
      <c r="AL65" s="26"/>
      <c r="AM65" s="264"/>
      <c r="AN65" s="264"/>
      <c r="AO65" s="264"/>
      <c r="AP65" s="264"/>
      <c r="AQ65" s="26"/>
    </row>
    <row r="66" spans="1:43" s="47" customFormat="1" outlineLevel="1" x14ac:dyDescent="0.3">
      <c r="B66" s="366" t="s">
        <v>175</v>
      </c>
      <c r="C66" s="372"/>
      <c r="D66" s="368">
        <v>1895</v>
      </c>
      <c r="E66" s="369">
        <v>1880</v>
      </c>
      <c r="F66" s="369">
        <v>1830</v>
      </c>
      <c r="G66" s="369">
        <f>H66-SUM(D66:F66)</f>
        <v>1904</v>
      </c>
      <c r="H66" s="370">
        <v>7509</v>
      </c>
      <c r="I66" s="369">
        <v>1761</v>
      </c>
      <c r="J66" s="369">
        <v>1649</v>
      </c>
      <c r="K66" s="369">
        <v>1614</v>
      </c>
      <c r="L66" s="369">
        <f>M66-SUM(I66:K66)</f>
        <v>1587</v>
      </c>
      <c r="M66" s="370">
        <v>6611</v>
      </c>
      <c r="N66" s="368">
        <v>1425</v>
      </c>
      <c r="O66" s="368">
        <v>1343</v>
      </c>
      <c r="P66" s="368">
        <v>1294</v>
      </c>
      <c r="Q66" s="368"/>
      <c r="R66" s="370"/>
      <c r="S66" s="369"/>
      <c r="T66" s="369"/>
      <c r="U66" s="369"/>
      <c r="V66" s="369"/>
      <c r="W66" s="373"/>
      <c r="X66" s="369"/>
      <c r="Y66" s="369"/>
      <c r="Z66" s="369"/>
      <c r="AA66" s="369"/>
      <c r="AB66" s="373"/>
      <c r="AC66" s="369"/>
      <c r="AD66" s="369"/>
      <c r="AE66" s="369"/>
      <c r="AF66" s="369"/>
      <c r="AG66" s="373"/>
      <c r="AH66" s="369"/>
      <c r="AI66" s="369"/>
      <c r="AJ66" s="369"/>
      <c r="AK66" s="369"/>
      <c r="AL66" s="373"/>
      <c r="AM66" s="369"/>
      <c r="AN66" s="369"/>
      <c r="AO66" s="369"/>
      <c r="AP66" s="369"/>
      <c r="AQ66" s="373"/>
    </row>
    <row r="67" spans="1:43" s="155" customFormat="1" outlineLevel="1" x14ac:dyDescent="0.3">
      <c r="B67" s="271" t="s">
        <v>177</v>
      </c>
      <c r="C67" s="152"/>
      <c r="D67" s="266"/>
      <c r="E67" s="266"/>
      <c r="F67" s="266"/>
      <c r="G67" s="266"/>
      <c r="H67" s="265"/>
      <c r="I67" s="266"/>
      <c r="J67" s="266"/>
      <c r="K67" s="266"/>
      <c r="L67" s="266"/>
      <c r="M67" s="265"/>
      <c r="N67" s="266"/>
      <c r="O67" s="266"/>
      <c r="P67" s="266"/>
      <c r="Q67" s="266"/>
      <c r="R67" s="265"/>
      <c r="S67" s="266"/>
      <c r="T67" s="266"/>
      <c r="U67" s="266"/>
      <c r="V67" s="266"/>
      <c r="W67" s="54"/>
      <c r="X67" s="266"/>
      <c r="Y67" s="266"/>
      <c r="Z67" s="266"/>
      <c r="AA67" s="266"/>
      <c r="AB67" s="54"/>
      <c r="AC67" s="266"/>
      <c r="AD67" s="266"/>
      <c r="AE67" s="266"/>
      <c r="AF67" s="266"/>
      <c r="AG67" s="54"/>
      <c r="AH67" s="266"/>
      <c r="AI67" s="266"/>
      <c r="AJ67" s="266"/>
      <c r="AK67" s="266"/>
      <c r="AL67" s="54"/>
      <c r="AM67" s="266"/>
      <c r="AN67" s="266"/>
      <c r="AO67" s="266"/>
      <c r="AP67" s="266"/>
      <c r="AQ67" s="54"/>
    </row>
    <row r="68" spans="1:43" s="77" customFormat="1" ht="15" customHeight="1" outlineLevel="1" x14ac:dyDescent="0.3">
      <c r="B68" s="154" t="s">
        <v>171</v>
      </c>
      <c r="C68" s="152"/>
      <c r="D68" s="266">
        <v>27367</v>
      </c>
      <c r="E68" s="266">
        <v>25980</v>
      </c>
      <c r="F68" s="266">
        <v>22594</v>
      </c>
      <c r="G68" s="266">
        <f>H68-SUM(D68:F68)</f>
        <v>22730</v>
      </c>
      <c r="H68" s="265">
        <v>98671</v>
      </c>
      <c r="I68" s="266">
        <v>16739</v>
      </c>
      <c r="J68" s="266">
        <v>14389</v>
      </c>
      <c r="K68" s="266">
        <v>14404</v>
      </c>
      <c r="L68" s="266">
        <f>M68-SUM(I68:K68)</f>
        <v>11392</v>
      </c>
      <c r="M68" s="265">
        <v>56924</v>
      </c>
      <c r="N68" s="266">
        <v>7953</v>
      </c>
      <c r="O68" s="266">
        <v>5958</v>
      </c>
      <c r="P68" s="267">
        <v>5664</v>
      </c>
      <c r="Q68" s="303">
        <f>P68</f>
        <v>5664</v>
      </c>
      <c r="R68" s="265"/>
      <c r="S68" s="303">
        <f>Q68*(1+S69)</f>
        <v>5890.56</v>
      </c>
      <c r="T68" s="303">
        <f t="shared" ref="T68" si="132">S68*(1+T69)</f>
        <v>6185.0880000000006</v>
      </c>
      <c r="U68" s="303">
        <f t="shared" ref="U68" si="133">T68*(1+U69)</f>
        <v>6494.3424000000014</v>
      </c>
      <c r="V68" s="303">
        <f t="shared" ref="V68" si="134">U68*(1+V69)</f>
        <v>6819.0595200000016</v>
      </c>
      <c r="W68" s="54"/>
      <c r="X68" s="303">
        <f>V68*(1+X69)</f>
        <v>7160.0124960000021</v>
      </c>
      <c r="Y68" s="303">
        <f t="shared" ref="Y68" si="135">X68*(1+Y69)</f>
        <v>7518.0131208000021</v>
      </c>
      <c r="Z68" s="303">
        <f t="shared" ref="Z68" si="136">Y68*(1+Z69)</f>
        <v>7893.9137768400024</v>
      </c>
      <c r="AA68" s="303">
        <f t="shared" ref="AA68" si="137">Z68*(1+AA69)</f>
        <v>8288.6094656820023</v>
      </c>
      <c r="AB68" s="54"/>
      <c r="AC68" s="303">
        <f>AA68*(1+AC69)</f>
        <v>8703.0399389661034</v>
      </c>
      <c r="AD68" s="303">
        <f t="shared" ref="AD68" si="138">AC68*(1+AD69)</f>
        <v>9138.1919359144085</v>
      </c>
      <c r="AE68" s="303">
        <f t="shared" ref="AE68" si="139">AD68*(1+AE69)</f>
        <v>9595.1015327101286</v>
      </c>
      <c r="AF68" s="303">
        <f t="shared" ref="AF68" si="140">AE68*(1+AF69)</f>
        <v>10074.856609345636</v>
      </c>
      <c r="AG68" s="54"/>
      <c r="AH68" s="303">
        <f>AF68*(1+AH69)</f>
        <v>10578.599439812919</v>
      </c>
      <c r="AI68" s="303">
        <f t="shared" ref="AI68" si="141">AH68*(1+AI69)</f>
        <v>11107.529411803565</v>
      </c>
      <c r="AJ68" s="303">
        <f t="shared" ref="AJ68" si="142">AI68*(1+AJ69)</f>
        <v>11662.905882393745</v>
      </c>
      <c r="AK68" s="303">
        <f t="shared" ref="AK68" si="143">AJ68*(1+AK69)</f>
        <v>12246.051176513432</v>
      </c>
      <c r="AL68" s="54"/>
      <c r="AM68" s="303">
        <f>AK68*(1+AM69)</f>
        <v>12858.353735339104</v>
      </c>
      <c r="AN68" s="303">
        <f t="shared" ref="AN68" si="144">AM68*(1+AN69)</f>
        <v>13501.27142210606</v>
      </c>
      <c r="AO68" s="303">
        <f t="shared" ref="AO68" si="145">AN68*(1+AO69)</f>
        <v>14176.334993211363</v>
      </c>
      <c r="AP68" s="303">
        <f t="shared" ref="AP68" si="146">AO68*(1+AP69)</f>
        <v>14885.151742871933</v>
      </c>
      <c r="AQ68" s="54"/>
    </row>
    <row r="69" spans="1:43" s="77" customFormat="1" ht="15" customHeight="1" outlineLevel="1" x14ac:dyDescent="0.3">
      <c r="B69" s="496" t="s">
        <v>183</v>
      </c>
      <c r="C69" s="497"/>
      <c r="D69" s="25">
        <f>D68/(98842-74088)-1</f>
        <v>0.10555869758422887</v>
      </c>
      <c r="E69" s="25">
        <f>E68/D68-1</f>
        <v>-5.0681477692110954E-2</v>
      </c>
      <c r="F69" s="25">
        <f>F68/E68-1</f>
        <v>-0.13033102386451112</v>
      </c>
      <c r="G69" s="25">
        <f>G68/F68-1</f>
        <v>6.019297158537773E-3</v>
      </c>
      <c r="H69" s="273"/>
      <c r="I69" s="272">
        <f>I68/G68-1</f>
        <v>-0.2635723713154422</v>
      </c>
      <c r="J69" s="272">
        <f>J68/I68-1</f>
        <v>-0.14039070434315071</v>
      </c>
      <c r="K69" s="272">
        <f>K68/J68-1</f>
        <v>1.0424629925638307E-3</v>
      </c>
      <c r="L69" s="25">
        <f>L68/K68-1</f>
        <v>-0.20910858094973617</v>
      </c>
      <c r="M69" s="265"/>
      <c r="N69" s="272">
        <f>N68/L68-1</f>
        <v>-0.3018785112359551</v>
      </c>
      <c r="O69" s="272">
        <f>O68/N68-1</f>
        <v>-0.25084873632591476</v>
      </c>
      <c r="P69" s="272">
        <f>P68/O68-1</f>
        <v>-4.9345417925478308E-2</v>
      </c>
      <c r="Q69" s="281">
        <f>Q68/P68-1</f>
        <v>0</v>
      </c>
      <c r="R69" s="273"/>
      <c r="S69" s="281">
        <v>0.04</v>
      </c>
      <c r="T69" s="281">
        <v>0.05</v>
      </c>
      <c r="U69" s="281">
        <f>T69</f>
        <v>0.05</v>
      </c>
      <c r="V69" s="281">
        <f>U69</f>
        <v>0.05</v>
      </c>
      <c r="W69" s="31"/>
      <c r="X69" s="281">
        <v>0.05</v>
      </c>
      <c r="Y69" s="281">
        <f>X69</f>
        <v>0.05</v>
      </c>
      <c r="Z69" s="281">
        <f>Y69</f>
        <v>0.05</v>
      </c>
      <c r="AA69" s="281">
        <f>Z69</f>
        <v>0.05</v>
      </c>
      <c r="AB69" s="31"/>
      <c r="AC69" s="281">
        <f>AA69</f>
        <v>0.05</v>
      </c>
      <c r="AD69" s="281">
        <f>AC69</f>
        <v>0.05</v>
      </c>
      <c r="AE69" s="281">
        <f>AD69</f>
        <v>0.05</v>
      </c>
      <c r="AF69" s="281">
        <f>AE69</f>
        <v>0.05</v>
      </c>
      <c r="AG69" s="31"/>
      <c r="AH69" s="281">
        <f>AF69</f>
        <v>0.05</v>
      </c>
      <c r="AI69" s="281">
        <f>AH69</f>
        <v>0.05</v>
      </c>
      <c r="AJ69" s="281">
        <f>AI69</f>
        <v>0.05</v>
      </c>
      <c r="AK69" s="281">
        <f>AJ69</f>
        <v>0.05</v>
      </c>
      <c r="AL69" s="31"/>
      <c r="AM69" s="281">
        <f>AK69</f>
        <v>0.05</v>
      </c>
      <c r="AN69" s="281">
        <f>AM69</f>
        <v>0.05</v>
      </c>
      <c r="AO69" s="281">
        <f>AN69</f>
        <v>0.05</v>
      </c>
      <c r="AP69" s="281">
        <f>AO69</f>
        <v>0.05</v>
      </c>
      <c r="AQ69" s="31"/>
    </row>
    <row r="70" spans="1:43" s="77" customFormat="1" ht="15" customHeight="1" outlineLevel="1" x14ac:dyDescent="0.3">
      <c r="B70" s="154" t="s">
        <v>172</v>
      </c>
      <c r="C70" s="152"/>
      <c r="D70" s="264">
        <v>10474</v>
      </c>
      <c r="E70" s="264">
        <v>9794</v>
      </c>
      <c r="F70" s="264">
        <v>7553</v>
      </c>
      <c r="G70" s="264">
        <f>H70-SUM(D70:F70)</f>
        <v>9399</v>
      </c>
      <c r="H70" s="265">
        <v>37220</v>
      </c>
      <c r="I70" s="264">
        <v>3866</v>
      </c>
      <c r="J70" s="264">
        <v>3452</v>
      </c>
      <c r="K70" s="264">
        <v>4796</v>
      </c>
      <c r="L70" s="264">
        <f>M70-SUM(I70:K70)</f>
        <v>3541</v>
      </c>
      <c r="M70" s="265">
        <v>15655</v>
      </c>
      <c r="N70" s="264">
        <v>487</v>
      </c>
      <c r="O70" s="264">
        <v>422</v>
      </c>
      <c r="P70" s="264">
        <v>-125</v>
      </c>
      <c r="Q70" s="302">
        <f>AVERAGE(N70:P70)</f>
        <v>261.33333333333331</v>
      </c>
      <c r="R70" s="265"/>
      <c r="S70" s="302">
        <f>S68*S71</f>
        <v>589.05600000000004</v>
      </c>
      <c r="T70" s="302">
        <f>T68*T71</f>
        <v>618.50880000000006</v>
      </c>
      <c r="U70" s="302">
        <f>U68*U71</f>
        <v>974.15136000000018</v>
      </c>
      <c r="V70" s="302">
        <f>V68*V71</f>
        <v>1022.8589280000002</v>
      </c>
      <c r="W70" s="157"/>
      <c r="X70" s="302">
        <f>X68*X71</f>
        <v>1432.0024992000006</v>
      </c>
      <c r="Y70" s="302">
        <f>Y68*Y71</f>
        <v>1503.6026241600005</v>
      </c>
      <c r="Z70" s="302">
        <f t="shared" ref="Z70" si="147">Z68*Z71</f>
        <v>1578.7827553680006</v>
      </c>
      <c r="AA70" s="302">
        <f t="shared" ref="AA70" si="148">AA68*AA71</f>
        <v>1657.7218931364005</v>
      </c>
      <c r="AB70" s="157"/>
      <c r="AC70" s="302">
        <f t="shared" ref="AC70" si="149">AC68*AC71</f>
        <v>2175.7599847415258</v>
      </c>
      <c r="AD70" s="302">
        <f t="shared" ref="AD70" si="150">AD68*AD71</f>
        <v>2284.5479839786021</v>
      </c>
      <c r="AE70" s="302">
        <f t="shared" ref="AE70" si="151">AE68*AE71</f>
        <v>2398.7753831775321</v>
      </c>
      <c r="AF70" s="302">
        <f t="shared" ref="AF70" si="152">AF68*AF71</f>
        <v>2518.7141523364089</v>
      </c>
      <c r="AG70" s="157"/>
      <c r="AH70" s="302">
        <f t="shared" ref="AH70" si="153">AH68*AH71</f>
        <v>3173.5798319438754</v>
      </c>
      <c r="AI70" s="302">
        <f t="shared" ref="AI70" si="154">AI68*AI71</f>
        <v>3332.2588235410694</v>
      </c>
      <c r="AJ70" s="302">
        <f t="shared" ref="AJ70" si="155">AJ68*AJ71</f>
        <v>3498.8717647181234</v>
      </c>
      <c r="AK70" s="302">
        <f>AK68*AK71</f>
        <v>3673.8153529540295</v>
      </c>
      <c r="AL70" s="157"/>
      <c r="AM70" s="302">
        <f t="shared" ref="AM70:AO70" si="156">AM68*AM71</f>
        <v>3857.5061206017308</v>
      </c>
      <c r="AN70" s="302">
        <f t="shared" si="156"/>
        <v>4050.3814266318177</v>
      </c>
      <c r="AO70" s="302">
        <f t="shared" si="156"/>
        <v>4252.9004979634092</v>
      </c>
      <c r="AP70" s="302">
        <f>AP68*AP71</f>
        <v>4465.5455228615792</v>
      </c>
      <c r="AQ70" s="157"/>
    </row>
    <row r="71" spans="1:43" s="77" customFormat="1" ht="15" customHeight="1" outlineLevel="1" x14ac:dyDescent="0.3">
      <c r="B71" s="276" t="s">
        <v>196</v>
      </c>
      <c r="C71" s="152"/>
      <c r="D71" s="272">
        <f>D70/D68</f>
        <v>0.38272371834691415</v>
      </c>
      <c r="E71" s="272">
        <f>E70/E68</f>
        <v>0.37698229407236333</v>
      </c>
      <c r="F71" s="272">
        <f>F70/F68</f>
        <v>0.33429228998849253</v>
      </c>
      <c r="G71" s="272">
        <f>G70/G68</f>
        <v>0.41350637923449185</v>
      </c>
      <c r="H71" s="273"/>
      <c r="I71" s="272">
        <f>I70/I68</f>
        <v>0.23095764382579603</v>
      </c>
      <c r="J71" s="272">
        <f>J70/J68</f>
        <v>0.2399054833553409</v>
      </c>
      <c r="K71" s="272">
        <f>K70/K68</f>
        <v>0.33296306581505136</v>
      </c>
      <c r="L71" s="272">
        <f>L70/L68</f>
        <v>0.3108321629213483</v>
      </c>
      <c r="M71" s="273"/>
      <c r="N71" s="272">
        <f>N70/N68</f>
        <v>6.123475418081227E-2</v>
      </c>
      <c r="O71" s="272">
        <f>O70/O68</f>
        <v>7.0829137294394093E-2</v>
      </c>
      <c r="P71" s="272">
        <f>P70/P68</f>
        <v>-2.2069209039548024E-2</v>
      </c>
      <c r="Q71" s="282">
        <f>Q70/Q68</f>
        <v>4.6139359698681728E-2</v>
      </c>
      <c r="R71" s="273"/>
      <c r="S71" s="282">
        <v>0.1</v>
      </c>
      <c r="T71" s="282">
        <f>S71</f>
        <v>0.1</v>
      </c>
      <c r="U71" s="282">
        <v>0.15</v>
      </c>
      <c r="V71" s="282">
        <f>U71</f>
        <v>0.15</v>
      </c>
      <c r="W71" s="31"/>
      <c r="X71" s="282">
        <v>0.2</v>
      </c>
      <c r="Y71" s="282">
        <f>X71</f>
        <v>0.2</v>
      </c>
      <c r="Z71" s="282">
        <f>Y71</f>
        <v>0.2</v>
      </c>
      <c r="AA71" s="282">
        <f>Z71</f>
        <v>0.2</v>
      </c>
      <c r="AB71" s="31"/>
      <c r="AC71" s="282">
        <v>0.25</v>
      </c>
      <c r="AD71" s="282">
        <f>AC71</f>
        <v>0.25</v>
      </c>
      <c r="AE71" s="282">
        <f>AD71</f>
        <v>0.25</v>
      </c>
      <c r="AF71" s="282">
        <f>AE71</f>
        <v>0.25</v>
      </c>
      <c r="AG71" s="31"/>
      <c r="AH71" s="282">
        <v>0.3</v>
      </c>
      <c r="AI71" s="282">
        <f>AH71</f>
        <v>0.3</v>
      </c>
      <c r="AJ71" s="282">
        <f>AI71</f>
        <v>0.3</v>
      </c>
      <c r="AK71" s="282">
        <f>AJ71</f>
        <v>0.3</v>
      </c>
      <c r="AL71" s="31"/>
      <c r="AM71" s="282">
        <v>0.3</v>
      </c>
      <c r="AN71" s="282">
        <f>AM71</f>
        <v>0.3</v>
      </c>
      <c r="AO71" s="282">
        <f>AN71</f>
        <v>0.3</v>
      </c>
      <c r="AP71" s="282">
        <f>AO71</f>
        <v>0.3</v>
      </c>
      <c r="AQ71" s="31"/>
    </row>
    <row r="72" spans="1:43" s="77" customFormat="1" ht="15" customHeight="1" outlineLevel="1" x14ac:dyDescent="0.3">
      <c r="B72" s="154" t="s">
        <v>173</v>
      </c>
      <c r="C72" s="152"/>
      <c r="D72" s="264">
        <v>35676</v>
      </c>
      <c r="E72" s="264">
        <v>39795</v>
      </c>
      <c r="F72" s="264">
        <v>33646</v>
      </c>
      <c r="G72" s="264">
        <f>H72</f>
        <v>34179</v>
      </c>
      <c r="H72" s="265">
        <v>34179</v>
      </c>
      <c r="I72" s="264">
        <v>29505</v>
      </c>
      <c r="J72" s="264">
        <v>26048</v>
      </c>
      <c r="K72" s="264">
        <v>24320</v>
      </c>
      <c r="L72" s="264">
        <f>M72</f>
        <v>27076</v>
      </c>
      <c r="M72" s="265">
        <v>27076</v>
      </c>
      <c r="N72" s="264">
        <v>19282</v>
      </c>
      <c r="O72" s="264">
        <v>17925</v>
      </c>
      <c r="P72" s="264">
        <v>16116</v>
      </c>
      <c r="Q72" s="264"/>
      <c r="R72" s="265"/>
      <c r="S72" s="264"/>
      <c r="T72" s="264"/>
      <c r="U72" s="264"/>
      <c r="V72" s="264"/>
      <c r="W72" s="157"/>
      <c r="X72" s="264"/>
      <c r="Y72" s="264"/>
      <c r="Z72" s="264"/>
      <c r="AA72" s="264"/>
      <c r="AB72" s="157"/>
      <c r="AC72" s="264"/>
      <c r="AD72" s="264"/>
      <c r="AE72" s="264"/>
      <c r="AF72" s="264"/>
      <c r="AG72" s="157"/>
      <c r="AH72" s="264"/>
      <c r="AI72" s="264"/>
      <c r="AJ72" s="264"/>
      <c r="AK72" s="264"/>
      <c r="AL72" s="157"/>
      <c r="AM72" s="264"/>
      <c r="AN72" s="264"/>
      <c r="AO72" s="264"/>
      <c r="AP72" s="264"/>
      <c r="AQ72" s="157"/>
    </row>
    <row r="73" spans="1:43" s="77" customFormat="1" ht="15" customHeight="1" outlineLevel="1" x14ac:dyDescent="0.3">
      <c r="B73" s="154" t="s">
        <v>136</v>
      </c>
      <c r="C73" s="152"/>
      <c r="D73" s="266">
        <v>85</v>
      </c>
      <c r="E73" s="266">
        <v>282</v>
      </c>
      <c r="F73" s="266">
        <v>2021</v>
      </c>
      <c r="G73" s="266">
        <f>H73-SUM(D73:F73)</f>
        <v>293</v>
      </c>
      <c r="H73" s="265">
        <v>2681</v>
      </c>
      <c r="I73" s="266">
        <v>221</v>
      </c>
      <c r="J73" s="266">
        <v>45</v>
      </c>
      <c r="K73" s="266">
        <v>7</v>
      </c>
      <c r="L73" s="266">
        <f>M73-SUM(I73:K73)</f>
        <v>0</v>
      </c>
      <c r="M73" s="265">
        <v>273</v>
      </c>
      <c r="N73" s="266">
        <v>8</v>
      </c>
      <c r="O73" s="266">
        <v>8</v>
      </c>
      <c r="P73" s="266">
        <v>8</v>
      </c>
      <c r="Q73" s="269"/>
      <c r="R73" s="265"/>
      <c r="S73" s="266"/>
      <c r="T73" s="266"/>
      <c r="U73" s="266"/>
      <c r="V73" s="266"/>
      <c r="W73" s="157"/>
      <c r="X73" s="266"/>
      <c r="Y73" s="266"/>
      <c r="Z73" s="266"/>
      <c r="AA73" s="266"/>
      <c r="AB73" s="157"/>
      <c r="AC73" s="266"/>
      <c r="AD73" s="266"/>
      <c r="AE73" s="266"/>
      <c r="AF73" s="266"/>
      <c r="AG73" s="157"/>
      <c r="AH73" s="266"/>
      <c r="AI73" s="266"/>
      <c r="AJ73" s="266"/>
      <c r="AK73" s="266"/>
      <c r="AL73" s="157"/>
      <c r="AM73" s="266"/>
      <c r="AN73" s="266"/>
      <c r="AO73" s="266"/>
      <c r="AP73" s="266"/>
      <c r="AQ73" s="157"/>
    </row>
    <row r="74" spans="1:43" s="77" customFormat="1" ht="15" customHeight="1" outlineLevel="1" x14ac:dyDescent="0.3">
      <c r="B74" s="366" t="s">
        <v>175</v>
      </c>
      <c r="C74" s="367"/>
      <c r="D74" s="368">
        <v>239</v>
      </c>
      <c r="E74" s="368">
        <v>366</v>
      </c>
      <c r="F74" s="368">
        <v>350</v>
      </c>
      <c r="G74" s="368">
        <f>H74-SUM(D74:F74)</f>
        <v>438</v>
      </c>
      <c r="H74" s="370">
        <v>1393</v>
      </c>
      <c r="I74" s="368">
        <v>431</v>
      </c>
      <c r="J74" s="368">
        <v>422</v>
      </c>
      <c r="K74" s="368">
        <v>401</v>
      </c>
      <c r="L74" s="368">
        <f>M74-SUM(I74:K74)</f>
        <v>370</v>
      </c>
      <c r="M74" s="370">
        <v>1624</v>
      </c>
      <c r="N74" s="368">
        <v>363</v>
      </c>
      <c r="O74" s="368">
        <v>335</v>
      </c>
      <c r="P74" s="368">
        <v>327</v>
      </c>
      <c r="Q74" s="374"/>
      <c r="R74" s="370"/>
      <c r="S74" s="368"/>
      <c r="T74" s="368"/>
      <c r="U74" s="368"/>
      <c r="V74" s="368"/>
      <c r="W74" s="375"/>
      <c r="X74" s="368"/>
      <c r="Y74" s="368"/>
      <c r="Z74" s="368"/>
      <c r="AA74" s="368"/>
      <c r="AB74" s="375"/>
      <c r="AC74" s="368"/>
      <c r="AD74" s="368"/>
      <c r="AE74" s="368"/>
      <c r="AF74" s="368"/>
      <c r="AG74" s="375"/>
      <c r="AH74" s="368"/>
      <c r="AI74" s="368"/>
      <c r="AJ74" s="368"/>
      <c r="AK74" s="368"/>
      <c r="AL74" s="375"/>
      <c r="AM74" s="368"/>
      <c r="AN74" s="368"/>
      <c r="AO74" s="368"/>
      <c r="AP74" s="368"/>
      <c r="AQ74" s="375"/>
    </row>
    <row r="75" spans="1:43" s="77" customFormat="1" ht="15" customHeight="1" outlineLevel="1" x14ac:dyDescent="0.3">
      <c r="B75" s="271" t="s">
        <v>178</v>
      </c>
      <c r="C75" s="152"/>
      <c r="D75" s="264"/>
      <c r="E75" s="264"/>
      <c r="F75" s="264"/>
      <c r="G75" s="264"/>
      <c r="H75" s="265"/>
      <c r="I75" s="264"/>
      <c r="J75" s="264"/>
      <c r="K75" s="264"/>
      <c r="L75" s="264"/>
      <c r="M75" s="265"/>
      <c r="N75" s="264"/>
      <c r="O75" s="264"/>
      <c r="P75" s="264"/>
      <c r="Q75" s="270"/>
      <c r="R75" s="265"/>
      <c r="S75" s="264"/>
      <c r="T75" s="264"/>
      <c r="U75" s="264"/>
      <c r="V75" s="270"/>
      <c r="W75" s="263"/>
      <c r="X75" s="264"/>
      <c r="Y75" s="264"/>
      <c r="Z75" s="264"/>
      <c r="AA75" s="270"/>
      <c r="AB75" s="263"/>
      <c r="AC75" s="264"/>
      <c r="AD75" s="264"/>
      <c r="AE75" s="264"/>
      <c r="AF75" s="270"/>
      <c r="AG75" s="263"/>
      <c r="AH75" s="264"/>
      <c r="AI75" s="264"/>
      <c r="AJ75" s="264"/>
      <c r="AK75" s="270"/>
      <c r="AL75" s="263"/>
      <c r="AM75" s="264"/>
      <c r="AN75" s="264"/>
      <c r="AO75" s="264"/>
      <c r="AP75" s="270"/>
      <c r="AQ75" s="263"/>
    </row>
    <row r="76" spans="1:43" s="77" customFormat="1" ht="15" customHeight="1" outlineLevel="1" x14ac:dyDescent="0.3">
      <c r="B76" s="154" t="s">
        <v>171</v>
      </c>
      <c r="C76" s="152"/>
      <c r="D76" s="264">
        <v>0</v>
      </c>
      <c r="E76" s="264">
        <v>0</v>
      </c>
      <c r="F76" s="264">
        <v>0</v>
      </c>
      <c r="G76" s="266">
        <f>H76-SUM(D76:F76)</f>
        <v>0</v>
      </c>
      <c r="H76" s="265">
        <v>0</v>
      </c>
      <c r="I76" s="264">
        <v>0</v>
      </c>
      <c r="J76" s="264">
        <v>0</v>
      </c>
      <c r="K76" s="264">
        <v>0</v>
      </c>
      <c r="L76" s="270">
        <f>M76-SUM(I76:K76)</f>
        <v>0</v>
      </c>
      <c r="M76" s="265">
        <v>0</v>
      </c>
      <c r="N76" s="264">
        <v>0</v>
      </c>
      <c r="O76" s="264">
        <v>0</v>
      </c>
      <c r="P76" s="264">
        <v>0</v>
      </c>
      <c r="Q76" s="270"/>
      <c r="R76" s="265"/>
      <c r="S76" s="264"/>
      <c r="T76" s="264"/>
      <c r="U76" s="264"/>
      <c r="V76" s="270"/>
      <c r="W76" s="157"/>
      <c r="X76" s="264"/>
      <c r="Y76" s="264"/>
      <c r="Z76" s="264"/>
      <c r="AA76" s="270"/>
      <c r="AB76" s="157"/>
      <c r="AC76" s="264"/>
      <c r="AD76" s="264"/>
      <c r="AE76" s="264"/>
      <c r="AF76" s="270"/>
      <c r="AG76" s="157"/>
      <c r="AH76" s="264"/>
      <c r="AI76" s="264"/>
      <c r="AJ76" s="264"/>
      <c r="AK76" s="270"/>
      <c r="AL76" s="157"/>
      <c r="AM76" s="264"/>
      <c r="AN76" s="264"/>
      <c r="AO76" s="264"/>
      <c r="AP76" s="270"/>
      <c r="AQ76" s="157"/>
    </row>
    <row r="77" spans="1:43" s="77" customFormat="1" ht="15" customHeight="1" outlineLevel="1" x14ac:dyDescent="0.3">
      <c r="B77" s="496" t="s">
        <v>183</v>
      </c>
      <c r="C77" s="497"/>
      <c r="D77" s="264"/>
      <c r="E77" s="264"/>
      <c r="F77" s="264"/>
      <c r="G77" s="25"/>
      <c r="H77" s="265"/>
      <c r="I77" s="264"/>
      <c r="J77" s="264"/>
      <c r="K77" s="264"/>
      <c r="L77" s="270"/>
      <c r="M77" s="265"/>
      <c r="N77" s="264"/>
      <c r="O77" s="264"/>
      <c r="P77" s="264"/>
      <c r="Q77" s="270"/>
      <c r="R77" s="265"/>
      <c r="S77" s="264"/>
      <c r="T77" s="264"/>
      <c r="U77" s="264"/>
      <c r="V77" s="270"/>
      <c r="W77" s="157"/>
      <c r="X77" s="264"/>
      <c r="Y77" s="264"/>
      <c r="Z77" s="264"/>
      <c r="AA77" s="270"/>
      <c r="AB77" s="157"/>
      <c r="AC77" s="264"/>
      <c r="AD77" s="264"/>
      <c r="AE77" s="264"/>
      <c r="AF77" s="270"/>
      <c r="AG77" s="157"/>
      <c r="AH77" s="264"/>
      <c r="AI77" s="264"/>
      <c r="AJ77" s="264"/>
      <c r="AK77" s="270"/>
      <c r="AL77" s="157"/>
      <c r="AM77" s="264"/>
      <c r="AN77" s="264"/>
      <c r="AO77" s="264"/>
      <c r="AP77" s="270"/>
      <c r="AQ77" s="157"/>
    </row>
    <row r="78" spans="1:43" s="77" customFormat="1" ht="15" customHeight="1" outlineLevel="1" x14ac:dyDescent="0.3">
      <c r="A78" s="261"/>
      <c r="B78" s="154" t="s">
        <v>172</v>
      </c>
      <c r="C78" s="152"/>
      <c r="D78" s="266">
        <v>298</v>
      </c>
      <c r="E78" s="266">
        <v>339</v>
      </c>
      <c r="F78" s="266">
        <v>455</v>
      </c>
      <c r="G78" s="264">
        <f>H78-SUM(D78:F78)</f>
        <v>-609</v>
      </c>
      <c r="H78" s="265">
        <v>483</v>
      </c>
      <c r="I78" s="266">
        <v>398</v>
      </c>
      <c r="J78" s="266">
        <v>-879</v>
      </c>
      <c r="K78" s="266">
        <v>317</v>
      </c>
      <c r="L78" s="269">
        <f>M78-SUM(I78:K78)</f>
        <v>-480</v>
      </c>
      <c r="M78" s="265">
        <v>-644</v>
      </c>
      <c r="N78" s="266">
        <v>92</v>
      </c>
      <c r="O78" s="266">
        <v>-159</v>
      </c>
      <c r="P78" s="267">
        <v>97</v>
      </c>
      <c r="Q78" s="300">
        <f>100</f>
        <v>100</v>
      </c>
      <c r="R78" s="265"/>
      <c r="S78" s="303">
        <f>Q78</f>
        <v>100</v>
      </c>
      <c r="T78" s="303">
        <f>S78</f>
        <v>100</v>
      </c>
      <c r="U78" s="303">
        <f>T78</f>
        <v>100</v>
      </c>
      <c r="V78" s="300">
        <f>U78</f>
        <v>100</v>
      </c>
      <c r="W78" s="54"/>
      <c r="X78" s="303">
        <f>V78</f>
        <v>100</v>
      </c>
      <c r="Y78" s="303">
        <f>X78</f>
        <v>100</v>
      </c>
      <c r="Z78" s="303">
        <f>Y78</f>
        <v>100</v>
      </c>
      <c r="AA78" s="300">
        <f>Z78</f>
        <v>100</v>
      </c>
      <c r="AB78" s="54"/>
      <c r="AC78" s="303">
        <f>AA78</f>
        <v>100</v>
      </c>
      <c r="AD78" s="303">
        <f>AC78</f>
        <v>100</v>
      </c>
      <c r="AE78" s="303">
        <f>AD78</f>
        <v>100</v>
      </c>
      <c r="AF78" s="300">
        <f>AE78</f>
        <v>100</v>
      </c>
      <c r="AG78" s="54"/>
      <c r="AH78" s="303">
        <f>AF78</f>
        <v>100</v>
      </c>
      <c r="AI78" s="303">
        <f>AH78</f>
        <v>100</v>
      </c>
      <c r="AJ78" s="303">
        <f>AI78</f>
        <v>100</v>
      </c>
      <c r="AK78" s="300">
        <f>AJ78</f>
        <v>100</v>
      </c>
      <c r="AL78" s="54"/>
      <c r="AM78" s="303">
        <f>AK78</f>
        <v>100</v>
      </c>
      <c r="AN78" s="303">
        <f>AM78</f>
        <v>100</v>
      </c>
      <c r="AO78" s="303">
        <f>AN78</f>
        <v>100</v>
      </c>
      <c r="AP78" s="300">
        <f>AO78</f>
        <v>100</v>
      </c>
      <c r="AQ78" s="54"/>
    </row>
    <row r="79" spans="1:43" s="77" customFormat="1" ht="15" customHeight="1" outlineLevel="1" x14ac:dyDescent="0.3">
      <c r="A79" s="261"/>
      <c r="B79" s="154" t="s">
        <v>173</v>
      </c>
      <c r="C79" s="152"/>
      <c r="D79" s="264">
        <v>56197</v>
      </c>
      <c r="E79" s="264">
        <v>66179</v>
      </c>
      <c r="F79" s="264">
        <v>56425</v>
      </c>
      <c r="G79" s="264">
        <f>H79</f>
        <v>65014</v>
      </c>
      <c r="H79" s="265">
        <v>65014</v>
      </c>
      <c r="I79" s="264">
        <v>54960</v>
      </c>
      <c r="J79" s="264">
        <v>72621</v>
      </c>
      <c r="K79" s="264">
        <v>65684</v>
      </c>
      <c r="L79" s="270">
        <f>M79</f>
        <v>61786</v>
      </c>
      <c r="M79" s="265">
        <v>61786</v>
      </c>
      <c r="N79" s="264">
        <v>48793</v>
      </c>
      <c r="O79" s="264">
        <v>52144</v>
      </c>
      <c r="P79" s="264">
        <v>49437</v>
      </c>
      <c r="Q79" s="270"/>
      <c r="R79" s="265"/>
      <c r="S79" s="264"/>
      <c r="T79" s="264"/>
      <c r="U79" s="264"/>
      <c r="V79" s="270"/>
      <c r="W79" s="157"/>
      <c r="X79" s="264"/>
      <c r="Y79" s="264"/>
      <c r="Z79" s="264"/>
      <c r="AA79" s="270"/>
      <c r="AB79" s="157"/>
      <c r="AC79" s="264"/>
      <c r="AD79" s="264"/>
      <c r="AE79" s="264"/>
      <c r="AF79" s="270"/>
      <c r="AG79" s="157"/>
      <c r="AH79" s="264"/>
      <c r="AI79" s="264"/>
      <c r="AJ79" s="264"/>
      <c r="AK79" s="270"/>
      <c r="AL79" s="157"/>
      <c r="AM79" s="264"/>
      <c r="AN79" s="264"/>
      <c r="AO79" s="264"/>
      <c r="AP79" s="270"/>
      <c r="AQ79" s="157"/>
    </row>
    <row r="80" spans="1:43" s="77" customFormat="1" ht="15" customHeight="1" outlineLevel="1" x14ac:dyDescent="0.3">
      <c r="A80" s="261"/>
      <c r="B80" s="154" t="s">
        <v>136</v>
      </c>
      <c r="C80" s="152"/>
      <c r="D80" s="264">
        <v>1692</v>
      </c>
      <c r="E80" s="264">
        <v>3802</v>
      </c>
      <c r="F80" s="264">
        <v>-1439</v>
      </c>
      <c r="G80" s="266">
        <f>H80-SUM(D80:F80)</f>
        <v>489</v>
      </c>
      <c r="H80" s="265">
        <v>4544</v>
      </c>
      <c r="I80" s="264">
        <v>408</v>
      </c>
      <c r="J80" s="264">
        <v>390</v>
      </c>
      <c r="K80" s="264">
        <v>426</v>
      </c>
      <c r="L80" s="270">
        <f>M80-SUM(I80:K80)</f>
        <v>159</v>
      </c>
      <c r="M80" s="265">
        <v>1383</v>
      </c>
      <c r="N80" s="264">
        <v>398</v>
      </c>
      <c r="O80" s="264">
        <v>10</v>
      </c>
      <c r="P80" s="264">
        <v>100</v>
      </c>
      <c r="Q80" s="270"/>
      <c r="R80" s="265"/>
      <c r="S80" s="264"/>
      <c r="T80" s="264"/>
      <c r="U80" s="264"/>
      <c r="V80" s="270"/>
      <c r="W80" s="157"/>
      <c r="X80" s="264"/>
      <c r="Y80" s="264"/>
      <c r="Z80" s="264"/>
      <c r="AA80" s="270"/>
      <c r="AB80" s="157"/>
      <c r="AC80" s="264"/>
      <c r="AD80" s="264"/>
      <c r="AE80" s="264"/>
      <c r="AF80" s="270"/>
      <c r="AG80" s="157"/>
      <c r="AH80" s="264"/>
      <c r="AI80" s="264"/>
      <c r="AJ80" s="264"/>
      <c r="AK80" s="270"/>
      <c r="AL80" s="157"/>
      <c r="AM80" s="264"/>
      <c r="AN80" s="264"/>
      <c r="AO80" s="264"/>
      <c r="AP80" s="270"/>
      <c r="AQ80" s="157"/>
    </row>
    <row r="81" spans="1:43" s="77" customFormat="1" ht="15" customHeight="1" outlineLevel="1" x14ac:dyDescent="0.3">
      <c r="A81" s="261"/>
      <c r="B81" s="366" t="s">
        <v>175</v>
      </c>
      <c r="C81" s="367"/>
      <c r="D81" s="368">
        <v>651</v>
      </c>
      <c r="E81" s="368">
        <v>137</v>
      </c>
      <c r="F81" s="368">
        <v>507</v>
      </c>
      <c r="G81" s="368">
        <f>H81-SUM(D81:F81)</f>
        <v>683</v>
      </c>
      <c r="H81" s="370">
        <v>1978</v>
      </c>
      <c r="I81" s="368">
        <v>591</v>
      </c>
      <c r="J81" s="368">
        <v>627</v>
      </c>
      <c r="K81" s="368">
        <v>608</v>
      </c>
      <c r="L81" s="374">
        <f>M81-SUM(I81:K81)</f>
        <v>618</v>
      </c>
      <c r="M81" s="370">
        <v>2444</v>
      </c>
      <c r="N81" s="368">
        <v>623</v>
      </c>
      <c r="O81" s="368">
        <v>619</v>
      </c>
      <c r="P81" s="368">
        <v>648</v>
      </c>
      <c r="Q81" s="374"/>
      <c r="R81" s="370"/>
      <c r="S81" s="368"/>
      <c r="T81" s="368"/>
      <c r="U81" s="368"/>
      <c r="V81" s="374"/>
      <c r="W81" s="375"/>
      <c r="X81" s="368"/>
      <c r="Y81" s="368"/>
      <c r="Z81" s="368"/>
      <c r="AA81" s="374"/>
      <c r="AB81" s="375"/>
      <c r="AC81" s="368"/>
      <c r="AD81" s="368"/>
      <c r="AE81" s="368"/>
      <c r="AF81" s="374"/>
      <c r="AG81" s="375"/>
      <c r="AH81" s="368"/>
      <c r="AI81" s="368"/>
      <c r="AJ81" s="368"/>
      <c r="AK81" s="374"/>
      <c r="AL81" s="375"/>
      <c r="AM81" s="368"/>
      <c r="AN81" s="368"/>
      <c r="AO81" s="368"/>
      <c r="AP81" s="374"/>
      <c r="AQ81" s="375"/>
    </row>
    <row r="82" spans="1:43" s="77" customFormat="1" ht="15" customHeight="1" x14ac:dyDescent="0.3">
      <c r="A82" s="261"/>
      <c r="B82" s="495" t="s">
        <v>179</v>
      </c>
      <c r="C82" s="481"/>
      <c r="D82" s="165"/>
      <c r="E82" s="165"/>
      <c r="F82" s="165"/>
      <c r="G82" s="262"/>
      <c r="H82" s="156"/>
      <c r="I82" s="165"/>
      <c r="J82" s="165"/>
      <c r="K82" s="165"/>
      <c r="L82" s="262"/>
      <c r="M82" s="26"/>
      <c r="N82" s="165"/>
      <c r="O82" s="165"/>
      <c r="P82" s="165"/>
      <c r="Q82" s="262"/>
      <c r="R82" s="156"/>
      <c r="S82" s="165"/>
      <c r="T82" s="165"/>
      <c r="U82" s="165"/>
      <c r="V82" s="262"/>
      <c r="W82" s="157"/>
      <c r="X82" s="165"/>
      <c r="Y82" s="165"/>
      <c r="Z82" s="165"/>
      <c r="AA82" s="262"/>
      <c r="AB82" s="157"/>
      <c r="AC82" s="165"/>
      <c r="AD82" s="165"/>
      <c r="AE82" s="165"/>
      <c r="AF82" s="262"/>
      <c r="AG82" s="157"/>
      <c r="AH82" s="165"/>
      <c r="AI82" s="165"/>
      <c r="AJ82" s="165"/>
      <c r="AK82" s="262"/>
      <c r="AL82" s="157"/>
      <c r="AM82" s="165"/>
      <c r="AN82" s="165"/>
      <c r="AO82" s="165"/>
      <c r="AP82" s="262"/>
      <c r="AQ82" s="157"/>
    </row>
    <row r="83" spans="1:43" s="40" customFormat="1" outlineLevel="1" x14ac:dyDescent="0.3">
      <c r="B83" s="255" t="s">
        <v>180</v>
      </c>
      <c r="C83" s="172"/>
      <c r="D83" s="25">
        <f>D25/D16</f>
        <v>0.31504775525574069</v>
      </c>
      <c r="E83" s="25">
        <f>E25/E16</f>
        <v>0.31444674505348291</v>
      </c>
      <c r="F83" s="25">
        <f>F25/F16</f>
        <v>0.3227406884313832</v>
      </c>
      <c r="G83" s="25">
        <f>G25/G16</f>
        <v>0.32463337424898248</v>
      </c>
      <c r="H83" s="31"/>
      <c r="I83" s="25">
        <f>I25/I16</f>
        <v>0.19994570381430704</v>
      </c>
      <c r="J83" s="25">
        <f>J25/J16</f>
        <v>0.2348974196744307</v>
      </c>
      <c r="K83" s="25">
        <f>K25/K16</f>
        <v>0.23733556383544976</v>
      </c>
      <c r="L83" s="25">
        <f>L25/L16</f>
        <v>0.12938710507161114</v>
      </c>
      <c r="M83" s="31"/>
      <c r="N83" s="25">
        <f>N25/N16</f>
        <v>0.14930327308701113</v>
      </c>
      <c r="O83" s="25">
        <f>O25/O16</f>
        <v>0.13660523134484598</v>
      </c>
      <c r="P83" s="25">
        <f>P25/P16</f>
        <v>0.14975990186990792</v>
      </c>
      <c r="Q83" s="25">
        <f>Q25/Q16</f>
        <v>0.15427406277482714</v>
      </c>
      <c r="R83" s="31"/>
      <c r="S83" s="25">
        <f>S25/S16</f>
        <v>0.18325975787713772</v>
      </c>
      <c r="T83" s="25">
        <f>T25/T16</f>
        <v>0.1901018559921247</v>
      </c>
      <c r="U83" s="25">
        <f t="shared" ref="U83:AK83" si="157">U25/U16</f>
        <v>0.21257495498096007</v>
      </c>
      <c r="V83" s="25">
        <f t="shared" si="157"/>
        <v>0.23306987319613187</v>
      </c>
      <c r="W83" s="31"/>
      <c r="X83" s="25">
        <f t="shared" si="157"/>
        <v>0.24177665342515089</v>
      </c>
      <c r="Y83" s="25">
        <f t="shared" si="157"/>
        <v>0.24163082519747583</v>
      </c>
      <c r="Z83" s="25">
        <f t="shared" si="157"/>
        <v>0.24148605863595698</v>
      </c>
      <c r="AA83" s="25">
        <f t="shared" si="157"/>
        <v>0.24134229017994541</v>
      </c>
      <c r="AB83" s="31"/>
      <c r="AC83" s="25">
        <f t="shared" si="157"/>
        <v>0.28459841304815181</v>
      </c>
      <c r="AD83" s="25">
        <f t="shared" si="157"/>
        <v>0.28453122156923005</v>
      </c>
      <c r="AE83" s="25">
        <f t="shared" si="157"/>
        <v>0.28446501302227523</v>
      </c>
      <c r="AF83" s="25">
        <f t="shared" si="157"/>
        <v>0.28439973511368066</v>
      </c>
      <c r="AG83" s="31"/>
      <c r="AH83" s="25">
        <f t="shared" si="157"/>
        <v>0.30036986048942316</v>
      </c>
      <c r="AI83" s="25">
        <f t="shared" si="157"/>
        <v>0.30035177642937899</v>
      </c>
      <c r="AJ83" s="25">
        <f t="shared" si="157"/>
        <v>0.30033457504573585</v>
      </c>
      <c r="AK83" s="25">
        <f t="shared" si="157"/>
        <v>0.30031821332736131</v>
      </c>
      <c r="AL83" s="31"/>
      <c r="AM83" s="25">
        <f t="shared" ref="AM83:AP83" si="158">AM25/AM16</f>
        <v>0.30030265035560727</v>
      </c>
      <c r="AN83" s="25">
        <f t="shared" si="158"/>
        <v>0.30028784720266782</v>
      </c>
      <c r="AO83" s="25">
        <f t="shared" si="158"/>
        <v>0.30027376683486662</v>
      </c>
      <c r="AP83" s="25">
        <f t="shared" si="158"/>
        <v>0.30026037402063532</v>
      </c>
      <c r="AQ83" s="31"/>
    </row>
    <row r="84" spans="1:43" s="40" customFormat="1" outlineLevel="1" x14ac:dyDescent="0.3">
      <c r="B84" s="171" t="s">
        <v>181</v>
      </c>
      <c r="C84" s="172"/>
      <c r="D84" s="25">
        <f>D29/D16</f>
        <v>0.32113365005344174</v>
      </c>
      <c r="E84" s="25">
        <f>E29/E16</f>
        <v>0.30958805809494622</v>
      </c>
      <c r="F84" s="25">
        <f>F29/F16</f>
        <v>0.32946928132978437</v>
      </c>
      <c r="G84" s="25">
        <f>G29/G16</f>
        <v>0.33208432930637205</v>
      </c>
      <c r="H84" s="31"/>
      <c r="I84" s="25">
        <f>I29/I16</f>
        <v>0.23707774184035985</v>
      </c>
      <c r="J84" s="25">
        <f>J29/J16</f>
        <v>0.23981185841315616</v>
      </c>
      <c r="K84" s="25">
        <f>K29/K16</f>
        <v>0.25056649684434645</v>
      </c>
      <c r="L84" s="25">
        <f>L29/L16</f>
        <v>0.21643690175839933</v>
      </c>
      <c r="M84" s="31"/>
      <c r="N84" s="25">
        <f>N29/N16</f>
        <v>0.15437984470897576</v>
      </c>
      <c r="O84" s="25">
        <f>O29/O16</f>
        <v>0.1395362972668148</v>
      </c>
      <c r="P84" s="25">
        <f>P29/P16</f>
        <v>0.14975990186990792</v>
      </c>
      <c r="Q84" s="25">
        <f>Q83</f>
        <v>0.15427406277482714</v>
      </c>
      <c r="R84" s="31"/>
      <c r="S84" s="25">
        <f>S83</f>
        <v>0.18325975787713772</v>
      </c>
      <c r="T84" s="25">
        <f>T83</f>
        <v>0.1901018559921247</v>
      </c>
      <c r="U84" s="25">
        <f>U83</f>
        <v>0.21257495498096007</v>
      </c>
      <c r="V84" s="25">
        <f>V83</f>
        <v>0.23306987319613187</v>
      </c>
      <c r="W84" s="31"/>
      <c r="X84" s="25">
        <f>X83</f>
        <v>0.24177665342515089</v>
      </c>
      <c r="Y84" s="25">
        <f>Y83</f>
        <v>0.24163082519747583</v>
      </c>
      <c r="Z84" s="25">
        <f>Z83</f>
        <v>0.24148605863595698</v>
      </c>
      <c r="AA84" s="25">
        <f>AA83</f>
        <v>0.24134229017994541</v>
      </c>
      <c r="AB84" s="31"/>
      <c r="AC84" s="25">
        <f>AC83</f>
        <v>0.28459841304815181</v>
      </c>
      <c r="AD84" s="25">
        <f t="shared" ref="AD84:AK84" si="159">AD83</f>
        <v>0.28453122156923005</v>
      </c>
      <c r="AE84" s="25">
        <f t="shared" si="159"/>
        <v>0.28446501302227523</v>
      </c>
      <c r="AF84" s="25">
        <f t="shared" si="159"/>
        <v>0.28439973511368066</v>
      </c>
      <c r="AG84" s="31"/>
      <c r="AH84" s="25">
        <f t="shared" si="159"/>
        <v>0.30036986048942316</v>
      </c>
      <c r="AI84" s="25">
        <f t="shared" si="159"/>
        <v>0.30035177642937899</v>
      </c>
      <c r="AJ84" s="25">
        <f t="shared" si="159"/>
        <v>0.30033457504573585</v>
      </c>
      <c r="AK84" s="25">
        <f t="shared" si="159"/>
        <v>0.30031821332736131</v>
      </c>
      <c r="AL84" s="31"/>
      <c r="AM84" s="25">
        <f t="shared" ref="AM84:AP84" si="160">AM83</f>
        <v>0.30030265035560727</v>
      </c>
      <c r="AN84" s="25">
        <f t="shared" si="160"/>
        <v>0.30028784720266782</v>
      </c>
      <c r="AO84" s="25">
        <f t="shared" si="160"/>
        <v>0.30027376683486662</v>
      </c>
      <c r="AP84" s="25">
        <f t="shared" si="160"/>
        <v>0.30026037402063532</v>
      </c>
      <c r="AQ84" s="31"/>
    </row>
    <row r="85" spans="1:43" s="37" customFormat="1" outlineLevel="1" x14ac:dyDescent="0.3">
      <c r="B85" s="171" t="s">
        <v>191</v>
      </c>
      <c r="C85" s="172"/>
      <c r="D85" s="25">
        <f>D18/D16</f>
        <v>0.42057717104787695</v>
      </c>
      <c r="E85" s="25">
        <f>E18/E16</f>
        <v>0.41749575799254007</v>
      </c>
      <c r="F85" s="25">
        <f>F18/F16</f>
        <v>0.41254096728049688</v>
      </c>
      <c r="G85" s="25">
        <f>G18/G16</f>
        <v>0.4066225926165199</v>
      </c>
      <c r="H85" s="31"/>
      <c r="I85" s="25">
        <f>I18/I16</f>
        <v>0.48115313864718245</v>
      </c>
      <c r="J85" s="25">
        <f>J18/J16</f>
        <v>0.48291962783671505</v>
      </c>
      <c r="K85" s="25">
        <f>K18/K16</f>
        <v>0.47710947203001042</v>
      </c>
      <c r="L85" s="25">
        <f>L18/L16</f>
        <v>0.50549191946279337</v>
      </c>
      <c r="M85" s="31"/>
      <c r="N85" s="25">
        <f>N18/N16</f>
        <v>0.55512961528698901</v>
      </c>
      <c r="O85" s="25">
        <f>O18/O16</f>
        <v>0.5629064827884297</v>
      </c>
      <c r="P85" s="25">
        <f>P18/P16</f>
        <v>0.56047754786281301</v>
      </c>
      <c r="Q85" s="281">
        <v>0.55000000000000004</v>
      </c>
      <c r="R85" s="31"/>
      <c r="S85" s="281">
        <v>0.5</v>
      </c>
      <c r="T85" s="281">
        <f t="shared" ref="T85:V87" si="161">S85</f>
        <v>0.5</v>
      </c>
      <c r="U85" s="281">
        <v>0.5</v>
      </c>
      <c r="V85" s="281">
        <f t="shared" si="161"/>
        <v>0.5</v>
      </c>
      <c r="W85" s="31"/>
      <c r="X85" s="281">
        <v>0.5</v>
      </c>
      <c r="Y85" s="281">
        <f t="shared" ref="Y85:AA87" si="162">X85</f>
        <v>0.5</v>
      </c>
      <c r="Z85" s="281">
        <f t="shared" si="162"/>
        <v>0.5</v>
      </c>
      <c r="AA85" s="281">
        <f t="shared" si="162"/>
        <v>0.5</v>
      </c>
      <c r="AB85" s="31"/>
      <c r="AC85" s="281">
        <v>0.45</v>
      </c>
      <c r="AD85" s="281">
        <f t="shared" ref="AD85:AF87" si="163">AC85</f>
        <v>0.45</v>
      </c>
      <c r="AE85" s="281">
        <f t="shared" si="163"/>
        <v>0.45</v>
      </c>
      <c r="AF85" s="281">
        <f t="shared" si="163"/>
        <v>0.45</v>
      </c>
      <c r="AG85" s="31"/>
      <c r="AH85" s="281">
        <v>0.44</v>
      </c>
      <c r="AI85" s="281">
        <f t="shared" ref="AI85:AK87" si="164">AH85</f>
        <v>0.44</v>
      </c>
      <c r="AJ85" s="281">
        <f t="shared" si="164"/>
        <v>0.44</v>
      </c>
      <c r="AK85" s="281">
        <f t="shared" si="164"/>
        <v>0.44</v>
      </c>
      <c r="AL85" s="31"/>
      <c r="AM85" s="281">
        <v>0.44</v>
      </c>
      <c r="AN85" s="281">
        <f t="shared" ref="AN85:AN87" si="165">AM85</f>
        <v>0.44</v>
      </c>
      <c r="AO85" s="281">
        <f t="shared" ref="AO85:AO87" si="166">AN85</f>
        <v>0.44</v>
      </c>
      <c r="AP85" s="281">
        <f t="shared" ref="AP85:AP87" si="167">AO85</f>
        <v>0.44</v>
      </c>
      <c r="AQ85" s="31"/>
    </row>
    <row r="86" spans="1:43" s="40" customFormat="1" outlineLevel="1" x14ac:dyDescent="0.3">
      <c r="B86" s="258" t="s">
        <v>192</v>
      </c>
      <c r="C86" s="259"/>
      <c r="D86" s="25">
        <f>D19/D16</f>
        <v>0.19436065773308026</v>
      </c>
      <c r="E86" s="25">
        <f>E19/E16</f>
        <v>0.21098661244870348</v>
      </c>
      <c r="F86" s="25">
        <f>F19/F16</f>
        <v>0.19197131837688086</v>
      </c>
      <c r="G86" s="25">
        <f>G19/G16</f>
        <v>0.19820042925540696</v>
      </c>
      <c r="H86" s="31"/>
      <c r="I86" s="25">
        <f>I19/I16</f>
        <v>0.19415099020328305</v>
      </c>
      <c r="J86" s="25">
        <f>J19/J16</f>
        <v>0.1773366880998975</v>
      </c>
      <c r="K86" s="25">
        <f>K19/K16</f>
        <v>0.17708666007654678</v>
      </c>
      <c r="L86" s="25">
        <f>L19/L16</f>
        <v>0.17701110423975089</v>
      </c>
      <c r="M86" s="31"/>
      <c r="N86" s="25">
        <f>N19/N16</f>
        <v>0.17911186030316245</v>
      </c>
      <c r="O86" s="25">
        <f>O19/O16</f>
        <v>0.17998365626836138</v>
      </c>
      <c r="P86" s="25">
        <f>P19/P16</f>
        <v>0.1863217245248566</v>
      </c>
      <c r="Q86" s="281">
        <v>0.18</v>
      </c>
      <c r="R86" s="31"/>
      <c r="S86" s="281">
        <f>Q86</f>
        <v>0.18</v>
      </c>
      <c r="T86" s="281">
        <f t="shared" si="161"/>
        <v>0.18</v>
      </c>
      <c r="U86" s="281">
        <f t="shared" si="161"/>
        <v>0.18</v>
      </c>
      <c r="V86" s="281">
        <f t="shared" si="161"/>
        <v>0.18</v>
      </c>
      <c r="W86" s="31"/>
      <c r="X86" s="281">
        <f>V86</f>
        <v>0.18</v>
      </c>
      <c r="Y86" s="281">
        <f t="shared" si="162"/>
        <v>0.18</v>
      </c>
      <c r="Z86" s="281">
        <f t="shared" si="162"/>
        <v>0.18</v>
      </c>
      <c r="AA86" s="281">
        <f t="shared" si="162"/>
        <v>0.18</v>
      </c>
      <c r="AB86" s="31"/>
      <c r="AC86" s="281">
        <f>AA86</f>
        <v>0.18</v>
      </c>
      <c r="AD86" s="281">
        <f t="shared" si="163"/>
        <v>0.18</v>
      </c>
      <c r="AE86" s="281">
        <f t="shared" si="163"/>
        <v>0.18</v>
      </c>
      <c r="AF86" s="281">
        <f t="shared" si="163"/>
        <v>0.18</v>
      </c>
      <c r="AG86" s="31"/>
      <c r="AH86" s="281">
        <f>AF86</f>
        <v>0.18</v>
      </c>
      <c r="AI86" s="281">
        <f t="shared" si="164"/>
        <v>0.18</v>
      </c>
      <c r="AJ86" s="281">
        <f t="shared" si="164"/>
        <v>0.18</v>
      </c>
      <c r="AK86" s="281">
        <f t="shared" si="164"/>
        <v>0.18</v>
      </c>
      <c r="AL86" s="31"/>
      <c r="AM86" s="281">
        <f>AK86</f>
        <v>0.18</v>
      </c>
      <c r="AN86" s="281">
        <f t="shared" si="165"/>
        <v>0.18</v>
      </c>
      <c r="AO86" s="281">
        <f t="shared" si="166"/>
        <v>0.18</v>
      </c>
      <c r="AP86" s="281">
        <f t="shared" si="167"/>
        <v>0.18</v>
      </c>
      <c r="AQ86" s="31"/>
    </row>
    <row r="87" spans="1:43" s="40" customFormat="1" outlineLevel="1" x14ac:dyDescent="0.3">
      <c r="B87" s="171" t="s">
        <v>193</v>
      </c>
      <c r="C87" s="172"/>
      <c r="D87" s="25">
        <f>D20/D16</f>
        <v>4.0010954610635863E-2</v>
      </c>
      <c r="E87" s="25">
        <f>E20/E16</f>
        <v>4.1665109395205596E-2</v>
      </c>
      <c r="F87" s="25">
        <f>F20/F16</f>
        <v>4.4601372517065925E-2</v>
      </c>
      <c r="G87" s="25">
        <f>G20/G16</f>
        <v>4.1891882191643158E-2</v>
      </c>
      <c r="H87" s="31"/>
      <c r="I87" s="25">
        <f>I20/I16</f>
        <v>5.9323263575216598E-2</v>
      </c>
      <c r="J87" s="25">
        <f>J20/J16</f>
        <v>6.1965088847363028E-2</v>
      </c>
      <c r="K87" s="25">
        <f>K20/K16</f>
        <v>6.1617620966719897E-2</v>
      </c>
      <c r="L87" s="25">
        <f>L20/L16</f>
        <v>6.7128932865594376E-2</v>
      </c>
      <c r="M87" s="31"/>
      <c r="N87" s="25">
        <f>N20/N16</f>
        <v>7.1918097977832302E-2</v>
      </c>
      <c r="O87" s="25">
        <f>O20/O16</f>
        <v>7.5228440794494464E-2</v>
      </c>
      <c r="P87" s="25">
        <f>P20/P16</f>
        <v>5.8585337635817483E-2</v>
      </c>
      <c r="Q87" s="281">
        <v>7.0000000000000007E-2</v>
      </c>
      <c r="R87" s="31"/>
      <c r="S87" s="281">
        <v>7.0000000000000007E-2</v>
      </c>
      <c r="T87" s="281">
        <f t="shared" si="161"/>
        <v>7.0000000000000007E-2</v>
      </c>
      <c r="U87" s="281">
        <f t="shared" si="161"/>
        <v>7.0000000000000007E-2</v>
      </c>
      <c r="V87" s="281">
        <f t="shared" si="161"/>
        <v>7.0000000000000007E-2</v>
      </c>
      <c r="W87" s="31"/>
      <c r="X87" s="281">
        <f>V87</f>
        <v>7.0000000000000007E-2</v>
      </c>
      <c r="Y87" s="281">
        <f t="shared" si="162"/>
        <v>7.0000000000000007E-2</v>
      </c>
      <c r="Z87" s="281">
        <f t="shared" si="162"/>
        <v>7.0000000000000007E-2</v>
      </c>
      <c r="AA87" s="281">
        <f t="shared" si="162"/>
        <v>7.0000000000000007E-2</v>
      </c>
      <c r="AB87" s="31"/>
      <c r="AC87" s="281">
        <f>AA87</f>
        <v>7.0000000000000007E-2</v>
      </c>
      <c r="AD87" s="281">
        <f t="shared" si="163"/>
        <v>7.0000000000000007E-2</v>
      </c>
      <c r="AE87" s="281">
        <f t="shared" si="163"/>
        <v>7.0000000000000007E-2</v>
      </c>
      <c r="AF87" s="281">
        <f t="shared" si="163"/>
        <v>7.0000000000000007E-2</v>
      </c>
      <c r="AG87" s="31"/>
      <c r="AH87" s="281">
        <v>0.04</v>
      </c>
      <c r="AI87" s="281">
        <f t="shared" si="164"/>
        <v>0.04</v>
      </c>
      <c r="AJ87" s="281">
        <f t="shared" si="164"/>
        <v>0.04</v>
      </c>
      <c r="AK87" s="281">
        <f t="shared" si="164"/>
        <v>0.04</v>
      </c>
      <c r="AL87" s="31"/>
      <c r="AM87" s="281">
        <v>0.04</v>
      </c>
      <c r="AN87" s="281">
        <f t="shared" si="165"/>
        <v>0.04</v>
      </c>
      <c r="AO87" s="281">
        <f t="shared" si="166"/>
        <v>0.04</v>
      </c>
      <c r="AP87" s="281">
        <f t="shared" si="167"/>
        <v>0.04</v>
      </c>
      <c r="AQ87" s="31"/>
    </row>
    <row r="88" spans="1:43" s="40" customFormat="1" outlineLevel="1" x14ac:dyDescent="0.3">
      <c r="B88" s="255" t="s">
        <v>194</v>
      </c>
      <c r="C88" s="172"/>
      <c r="D88" s="25">
        <f>D23/D16</f>
        <v>4.7736237319467639E-3</v>
      </c>
      <c r="E88" s="272">
        <f>E23/E16</f>
        <v>-8.2074435084204776E-3</v>
      </c>
      <c r="F88" s="272">
        <f>F23/F16</f>
        <v>3.3570536150795806E-3</v>
      </c>
      <c r="G88" s="272">
        <f>G23/G16</f>
        <v>3.8869866701121952E-3</v>
      </c>
      <c r="H88" s="31"/>
      <c r="I88" s="272">
        <f>I23/I16</f>
        <v>1.5071872235458217E-3</v>
      </c>
      <c r="J88" s="272">
        <f>J23/J16</f>
        <v>8.8920932468156688E-3</v>
      </c>
      <c r="K88" s="272">
        <f>K23/K16</f>
        <v>1.1821661217144451E-2</v>
      </c>
      <c r="L88" s="272">
        <f>L23/L16</f>
        <v>-4.3672662992617238E-3</v>
      </c>
      <c r="M88" s="31"/>
      <c r="N88" s="272">
        <f>N23/N16</f>
        <v>-2.6033700625459656E-5</v>
      </c>
      <c r="O88" s="272">
        <f>O23/O16</f>
        <v>-3.1741958141136902E-4</v>
      </c>
      <c r="P88" s="272">
        <f>P23/P16</f>
        <v>-2.0072064286361449E-3</v>
      </c>
      <c r="Q88" s="282">
        <f>1-SUM(Q85:Q87)-Q93</f>
        <v>-1.547478770459243E-3</v>
      </c>
      <c r="R88" s="31"/>
      <c r="S88" s="282">
        <f>1-SUM(S85:S87)-S93</f>
        <v>2.2019999709206511E-2</v>
      </c>
      <c r="T88" s="282">
        <f>1-SUM(T85:T87)-T93</f>
        <v>1.8650754474262093E-2</v>
      </c>
      <c r="U88" s="282">
        <f>1-SUM(U85:U87)-U93</f>
        <v>-6.4112518026249177E-4</v>
      </c>
      <c r="V88" s="282">
        <f>1-SUM(V85:V87)-V93</f>
        <v>-1.8223017431194977E-2</v>
      </c>
      <c r="W88" s="31"/>
      <c r="X88" s="282">
        <f>1-SUM(X85:X87)-X93</f>
        <v>-2.4218861848377349E-2</v>
      </c>
      <c r="Y88" s="282">
        <f>1-SUM(Y85:Y87)-Y93</f>
        <v>-2.1606863845663793E-2</v>
      </c>
      <c r="Z88" s="282">
        <f>1-SUM(Z85:Z87)-Z93</f>
        <v>-1.9233419622829206E-2</v>
      </c>
      <c r="AA88" s="282">
        <f>1-SUM(AA85:AA87)-AA93</f>
        <v>-1.7075829163133105E-2</v>
      </c>
      <c r="AB88" s="31"/>
      <c r="AC88" s="282">
        <f>1-SUM(AC85:AC87)-AC93</f>
        <v>-8.5121463603080039E-3</v>
      </c>
      <c r="AD88" s="282">
        <f>1-SUM(AD85:AD87)-AD93</f>
        <v>-6.8003412018489695E-3</v>
      </c>
      <c r="AE88" s="282">
        <f>1-SUM(AE85:AE87)-AE93</f>
        <v>-5.2477154603486897E-3</v>
      </c>
      <c r="AF88" s="282">
        <f>1-SUM(AF85:AF87)-AF93</f>
        <v>-3.8388725423372239E-3</v>
      </c>
      <c r="AG88" s="31"/>
      <c r="AH88" s="282">
        <f>1-SUM(AH85:AH87)-AH93</f>
        <v>2.1405568581472079E-2</v>
      </c>
      <c r="AI88" s="282">
        <f>1-SUM(AI85:AI87)-AI93</f>
        <v>2.2521728642859618E-2</v>
      </c>
      <c r="AJ88" s="282">
        <f>1-SUM(AJ85:AJ87)-AJ93</f>
        <v>2.353180873243027E-2</v>
      </c>
      <c r="AK88" s="282">
        <f>1-SUM(AK85:AK87)-AK93</f>
        <v>2.4446048376781382E-2</v>
      </c>
      <c r="AL88" s="31"/>
      <c r="AM88" s="282">
        <f>1-SUM(AM85:AM87)-AM93</f>
        <v>2.5273694950530501E-2</v>
      </c>
      <c r="AN88" s="282">
        <f>1-SUM(AN85:AN87)-AN93</f>
        <v>2.6023100030919455E-2</v>
      </c>
      <c r="AO88" s="282">
        <f>1-SUM(AO85:AO87)-AO93</f>
        <v>2.670180638251668E-2</v>
      </c>
      <c r="AP88" s="282">
        <f>1-SUM(AP85:AP87)-AP93</f>
        <v>2.7316626483832984E-2</v>
      </c>
      <c r="AQ88" s="31"/>
    </row>
    <row r="89" spans="1:43" s="37" customFormat="1" outlineLevel="1" x14ac:dyDescent="0.3">
      <c r="B89" s="471" t="s">
        <v>195</v>
      </c>
      <c r="C89" s="472"/>
      <c r="D89" s="260">
        <f>D30/D16</f>
        <v>8.9881058793547432E-3</v>
      </c>
      <c r="E89" s="25">
        <f>E30/E16</f>
        <v>1.0442439509347366E-2</v>
      </c>
      <c r="F89" s="25">
        <f>F30/F16</f>
        <v>9.2744490919296728E-3</v>
      </c>
      <c r="G89" s="25">
        <f>G30/G16</f>
        <v>1.0343763234776867E-2</v>
      </c>
      <c r="H89" s="31"/>
      <c r="I89" s="25">
        <f>I30/I16</f>
        <v>1.1247735708635433E-2</v>
      </c>
      <c r="J89" s="25">
        <f>J30/J16</f>
        <v>1.5282825458950704E-2</v>
      </c>
      <c r="K89" s="25">
        <f>K30/K16</f>
        <v>1.7595620104934987E-2</v>
      </c>
      <c r="L89" s="25">
        <f>L30/L16</f>
        <v>1.8552672624683263E-2</v>
      </c>
      <c r="M89" s="31"/>
      <c r="N89" s="25">
        <f>N30/N16</f>
        <v>2.2349931986957117E-2</v>
      </c>
      <c r="O89" s="25">
        <f>O30/O16</f>
        <v>2.0402650115824379E-2</v>
      </c>
      <c r="P89" s="25">
        <f>P30/P16</f>
        <v>1.7904560122105059E-2</v>
      </c>
      <c r="Q89" s="281">
        <v>0.02</v>
      </c>
      <c r="R89" s="31"/>
      <c r="S89" s="281">
        <v>0.02</v>
      </c>
      <c r="T89" s="281">
        <f t="shared" ref="T89:V90" si="168">S89</f>
        <v>0.02</v>
      </c>
      <c r="U89" s="281">
        <f t="shared" si="168"/>
        <v>0.02</v>
      </c>
      <c r="V89" s="281">
        <f t="shared" si="168"/>
        <v>0.02</v>
      </c>
      <c r="W89" s="31"/>
      <c r="X89" s="281">
        <v>0.01</v>
      </c>
      <c r="Y89" s="281">
        <f t="shared" ref="Y89:AA90" si="169">X89</f>
        <v>0.01</v>
      </c>
      <c r="Z89" s="281">
        <f t="shared" si="169"/>
        <v>0.01</v>
      </c>
      <c r="AA89" s="281">
        <f t="shared" si="169"/>
        <v>0.01</v>
      </c>
      <c r="AB89" s="31"/>
      <c r="AC89" s="281">
        <f>AA89</f>
        <v>0.01</v>
      </c>
      <c r="AD89" s="281">
        <f t="shared" ref="AD89:AF90" si="170">AC89</f>
        <v>0.01</v>
      </c>
      <c r="AE89" s="281">
        <f t="shared" si="170"/>
        <v>0.01</v>
      </c>
      <c r="AF89" s="281">
        <f t="shared" si="170"/>
        <v>0.01</v>
      </c>
      <c r="AG89" s="31"/>
      <c r="AH89" s="281">
        <f>AF89</f>
        <v>0.01</v>
      </c>
      <c r="AI89" s="281">
        <f t="shared" ref="AI89:AK90" si="171">AH89</f>
        <v>0.01</v>
      </c>
      <c r="AJ89" s="281">
        <f t="shared" si="171"/>
        <v>0.01</v>
      </c>
      <c r="AK89" s="281">
        <f t="shared" si="171"/>
        <v>0.01</v>
      </c>
      <c r="AL89" s="31"/>
      <c r="AM89" s="281">
        <f>AK89</f>
        <v>0.01</v>
      </c>
      <c r="AN89" s="281">
        <f t="shared" ref="AN89:AN90" si="172">AM89</f>
        <v>0.01</v>
      </c>
      <c r="AO89" s="281">
        <f t="shared" ref="AO89:AO90" si="173">AN89</f>
        <v>0.01</v>
      </c>
      <c r="AP89" s="281">
        <f t="shared" ref="AP89:AP90" si="174">AO89</f>
        <v>0.01</v>
      </c>
      <c r="AQ89" s="31"/>
    </row>
    <row r="90" spans="1:43" s="40" customFormat="1" outlineLevel="1" x14ac:dyDescent="0.3">
      <c r="B90" s="471" t="s">
        <v>38</v>
      </c>
      <c r="C90" s="472"/>
      <c r="D90" s="380">
        <f>D32/D31</f>
        <v>0.23999552594949294</v>
      </c>
      <c r="E90" s="25">
        <f>E32/E31</f>
        <v>0.2119990164740595</v>
      </c>
      <c r="F90" s="38">
        <f>F32/F31</f>
        <v>0.23000496770988574</v>
      </c>
      <c r="G90" s="38">
        <f>G32/G31</f>
        <v>0.23799789877580851</v>
      </c>
      <c r="H90" s="55"/>
      <c r="I90" s="38">
        <f>I32/I31</f>
        <v>0.22999454283871607</v>
      </c>
      <c r="J90" s="38">
        <f>J32/J31</f>
        <v>0.22500390825647096</v>
      </c>
      <c r="K90" s="38">
        <f>K32/K31</f>
        <v>0.22499826977645512</v>
      </c>
      <c r="L90" s="38">
        <f>L32/L31</f>
        <v>0.23000197511356904</v>
      </c>
      <c r="M90" s="55"/>
      <c r="N90" s="38">
        <f>N32/N31</f>
        <v>0.22500768994155645</v>
      </c>
      <c r="O90" s="38">
        <f>O32/O31</f>
        <v>3.8998023945135421E-2</v>
      </c>
      <c r="P90" s="38">
        <f>P32/P31</f>
        <v>0.10999524287753053</v>
      </c>
      <c r="Q90" s="382">
        <v>0.06</v>
      </c>
      <c r="R90" s="55"/>
      <c r="S90" s="383">
        <v>0.2</v>
      </c>
      <c r="T90" s="383">
        <f t="shared" si="168"/>
        <v>0.2</v>
      </c>
      <c r="U90" s="383">
        <f t="shared" si="168"/>
        <v>0.2</v>
      </c>
      <c r="V90" s="383">
        <f t="shared" si="168"/>
        <v>0.2</v>
      </c>
      <c r="W90" s="55"/>
      <c r="X90" s="384">
        <v>0.2</v>
      </c>
      <c r="Y90" s="383">
        <f t="shared" si="169"/>
        <v>0.2</v>
      </c>
      <c r="Z90" s="383">
        <f t="shared" si="169"/>
        <v>0.2</v>
      </c>
      <c r="AA90" s="383">
        <f t="shared" si="169"/>
        <v>0.2</v>
      </c>
      <c r="AB90" s="55"/>
      <c r="AC90" s="383">
        <v>0.23</v>
      </c>
      <c r="AD90" s="383">
        <f t="shared" si="170"/>
        <v>0.23</v>
      </c>
      <c r="AE90" s="383">
        <f t="shared" si="170"/>
        <v>0.23</v>
      </c>
      <c r="AF90" s="383">
        <f t="shared" si="170"/>
        <v>0.23</v>
      </c>
      <c r="AG90" s="55"/>
      <c r="AH90" s="383">
        <f>AF90</f>
        <v>0.23</v>
      </c>
      <c r="AI90" s="383">
        <f t="shared" si="171"/>
        <v>0.23</v>
      </c>
      <c r="AJ90" s="383">
        <f t="shared" si="171"/>
        <v>0.23</v>
      </c>
      <c r="AK90" s="383">
        <f t="shared" si="171"/>
        <v>0.23</v>
      </c>
      <c r="AL90" s="55"/>
      <c r="AM90" s="383">
        <f>AK90</f>
        <v>0.23</v>
      </c>
      <c r="AN90" s="383">
        <f t="shared" si="172"/>
        <v>0.23</v>
      </c>
      <c r="AO90" s="383">
        <f t="shared" si="173"/>
        <v>0.23</v>
      </c>
      <c r="AP90" s="383">
        <f t="shared" si="174"/>
        <v>0.23</v>
      </c>
      <c r="AQ90" s="55"/>
    </row>
    <row r="91" spans="1:43" s="41" customFormat="1" x14ac:dyDescent="0.3">
      <c r="B91" s="453" t="s">
        <v>184</v>
      </c>
      <c r="C91" s="454"/>
      <c r="D91" s="33"/>
      <c r="E91" s="381"/>
      <c r="F91" s="33"/>
      <c r="G91" s="33"/>
      <c r="H91" s="26"/>
      <c r="I91" s="33"/>
      <c r="J91" s="33"/>
      <c r="K91" s="33"/>
      <c r="L91" s="33"/>
      <c r="M91" s="26"/>
      <c r="N91" s="33"/>
      <c r="O91" s="33"/>
      <c r="P91" s="33"/>
      <c r="Q91" s="33"/>
      <c r="R91" s="26"/>
      <c r="S91" s="33"/>
      <c r="T91" s="33"/>
      <c r="U91" s="33"/>
      <c r="V91" s="33"/>
      <c r="W91" s="26"/>
      <c r="X91" s="33"/>
      <c r="Y91" s="33"/>
      <c r="Z91" s="33"/>
      <c r="AA91" s="33"/>
      <c r="AB91" s="26"/>
      <c r="AC91" s="33"/>
      <c r="AD91" s="33"/>
      <c r="AE91" s="33"/>
      <c r="AF91" s="33"/>
      <c r="AG91" s="26"/>
      <c r="AH91" s="33"/>
      <c r="AI91" s="33"/>
      <c r="AJ91" s="33"/>
      <c r="AK91" s="33"/>
      <c r="AL91" s="26"/>
      <c r="AM91" s="33"/>
      <c r="AN91" s="33"/>
      <c r="AO91" s="33"/>
      <c r="AP91" s="33"/>
      <c r="AQ91" s="26"/>
    </row>
    <row r="92" spans="1:43" s="41" customFormat="1" ht="15" customHeight="1" outlineLevel="1" x14ac:dyDescent="0.3">
      <c r="B92" s="169" t="s">
        <v>182</v>
      </c>
      <c r="C92" s="170"/>
      <c r="D92" s="272">
        <f>(D16-D18-D19)/D16</f>
        <v>0.38506217121904279</v>
      </c>
      <c r="E92" s="272">
        <f>(E16-E18-E19)/E16</f>
        <v>0.3715176295587565</v>
      </c>
      <c r="F92" s="272">
        <f>(F16-F18-F19)/F16</f>
        <v>0.39548771434262225</v>
      </c>
      <c r="G92" s="272">
        <f>(G16-G18-G19)/G16</f>
        <v>0.39517697812807318</v>
      </c>
      <c r="H92" s="273"/>
      <c r="I92" s="272">
        <f>(I16-I18-I19)/I16</f>
        <v>0.32469587114953452</v>
      </c>
      <c r="J92" s="272">
        <f>(J16-J18-J19)/J16</f>
        <v>0.33974368406338745</v>
      </c>
      <c r="K92" s="272">
        <f>(K16-K18-K19)/K16</f>
        <v>0.34580386789344281</v>
      </c>
      <c r="L92" s="272">
        <f>(L16-L18-L19)/L16</f>
        <v>0.31749697629745571</v>
      </c>
      <c r="M92" s="273"/>
      <c r="N92" s="272">
        <f>(N16-N18-N19)/N16</f>
        <v>0.26575852440984854</v>
      </c>
      <c r="O92" s="272">
        <f>(O16-O18-O19)/O16</f>
        <v>0.25710986094320892</v>
      </c>
      <c r="P92" s="272">
        <f>(P16-P18-P19)/P16</f>
        <v>0.25320072761233037</v>
      </c>
      <c r="Q92" s="272">
        <f>(Q16-Q18-Q19)/Q16</f>
        <v>0.27</v>
      </c>
      <c r="R92" s="273"/>
      <c r="S92" s="272">
        <f>(S16-S18-S19)/S16</f>
        <v>0.32</v>
      </c>
      <c r="T92" s="272">
        <f>(T16-T18-T19)/T16</f>
        <v>0.31999999999999995</v>
      </c>
      <c r="U92" s="272">
        <f>(U16-U18-U19)/U16</f>
        <v>0.32</v>
      </c>
      <c r="V92" s="272">
        <f>(V16-V18-V19)/V16</f>
        <v>0.32</v>
      </c>
      <c r="W92" s="273"/>
      <c r="X92" s="272">
        <f>(X16-X18-X19)/X16</f>
        <v>0.32</v>
      </c>
      <c r="Y92" s="272">
        <f>(Y16-Y18-Y19)/Y16</f>
        <v>0.32</v>
      </c>
      <c r="Z92" s="272">
        <f>(Z16-Z18-Z19)/Z16</f>
        <v>0.32</v>
      </c>
      <c r="AA92" s="272">
        <f>(AA16-AA18-AA19)/AA16</f>
        <v>0.32</v>
      </c>
      <c r="AB92" s="273"/>
      <c r="AC92" s="272">
        <f>(AC16-AC18-AC19)/AC16</f>
        <v>0.37000000000000005</v>
      </c>
      <c r="AD92" s="272">
        <f>(AD16-AD18-AD19)/AD16</f>
        <v>0.37000000000000005</v>
      </c>
      <c r="AE92" s="272">
        <f>(AE16-AE18-AE19)/AE16</f>
        <v>0.37</v>
      </c>
      <c r="AF92" s="272">
        <f>(AF16-AF18-AF19)/AF16</f>
        <v>0.37</v>
      </c>
      <c r="AG92" s="273"/>
      <c r="AH92" s="272">
        <f>(AH16-AH18-AH19)/AH16</f>
        <v>0.38</v>
      </c>
      <c r="AI92" s="272">
        <f>(AI16-AI18-AI19)/AI16</f>
        <v>0.37999999999999995</v>
      </c>
      <c r="AJ92" s="272">
        <f>(AJ16-AJ18-AJ19)/AJ16</f>
        <v>0.38</v>
      </c>
      <c r="AK92" s="272">
        <f>(AK16-AK18-AK19)/AK16</f>
        <v>0.38</v>
      </c>
      <c r="AL92" s="273"/>
      <c r="AM92" s="272">
        <f>(AM16-AM18-AM19)/AM16</f>
        <v>0.37999999999999995</v>
      </c>
      <c r="AN92" s="272">
        <f>(AN16-AN18-AN19)/AN16</f>
        <v>0.38000000000000006</v>
      </c>
      <c r="AO92" s="272">
        <f>(AO16-AO18-AO19)/AO16</f>
        <v>0.38</v>
      </c>
      <c r="AP92" s="272">
        <f>(AP16-AP18-AP19)/AP16</f>
        <v>0.38</v>
      </c>
      <c r="AQ92" s="273"/>
    </row>
    <row r="93" spans="1:43" s="41" customFormat="1" ht="15" customHeight="1" outlineLevel="1" x14ac:dyDescent="0.3">
      <c r="B93" s="169" t="s">
        <v>185</v>
      </c>
      <c r="C93" s="170"/>
      <c r="D93" s="272">
        <f>(D25+D21+D22)/D16</f>
        <v>0.34027759287646014</v>
      </c>
      <c r="E93" s="272">
        <f>(E25+E21+E22)/E16</f>
        <v>0.33805996367197133</v>
      </c>
      <c r="F93" s="272">
        <f>(F25+F21+F22)/F16</f>
        <v>0.34752928821047674</v>
      </c>
      <c r="G93" s="272">
        <f>(G25+G21+G22)/G16</f>
        <v>0.34939810926631781</v>
      </c>
      <c r="H93" s="273"/>
      <c r="I93" s="272">
        <f>(I25+I21+I22)/I16</f>
        <v>0.2306792171987849</v>
      </c>
      <c r="J93" s="272">
        <f>(J25+J21+J22)/J16</f>
        <v>0.26888650196920871</v>
      </c>
      <c r="K93" s="272">
        <f>(K25+K21+K22)/K16</f>
        <v>0.2723645857095785</v>
      </c>
      <c r="L93" s="272">
        <f>(L25+L21+L22)/L16</f>
        <v>0.16797556957799512</v>
      </c>
      <c r="M93" s="273"/>
      <c r="N93" s="272">
        <f>(N25+N21+N22)/N16</f>
        <v>0.19386646013264169</v>
      </c>
      <c r="O93" s="272">
        <f>(O25+O21+O22)/O16</f>
        <v>0.18219883973012582</v>
      </c>
      <c r="P93" s="272">
        <f>(P25+P21+P22)/P16</f>
        <v>0.19662259640514904</v>
      </c>
      <c r="Q93" s="272">
        <f>(Q25+Q21+Q22)/Q16</f>
        <v>0.2015474787704592</v>
      </c>
      <c r="R93" s="273"/>
      <c r="S93" s="272">
        <f>(S25+S21+S22)/S16</f>
        <v>0.22798000029079349</v>
      </c>
      <c r="T93" s="272">
        <f>(T25+T21+T22)/T16</f>
        <v>0.23134924552573791</v>
      </c>
      <c r="U93" s="272">
        <f>(U25+U21+U22)/U16</f>
        <v>0.25064112518026249</v>
      </c>
      <c r="V93" s="272">
        <f>(V25+V21+V22)/V16</f>
        <v>0.26822301743119498</v>
      </c>
      <c r="W93" s="273"/>
      <c r="X93" s="272">
        <f>(X25+X21+X22)/X16</f>
        <v>0.27421886184837735</v>
      </c>
      <c r="Y93" s="272">
        <f>(Y25+Y21+Y22)/Y16</f>
        <v>0.27160686384566379</v>
      </c>
      <c r="Z93" s="272">
        <f>(Z25+Z21+Z22)/Z16</f>
        <v>0.26923341962282921</v>
      </c>
      <c r="AA93" s="272">
        <f>(AA25+AA21+AA22)/AA16</f>
        <v>0.2670758291631331</v>
      </c>
      <c r="AB93" s="273"/>
      <c r="AC93" s="272">
        <f>(AC25+AC21+AC22)/AC16</f>
        <v>0.30851214636030805</v>
      </c>
      <c r="AD93" s="272">
        <f>(AD25+AD21+AD22)/AD16</f>
        <v>0.30680034120184901</v>
      </c>
      <c r="AE93" s="272">
        <f>(AE25+AE21+AE22)/AE16</f>
        <v>0.30524771546034873</v>
      </c>
      <c r="AF93" s="272">
        <f>(AF25+AF21+AF22)/AF16</f>
        <v>0.30383887254233727</v>
      </c>
      <c r="AG93" s="273"/>
      <c r="AH93" s="272">
        <f>(AH25+AH21+AH22)/AH16</f>
        <v>0.31859443141852789</v>
      </c>
      <c r="AI93" s="272">
        <f>(AI25+AI21+AI22)/AI16</f>
        <v>0.31747827135714035</v>
      </c>
      <c r="AJ93" s="272">
        <f>(AJ25+AJ21+AJ22)/AJ16</f>
        <v>0.3164681912675697</v>
      </c>
      <c r="AK93" s="272">
        <f>(AK25+AK21+AK22)/AK16</f>
        <v>0.31555395162321859</v>
      </c>
      <c r="AL93" s="273"/>
      <c r="AM93" s="272">
        <f>(AM25+AM21+AM22)/AM16</f>
        <v>0.31472630504946947</v>
      </c>
      <c r="AN93" s="272">
        <f>(AN25+AN21+AN22)/AN16</f>
        <v>0.31397689996908051</v>
      </c>
      <c r="AO93" s="272">
        <f>(AO25+AO21+AO22)/AO16</f>
        <v>0.31329819361748329</v>
      </c>
      <c r="AP93" s="272">
        <f>(AP25+AP21+AP22)/AP16</f>
        <v>0.31268337351616698</v>
      </c>
      <c r="AQ93" s="273"/>
    </row>
    <row r="94" spans="1:43" s="41" customFormat="1" ht="15" customHeight="1" outlineLevel="1" x14ac:dyDescent="0.3">
      <c r="B94" s="169" t="s">
        <v>186</v>
      </c>
      <c r="C94" s="170"/>
      <c r="D94" s="272">
        <f>(D25+D22)/D16</f>
        <v>0.31615462737207262</v>
      </c>
      <c r="E94" s="272">
        <f>(E25+E22)/E16</f>
        <v>0.31553434344189385</v>
      </c>
      <c r="F94" s="272">
        <f>(F25+F22)/F16</f>
        <v>0.32448983287160266</v>
      </c>
      <c r="G94" s="272">
        <f>(G25+G22)/G16</f>
        <v>0.3258321309875028</v>
      </c>
      <c r="H94" s="273"/>
      <c r="I94" s="272">
        <f>(I25+I22)/I16</f>
        <v>0.20098013976587109</v>
      </c>
      <c r="J94" s="272">
        <f>(J25+J22)/J16</f>
        <v>0.23577044372182904</v>
      </c>
      <c r="K94" s="272">
        <f>(K25+K22)/K16</f>
        <v>0.23842546827871139</v>
      </c>
      <c r="L94" s="272">
        <f>(L25+L22)/L16</f>
        <v>0.13101798897785172</v>
      </c>
      <c r="M94" s="273"/>
      <c r="N94" s="272">
        <f>(N25+N22)/N16</f>
        <v>0.15073512662141142</v>
      </c>
      <c r="O94" s="272">
        <f>(O25+O22)/O16</f>
        <v>0.13809102513017579</v>
      </c>
      <c r="P94" s="272">
        <f>(P25+P22)/P16</f>
        <v>0.15098652802074114</v>
      </c>
      <c r="Q94" s="272">
        <f>(Q25+Q22)/Q16</f>
        <v>0.15563413375592394</v>
      </c>
      <c r="R94" s="273"/>
      <c r="S94" s="272">
        <f>(S25+S22)/S16</f>
        <v>0.18459333256867419</v>
      </c>
      <c r="T94" s="272">
        <f>(T25+T22)/T16</f>
        <v>0.19134660367854447</v>
      </c>
      <c r="U94" s="272">
        <f>(U25+U22)/U16</f>
        <v>0.21373647831258633</v>
      </c>
      <c r="V94" s="272">
        <f>(V25+V22)/V16</f>
        <v>0.23415373353750268</v>
      </c>
      <c r="W94" s="273"/>
      <c r="X94" s="272">
        <f>(X25+X22)/X16</f>
        <v>0.24278673044569316</v>
      </c>
      <c r="Y94" s="272">
        <f>(Y25+Y22)/Y16</f>
        <v>0.24257213743901199</v>
      </c>
      <c r="Z94" s="272">
        <f>(Z25+Z22)/Z16</f>
        <v>0.24236328357244369</v>
      </c>
      <c r="AA94" s="272">
        <f>(AA25+AA22)/AA16</f>
        <v>0.24215978737825547</v>
      </c>
      <c r="AB94" s="273"/>
      <c r="AC94" s="272">
        <f>(AC25+AC22)/AC16</f>
        <v>0.2853602457575769</v>
      </c>
      <c r="AD94" s="272">
        <f>(AD25+AD22)/AD16</f>
        <v>0.28524117684594708</v>
      </c>
      <c r="AE94" s="272">
        <f>(AE25+AE22)/AE16</f>
        <v>0.28512662048811432</v>
      </c>
      <c r="AF94" s="272">
        <f>(AF25+AF22)/AF16</f>
        <v>0.28501628444180571</v>
      </c>
      <c r="AG94" s="273"/>
      <c r="AH94" s="272">
        <f>(AH25+AH22)/AH16</f>
        <v>0.30094441770325908</v>
      </c>
      <c r="AI94" s="272">
        <f>(AI25+AI22)/AI16</f>
        <v>0.30088719909527045</v>
      </c>
      <c r="AJ94" s="272">
        <f>(AJ25+AJ22)/AJ16</f>
        <v>0.30083352643436689</v>
      </c>
      <c r="AK94" s="272">
        <f>(AK25+AK22)/AK16</f>
        <v>0.30078317561388074</v>
      </c>
      <c r="AL94" s="273"/>
      <c r="AM94" s="272">
        <f>(AM25+AM22)/AM16</f>
        <v>0.30073593692366435</v>
      </c>
      <c r="AN94" s="272">
        <f>(AN25+AN22)/AN16</f>
        <v>0.30069161411314271</v>
      </c>
      <c r="AO94" s="272">
        <f>(AO25+AO22)/AO16</f>
        <v>0.30065002351596015</v>
      </c>
      <c r="AP94" s="272">
        <f>(AP25+AP22)/AP16</f>
        <v>0.30061099323214174</v>
      </c>
      <c r="AQ94" s="273"/>
    </row>
    <row r="95" spans="1:43" s="41" customFormat="1" ht="15" customHeight="1" outlineLevel="1" x14ac:dyDescent="0.3">
      <c r="B95" s="169" t="s">
        <v>187</v>
      </c>
      <c r="C95" s="170"/>
      <c r="D95" s="272">
        <f>D25/D16</f>
        <v>0.31504775525574069</v>
      </c>
      <c r="E95" s="272">
        <f>E25/E16</f>
        <v>0.31444674505348291</v>
      </c>
      <c r="F95" s="272">
        <f>F25/F16</f>
        <v>0.3227406884313832</v>
      </c>
      <c r="G95" s="272">
        <f>G25/G16</f>
        <v>0.32463337424898248</v>
      </c>
      <c r="H95" s="273"/>
      <c r="I95" s="272">
        <f>I25/I16</f>
        <v>0.19994570381430704</v>
      </c>
      <c r="J95" s="272">
        <f>J25/J16</f>
        <v>0.2348974196744307</v>
      </c>
      <c r="K95" s="272">
        <f>K25/K16</f>
        <v>0.23733556383544976</v>
      </c>
      <c r="L95" s="272">
        <f>L25/L16</f>
        <v>0.12938710507161114</v>
      </c>
      <c r="M95" s="273"/>
      <c r="N95" s="272">
        <f>N25/N16</f>
        <v>0.14930327308701113</v>
      </c>
      <c r="O95" s="272">
        <f>O25/O16</f>
        <v>0.13660523134484598</v>
      </c>
      <c r="P95" s="272">
        <f>P25/P16</f>
        <v>0.14975990186990792</v>
      </c>
      <c r="Q95" s="272">
        <f>Q25/Q16</f>
        <v>0.15427406277482714</v>
      </c>
      <c r="R95" s="273"/>
      <c r="S95" s="272">
        <f>S25/S16</f>
        <v>0.18325975787713772</v>
      </c>
      <c r="T95" s="272">
        <f>T25/T16</f>
        <v>0.1901018559921247</v>
      </c>
      <c r="U95" s="272">
        <f>U25/U16</f>
        <v>0.21257495498096007</v>
      </c>
      <c r="V95" s="272">
        <f>V25/V16</f>
        <v>0.23306987319613187</v>
      </c>
      <c r="W95" s="273"/>
      <c r="X95" s="272">
        <f>X25/X16</f>
        <v>0.24177665342515089</v>
      </c>
      <c r="Y95" s="272">
        <f>Y25/Y16</f>
        <v>0.24163082519747583</v>
      </c>
      <c r="Z95" s="272">
        <f>Z25/Z16</f>
        <v>0.24148605863595698</v>
      </c>
      <c r="AA95" s="272">
        <f>AA25/AA16</f>
        <v>0.24134229017994541</v>
      </c>
      <c r="AB95" s="273"/>
      <c r="AC95" s="272">
        <f>AC25/AC16</f>
        <v>0.28459841304815181</v>
      </c>
      <c r="AD95" s="272">
        <f>AD25/AD16</f>
        <v>0.28453122156923005</v>
      </c>
      <c r="AE95" s="272">
        <f>AE25/AE16</f>
        <v>0.28446501302227523</v>
      </c>
      <c r="AF95" s="272">
        <f>AF25/AF16</f>
        <v>0.28439973511368066</v>
      </c>
      <c r="AG95" s="273"/>
      <c r="AH95" s="272">
        <f>AH25/AH16</f>
        <v>0.30036986048942316</v>
      </c>
      <c r="AI95" s="272">
        <f>AI25/AI16</f>
        <v>0.30035177642937899</v>
      </c>
      <c r="AJ95" s="272">
        <f>AJ25/AJ16</f>
        <v>0.30033457504573585</v>
      </c>
      <c r="AK95" s="272">
        <f>AK25/AK16</f>
        <v>0.30031821332736131</v>
      </c>
      <c r="AL95" s="273"/>
      <c r="AM95" s="272">
        <f>AM25/AM16</f>
        <v>0.30030265035560727</v>
      </c>
      <c r="AN95" s="272">
        <f>AN25/AN16</f>
        <v>0.30028784720266782</v>
      </c>
      <c r="AO95" s="272">
        <f>AO25/AO16</f>
        <v>0.30027376683486662</v>
      </c>
      <c r="AP95" s="272">
        <f>AP25/AP16</f>
        <v>0.30026037402063532</v>
      </c>
      <c r="AQ95" s="273"/>
    </row>
    <row r="96" spans="1:43" s="41" customFormat="1" ht="15" customHeight="1" outlineLevel="1" x14ac:dyDescent="0.3">
      <c r="B96" s="3" t="s">
        <v>188</v>
      </c>
      <c r="C96" s="170"/>
      <c r="D96" s="272">
        <f>D33/D16</f>
        <v>0.23260670285238283</v>
      </c>
      <c r="E96" s="272">
        <f>E33/E16</f>
        <v>0.23955569176489935</v>
      </c>
      <c r="F96" s="272">
        <f>F33/F16</f>
        <v>0.24136744708204319</v>
      </c>
      <c r="G96" s="272">
        <f>G33/G16</f>
        <v>0.2394893439857585</v>
      </c>
      <c r="H96" s="273"/>
      <c r="I96" s="272">
        <f>I33/I16</f>
        <v>0.14529846519661305</v>
      </c>
      <c r="J96" s="272">
        <f>J33/J16</f>
        <v>0.17020045220683802</v>
      </c>
      <c r="K96" s="272">
        <f>K33/K16</f>
        <v>0.17029883659037334</v>
      </c>
      <c r="L96" s="272">
        <f>L33/L16</f>
        <v>8.5342294073543018E-2</v>
      </c>
      <c r="M96" s="273"/>
      <c r="N96" s="272">
        <f>N33/N16</f>
        <v>9.8387863088768415E-2</v>
      </c>
      <c r="O96" s="272">
        <f>O33/O16</f>
        <v>0.11167091018376568</v>
      </c>
      <c r="P96" s="272">
        <f>P33/P16</f>
        <v>0.11735188140755351</v>
      </c>
      <c r="Q96" s="272">
        <f>Q33/Q16</f>
        <v>0.1262176190083375</v>
      </c>
      <c r="R96" s="273"/>
      <c r="S96" s="272">
        <f>S33/S16</f>
        <v>0.13060780630171018</v>
      </c>
      <c r="T96" s="272">
        <f>T33/T16</f>
        <v>0.13608148479369975</v>
      </c>
      <c r="U96" s="272">
        <f>U33/U16</f>
        <v>0.15405996398476804</v>
      </c>
      <c r="V96" s="272">
        <f>V33/V16</f>
        <v>0.17045589855690549</v>
      </c>
      <c r="W96" s="273"/>
      <c r="X96" s="272">
        <f>X33/X16</f>
        <v>0.18542132274012074</v>
      </c>
      <c r="Y96" s="272">
        <f>Y33/Y16</f>
        <v>0.18530466015798067</v>
      </c>
      <c r="Z96" s="272">
        <f>Z33/Z16</f>
        <v>0.18518884690876558</v>
      </c>
      <c r="AA96" s="272">
        <f>AA33/AA16</f>
        <v>0.18507383214395634</v>
      </c>
      <c r="AB96" s="273"/>
      <c r="AC96" s="272">
        <f>AC33/AC16</f>
        <v>0.21144077804707684</v>
      </c>
      <c r="AD96" s="272">
        <f>AD33/AD16</f>
        <v>0.21138904060830713</v>
      </c>
      <c r="AE96" s="272">
        <f>AE33/AE16</f>
        <v>0.21133806002715189</v>
      </c>
      <c r="AF96" s="272">
        <f>AF33/AF16</f>
        <v>0.21128779603753414</v>
      </c>
      <c r="AG96" s="273"/>
      <c r="AH96" s="272">
        <f>AH33/AH16</f>
        <v>0.22358479257685587</v>
      </c>
      <c r="AI96" s="272">
        <f>AI33/AI16</f>
        <v>0.22357086785062183</v>
      </c>
      <c r="AJ96" s="272">
        <f>AJ33/AJ16</f>
        <v>0.2235576227852166</v>
      </c>
      <c r="AK96" s="272">
        <f>AK33/AK16</f>
        <v>0.22354502426206824</v>
      </c>
      <c r="AL96" s="273"/>
      <c r="AM96" s="272">
        <f>AM33/AM16</f>
        <v>0.22353304077381761</v>
      </c>
      <c r="AN96" s="272">
        <f>AN33/AN16</f>
        <v>0.22352164234605426</v>
      </c>
      <c r="AO96" s="272">
        <f>AO33/AO16</f>
        <v>0.22351080046284724</v>
      </c>
      <c r="AP96" s="272">
        <f>AP33/AP16</f>
        <v>0.2235004879958892</v>
      </c>
      <c r="AQ96" s="273"/>
    </row>
    <row r="97" spans="2:43" s="41" customFormat="1" ht="15" customHeight="1" outlineLevel="1" x14ac:dyDescent="0.3">
      <c r="B97" s="169" t="s">
        <v>189</v>
      </c>
      <c r="C97" s="170"/>
      <c r="D97" s="272">
        <f>D35/D16</f>
        <v>0.23226817495426069</v>
      </c>
      <c r="E97" s="272">
        <f>E35/E16</f>
        <v>0.23820273431952221</v>
      </c>
      <c r="F97" s="272">
        <f>F35/F16</f>
        <v>0.24081337027178734</v>
      </c>
      <c r="G97" s="272">
        <f>G35/G16</f>
        <v>0.23756200156484414</v>
      </c>
      <c r="H97" s="273"/>
      <c r="I97" s="272">
        <f>I35/I16</f>
        <v>0.14696947711837036</v>
      </c>
      <c r="J97" s="272">
        <f>J35/J16</f>
        <v>0.16982770036637582</v>
      </c>
      <c r="K97" s="272">
        <f>K35/K16</f>
        <v>0.16933566522190963</v>
      </c>
      <c r="L97" s="272">
        <f>L35/L16</f>
        <v>8.4379087471199571E-2</v>
      </c>
      <c r="M97" s="273"/>
      <c r="N97" s="272">
        <f>N35/N16</f>
        <v>9.8160068208295634E-2</v>
      </c>
      <c r="O97" s="272">
        <f>O35/O16</f>
        <v>0.11227198130601274</v>
      </c>
      <c r="P97" s="272">
        <f>P35/P16</f>
        <v>0.11659917899681495</v>
      </c>
      <c r="Q97" s="282">
        <f>Q96</f>
        <v>0.1262176190083375</v>
      </c>
      <c r="R97" s="273"/>
      <c r="S97" s="282">
        <f>S96</f>
        <v>0.13060780630171018</v>
      </c>
      <c r="T97" s="282">
        <f t="shared" ref="T97:V98" si="175">T96</f>
        <v>0.13608148479369975</v>
      </c>
      <c r="U97" s="282">
        <f t="shared" si="175"/>
        <v>0.15405996398476804</v>
      </c>
      <c r="V97" s="282">
        <f t="shared" si="175"/>
        <v>0.17045589855690549</v>
      </c>
      <c r="W97" s="273"/>
      <c r="X97" s="282">
        <f>X96</f>
        <v>0.18542132274012074</v>
      </c>
      <c r="Y97" s="282">
        <f t="shared" ref="Y97:Y98" si="176">Y96</f>
        <v>0.18530466015798067</v>
      </c>
      <c r="Z97" s="282">
        <f t="shared" ref="Z97:Z98" si="177">Z96</f>
        <v>0.18518884690876558</v>
      </c>
      <c r="AA97" s="282">
        <f t="shared" ref="AA97:AA98" si="178">AA96</f>
        <v>0.18507383214395634</v>
      </c>
      <c r="AB97" s="273"/>
      <c r="AC97" s="282">
        <f>AC96</f>
        <v>0.21144077804707684</v>
      </c>
      <c r="AD97" s="282">
        <f t="shared" ref="AD97:AD98" si="179">AD96</f>
        <v>0.21138904060830713</v>
      </c>
      <c r="AE97" s="282">
        <f t="shared" ref="AE97:AE98" si="180">AE96</f>
        <v>0.21133806002715189</v>
      </c>
      <c r="AF97" s="282">
        <f t="shared" ref="AF97:AF98" si="181">AF96</f>
        <v>0.21128779603753414</v>
      </c>
      <c r="AG97" s="273"/>
      <c r="AH97" s="282">
        <f>AH96</f>
        <v>0.22358479257685587</v>
      </c>
      <c r="AI97" s="282">
        <f t="shared" ref="AI97:AI98" si="182">AI96</f>
        <v>0.22357086785062183</v>
      </c>
      <c r="AJ97" s="282">
        <f t="shared" ref="AJ97:AJ98" si="183">AJ96</f>
        <v>0.2235576227852166</v>
      </c>
      <c r="AK97" s="282">
        <f t="shared" ref="AK97:AK98" si="184">AK96</f>
        <v>0.22354502426206824</v>
      </c>
      <c r="AL97" s="273"/>
      <c r="AM97" s="282">
        <f>AM96</f>
        <v>0.22353304077381761</v>
      </c>
      <c r="AN97" s="282">
        <f t="shared" ref="AN97:AP98" si="185">AN96</f>
        <v>0.22352164234605426</v>
      </c>
      <c r="AO97" s="282">
        <f t="shared" si="185"/>
        <v>0.22351080046284724</v>
      </c>
      <c r="AP97" s="282">
        <f t="shared" si="185"/>
        <v>0.2235004879958892</v>
      </c>
      <c r="AQ97" s="273"/>
    </row>
    <row r="98" spans="2:43" s="41" customFormat="1" ht="15" customHeight="1" outlineLevel="1" x14ac:dyDescent="0.3">
      <c r="B98" s="376" t="s">
        <v>190</v>
      </c>
      <c r="C98" s="372"/>
      <c r="D98" s="377">
        <f>D40/D16</f>
        <v>0.23689345500051351</v>
      </c>
      <c r="E98" s="377">
        <f>E40/E16</f>
        <v>0.22599621769907535</v>
      </c>
      <c r="F98" s="377">
        <f>F40/F16</f>
        <v>0.2459956180853568</v>
      </c>
      <c r="G98" s="377">
        <f>G40/G16</f>
        <v>0.24323994515867375</v>
      </c>
      <c r="H98" s="378"/>
      <c r="I98" s="377">
        <f>I40/I16</f>
        <v>0.17555922730910911</v>
      </c>
      <c r="J98" s="377">
        <f>J40/J16</f>
        <v>0.17363859747215396</v>
      </c>
      <c r="K98" s="377">
        <f>K40/K16</f>
        <v>0.17957569766557677</v>
      </c>
      <c r="L98" s="377">
        <f>L40/L16</f>
        <v>0.15140951057064519</v>
      </c>
      <c r="M98" s="378"/>
      <c r="N98" s="377">
        <f>N40/N16</f>
        <v>0.10209115700274005</v>
      </c>
      <c r="O98" s="377">
        <f>O40/O16</f>
        <v>0.10305380599585329</v>
      </c>
      <c r="P98" s="377">
        <f>P40/P16</f>
        <v>0.11659917899681495</v>
      </c>
      <c r="Q98" s="379">
        <f>Q97</f>
        <v>0.1262176190083375</v>
      </c>
      <c r="R98" s="378"/>
      <c r="S98" s="379">
        <f>S97</f>
        <v>0.13060780630171018</v>
      </c>
      <c r="T98" s="379">
        <f t="shared" si="175"/>
        <v>0.13608148479369975</v>
      </c>
      <c r="U98" s="379">
        <f t="shared" si="175"/>
        <v>0.15405996398476804</v>
      </c>
      <c r="V98" s="379">
        <f t="shared" si="175"/>
        <v>0.17045589855690549</v>
      </c>
      <c r="W98" s="378"/>
      <c r="X98" s="379">
        <f>X97</f>
        <v>0.18542132274012074</v>
      </c>
      <c r="Y98" s="379">
        <f t="shared" si="176"/>
        <v>0.18530466015798067</v>
      </c>
      <c r="Z98" s="379">
        <f t="shared" si="177"/>
        <v>0.18518884690876558</v>
      </c>
      <c r="AA98" s="379">
        <f t="shared" si="178"/>
        <v>0.18507383214395634</v>
      </c>
      <c r="AB98" s="378"/>
      <c r="AC98" s="379">
        <f>AC97</f>
        <v>0.21144077804707684</v>
      </c>
      <c r="AD98" s="379">
        <f t="shared" si="179"/>
        <v>0.21138904060830713</v>
      </c>
      <c r="AE98" s="379">
        <f t="shared" si="180"/>
        <v>0.21133806002715189</v>
      </c>
      <c r="AF98" s="379">
        <f t="shared" si="181"/>
        <v>0.21128779603753414</v>
      </c>
      <c r="AG98" s="378"/>
      <c r="AH98" s="379">
        <f>AH97</f>
        <v>0.22358479257685587</v>
      </c>
      <c r="AI98" s="379">
        <f t="shared" si="182"/>
        <v>0.22357086785062183</v>
      </c>
      <c r="AJ98" s="379">
        <f t="shared" si="183"/>
        <v>0.2235576227852166</v>
      </c>
      <c r="AK98" s="379">
        <f t="shared" si="184"/>
        <v>0.22354502426206824</v>
      </c>
      <c r="AL98" s="378"/>
      <c r="AM98" s="379">
        <f>AM97</f>
        <v>0.22353304077381761</v>
      </c>
      <c r="AN98" s="379">
        <f t="shared" si="185"/>
        <v>0.22352164234605426</v>
      </c>
      <c r="AO98" s="379">
        <f t="shared" si="185"/>
        <v>0.22351080046284724</v>
      </c>
      <c r="AP98" s="379">
        <f t="shared" si="185"/>
        <v>0.2235004879958892</v>
      </c>
      <c r="AQ98" s="378"/>
    </row>
    <row r="99" spans="2:43" s="40" customFormat="1" ht="15" customHeight="1" outlineLevel="1" x14ac:dyDescent="0.3">
      <c r="B99" s="285" t="s">
        <v>224</v>
      </c>
      <c r="C99" s="174"/>
      <c r="D99" s="33"/>
      <c r="E99" s="33"/>
      <c r="F99" s="33"/>
      <c r="G99" s="33"/>
      <c r="H99" s="26"/>
      <c r="I99" s="33"/>
      <c r="J99" s="33"/>
      <c r="K99" s="33"/>
      <c r="L99" s="33"/>
      <c r="M99" s="26"/>
      <c r="N99" s="33"/>
      <c r="O99" s="33"/>
      <c r="P99" s="33"/>
      <c r="Q99" s="33"/>
      <c r="R99" s="26"/>
      <c r="S99" s="33"/>
      <c r="T99" s="33"/>
      <c r="U99" s="33"/>
      <c r="V99" s="33"/>
      <c r="W99" s="26"/>
      <c r="X99" s="33"/>
      <c r="Y99" s="33"/>
      <c r="Z99" s="33"/>
      <c r="AA99" s="33"/>
      <c r="AB99" s="26"/>
      <c r="AC99" s="33"/>
      <c r="AD99" s="33"/>
      <c r="AE99" s="33"/>
      <c r="AF99" s="33"/>
      <c r="AG99" s="26"/>
      <c r="AH99" s="33"/>
      <c r="AI99" s="33"/>
      <c r="AJ99" s="33"/>
      <c r="AK99" s="33"/>
      <c r="AL99" s="26"/>
      <c r="AM99" s="33"/>
      <c r="AN99" s="33"/>
      <c r="AO99" s="33"/>
      <c r="AP99" s="33"/>
      <c r="AQ99" s="26"/>
    </row>
    <row r="100" spans="2:43" s="40" customFormat="1" ht="15" customHeight="1" outlineLevel="1" x14ac:dyDescent="0.3">
      <c r="B100" s="169" t="s">
        <v>225</v>
      </c>
      <c r="C100" s="278"/>
      <c r="D100" s="288"/>
      <c r="E100" s="290">
        <f t="shared" ref="E100:G100" si="186">E45/D45-1</f>
        <v>-5.5224013538790473E-3</v>
      </c>
      <c r="F100" s="290">
        <f t="shared" si="186"/>
        <v>-1.1374832064487195E-2</v>
      </c>
      <c r="G100" s="290">
        <f t="shared" si="186"/>
        <v>4.7562964305127853E-3</v>
      </c>
      <c r="H100" s="274"/>
      <c r="I100" s="290">
        <f>I45/G45-1</f>
        <v>-2.3037734998422099E-2</v>
      </c>
      <c r="J100" s="290">
        <f t="shared" ref="J100:L100" si="187">J45/I45-1</f>
        <v>-1.2690355329949221E-2</v>
      </c>
      <c r="K100" s="290">
        <f t="shared" si="187"/>
        <v>-6.3799953260107456E-3</v>
      </c>
      <c r="L100" s="290">
        <f t="shared" si="187"/>
        <v>5.4096008655362127E-3</v>
      </c>
      <c r="M100" s="274"/>
      <c r="N100" s="290">
        <f>N45/L45-1</f>
        <v>-8.5853978056940061E-3</v>
      </c>
      <c r="O100" s="290">
        <f>O45/N45-1</f>
        <v>2.1637564889098737E-2</v>
      </c>
      <c r="P100" s="290">
        <f>P45/O45-1</f>
        <v>1.8777282490703762E-2</v>
      </c>
      <c r="Q100" s="298">
        <v>0.02</v>
      </c>
      <c r="R100" s="274"/>
      <c r="S100" s="298">
        <f>-0.005</f>
        <v>-5.0000000000000001E-3</v>
      </c>
      <c r="T100" s="298">
        <f t="shared" ref="T100:V100" si="188">S100</f>
        <v>-5.0000000000000001E-3</v>
      </c>
      <c r="U100" s="298">
        <f t="shared" si="188"/>
        <v>-5.0000000000000001E-3</v>
      </c>
      <c r="V100" s="298">
        <f t="shared" si="188"/>
        <v>-5.0000000000000001E-3</v>
      </c>
      <c r="W100" s="274"/>
      <c r="X100" s="298">
        <f>V100</f>
        <v>-5.0000000000000001E-3</v>
      </c>
      <c r="Y100" s="298">
        <f t="shared" ref="Y100:AA101" si="189">X100</f>
        <v>-5.0000000000000001E-3</v>
      </c>
      <c r="Z100" s="298">
        <f t="shared" si="189"/>
        <v>-5.0000000000000001E-3</v>
      </c>
      <c r="AA100" s="298">
        <f t="shared" si="189"/>
        <v>-5.0000000000000001E-3</v>
      </c>
      <c r="AB100" s="274"/>
      <c r="AC100" s="298">
        <f>AA100</f>
        <v>-5.0000000000000001E-3</v>
      </c>
      <c r="AD100" s="298">
        <f t="shared" ref="AD100:AF101" si="190">AC100</f>
        <v>-5.0000000000000001E-3</v>
      </c>
      <c r="AE100" s="298">
        <f t="shared" si="190"/>
        <v>-5.0000000000000001E-3</v>
      </c>
      <c r="AF100" s="298">
        <f t="shared" si="190"/>
        <v>-5.0000000000000001E-3</v>
      </c>
      <c r="AG100" s="274"/>
      <c r="AH100" s="298">
        <f>AF100</f>
        <v>-5.0000000000000001E-3</v>
      </c>
      <c r="AI100" s="298">
        <f t="shared" ref="AI100:AK101" si="191">AH100</f>
        <v>-5.0000000000000001E-3</v>
      </c>
      <c r="AJ100" s="298">
        <f t="shared" si="191"/>
        <v>-5.0000000000000001E-3</v>
      </c>
      <c r="AK100" s="298">
        <f t="shared" si="191"/>
        <v>-5.0000000000000001E-3</v>
      </c>
      <c r="AL100" s="274"/>
      <c r="AM100" s="298">
        <f>AK100</f>
        <v>-5.0000000000000001E-3</v>
      </c>
      <c r="AN100" s="298">
        <f t="shared" ref="AN100:AN101" si="192">AM100</f>
        <v>-5.0000000000000001E-3</v>
      </c>
      <c r="AO100" s="298">
        <f t="shared" ref="AO100:AO101" si="193">AN100</f>
        <v>-5.0000000000000001E-3</v>
      </c>
      <c r="AP100" s="298">
        <f t="shared" ref="AP100:AP101" si="194">AO100</f>
        <v>-5.0000000000000001E-3</v>
      </c>
      <c r="AQ100" s="274"/>
    </row>
    <row r="101" spans="2:43" s="40" customFormat="1" ht="15" customHeight="1" outlineLevel="1" x14ac:dyDescent="0.3">
      <c r="B101" s="286" t="s">
        <v>226</v>
      </c>
      <c r="C101" s="287"/>
      <c r="D101" s="289"/>
      <c r="E101" s="291">
        <f>E46/D46-1</f>
        <v>-6.0200964986056871E-3</v>
      </c>
      <c r="F101" s="291">
        <f>F46/E46-1</f>
        <v>-1.1779113783121797E-2</v>
      </c>
      <c r="G101" s="292">
        <f>G46/F46-1</f>
        <v>4.9345440616479497E-3</v>
      </c>
      <c r="H101" s="293"/>
      <c r="I101" s="294">
        <f>I46/G46-1</f>
        <v>-2.5426008968609914E-2</v>
      </c>
      <c r="J101" s="295">
        <f>J46/I46-1</f>
        <v>-1.166428932959096E-2</v>
      </c>
      <c r="K101" s="295">
        <f>K46/J46-1</f>
        <v>-6.3781745385134148E-3</v>
      </c>
      <c r="L101" s="296">
        <f>L46/K46-1</f>
        <v>5.2243176759985133E-3</v>
      </c>
      <c r="M101" s="293"/>
      <c r="N101" s="294">
        <f>N46/L46-1</f>
        <v>-9.0426027780367013E-3</v>
      </c>
      <c r="O101" s="291">
        <f>O46/N46-1</f>
        <v>2.3165569143932307E-2</v>
      </c>
      <c r="P101" s="291">
        <f>P46/O46-1</f>
        <v>1.8733478910470058E-2</v>
      </c>
      <c r="Q101" s="299">
        <v>0.02</v>
      </c>
      <c r="R101" s="297"/>
      <c r="S101" s="306">
        <f>S100</f>
        <v>-5.0000000000000001E-3</v>
      </c>
      <c r="T101" s="299">
        <f t="shared" ref="T101:V101" si="195">S101</f>
        <v>-5.0000000000000001E-3</v>
      </c>
      <c r="U101" s="307">
        <f t="shared" si="195"/>
        <v>-5.0000000000000001E-3</v>
      </c>
      <c r="V101" s="308">
        <f t="shared" si="195"/>
        <v>-5.0000000000000001E-3</v>
      </c>
      <c r="W101" s="293"/>
      <c r="X101" s="306">
        <f>V101</f>
        <v>-5.0000000000000001E-3</v>
      </c>
      <c r="Y101" s="299">
        <f t="shared" si="189"/>
        <v>-5.0000000000000001E-3</v>
      </c>
      <c r="Z101" s="307">
        <f t="shared" si="189"/>
        <v>-5.0000000000000001E-3</v>
      </c>
      <c r="AA101" s="308">
        <f t="shared" si="189"/>
        <v>-5.0000000000000001E-3</v>
      </c>
      <c r="AB101" s="293"/>
      <c r="AC101" s="306">
        <f>AA101</f>
        <v>-5.0000000000000001E-3</v>
      </c>
      <c r="AD101" s="299">
        <f t="shared" si="190"/>
        <v>-5.0000000000000001E-3</v>
      </c>
      <c r="AE101" s="307">
        <f t="shared" si="190"/>
        <v>-5.0000000000000001E-3</v>
      </c>
      <c r="AF101" s="308">
        <f t="shared" si="190"/>
        <v>-5.0000000000000001E-3</v>
      </c>
      <c r="AG101" s="293"/>
      <c r="AH101" s="306">
        <f>AF101</f>
        <v>-5.0000000000000001E-3</v>
      </c>
      <c r="AI101" s="299">
        <f t="shared" si="191"/>
        <v>-5.0000000000000001E-3</v>
      </c>
      <c r="AJ101" s="307">
        <f t="shared" si="191"/>
        <v>-5.0000000000000001E-3</v>
      </c>
      <c r="AK101" s="308">
        <f t="shared" si="191"/>
        <v>-5.0000000000000001E-3</v>
      </c>
      <c r="AL101" s="293"/>
      <c r="AM101" s="306">
        <f>AK101</f>
        <v>-5.0000000000000001E-3</v>
      </c>
      <c r="AN101" s="299">
        <f t="shared" si="192"/>
        <v>-5.0000000000000001E-3</v>
      </c>
      <c r="AO101" s="307">
        <f t="shared" si="193"/>
        <v>-5.0000000000000001E-3</v>
      </c>
      <c r="AP101" s="308">
        <f t="shared" si="194"/>
        <v>-5.0000000000000001E-3</v>
      </c>
      <c r="AQ101" s="293"/>
    </row>
    <row r="102" spans="2:43" s="40" customFormat="1" ht="15" customHeight="1" outlineLevel="1" x14ac:dyDescent="0.3">
      <c r="B102" s="440" t="s">
        <v>290</v>
      </c>
      <c r="C102" s="439"/>
      <c r="D102" s="447">
        <f>D162/D16</f>
        <v>2.0079649148164912E-2</v>
      </c>
      <c r="E102" s="290">
        <f t="shared" ref="E102:G102" si="196">E162/E16</f>
        <v>2.0058902235743491E-2</v>
      </c>
      <c r="F102" s="290">
        <f t="shared" si="196"/>
        <v>1.7567494160464991E-2</v>
      </c>
      <c r="G102" s="290">
        <f t="shared" si="196"/>
        <v>1.7848554672638916E-2</v>
      </c>
      <c r="H102" s="446"/>
      <c r="I102" s="441">
        <f>I162/I16</f>
        <v>2.4377115093871551E-2</v>
      </c>
      <c r="J102" s="441">
        <f t="shared" ref="J102:L102" si="197">J162/J16</f>
        <v>2.5842492728886796E-2</v>
      </c>
      <c r="K102" s="441">
        <f t="shared" si="197"/>
        <v>2.7815375256634477E-2</v>
      </c>
      <c r="L102" s="441">
        <f t="shared" si="197"/>
        <v>2.9087744837814615E-2</v>
      </c>
      <c r="M102" s="445"/>
      <c r="N102" s="445">
        <f>N162/N16</f>
        <v>3.5549018204065162E-2</v>
      </c>
      <c r="O102" s="441">
        <f t="shared" ref="O102:P102" si="198">O162/O16</f>
        <v>3.7989045647637248E-2</v>
      </c>
      <c r="P102" s="441">
        <f t="shared" si="198"/>
        <v>3.9551723897604592E-2</v>
      </c>
      <c r="Q102" s="442">
        <v>0.04</v>
      </c>
      <c r="R102" s="448"/>
      <c r="S102" s="442">
        <v>0.03</v>
      </c>
      <c r="T102" s="442">
        <f>S102</f>
        <v>0.03</v>
      </c>
      <c r="U102" s="442">
        <f>T102</f>
        <v>0.03</v>
      </c>
      <c r="V102" s="442">
        <f>U102</f>
        <v>0.03</v>
      </c>
      <c r="W102" s="445"/>
      <c r="X102" s="442">
        <v>0.02</v>
      </c>
      <c r="Y102" s="442">
        <f>X102</f>
        <v>0.02</v>
      </c>
      <c r="Z102" s="442">
        <f>Y102</f>
        <v>0.02</v>
      </c>
      <c r="AA102" s="442">
        <f>Z102</f>
        <v>0.02</v>
      </c>
      <c r="AB102" s="446"/>
      <c r="AC102" s="442">
        <f>AA102</f>
        <v>0.02</v>
      </c>
      <c r="AD102" s="442">
        <f>AC102</f>
        <v>0.02</v>
      </c>
      <c r="AE102" s="442">
        <f>AD102</f>
        <v>0.02</v>
      </c>
      <c r="AF102" s="442">
        <f>AE102</f>
        <v>0.02</v>
      </c>
      <c r="AG102" s="445"/>
      <c r="AH102" s="442">
        <f>AF102</f>
        <v>0.02</v>
      </c>
      <c r="AI102" s="442">
        <f>AH102</f>
        <v>0.02</v>
      </c>
      <c r="AJ102" s="442">
        <f>AI102</f>
        <v>0.02</v>
      </c>
      <c r="AK102" s="442">
        <f>AJ102</f>
        <v>0.02</v>
      </c>
      <c r="AL102" s="443"/>
      <c r="AM102" s="442">
        <f>AK102</f>
        <v>0.02</v>
      </c>
      <c r="AN102" s="442">
        <f>AM102</f>
        <v>0.02</v>
      </c>
      <c r="AO102" s="442">
        <f>AN102</f>
        <v>0.02</v>
      </c>
      <c r="AP102" s="442">
        <f>AO102</f>
        <v>0.02</v>
      </c>
      <c r="AQ102" s="443"/>
    </row>
    <row r="103" spans="2:43" s="40" customFormat="1" ht="15" customHeight="1" x14ac:dyDescent="0.3">
      <c r="B103" s="20"/>
      <c r="C103" s="444"/>
      <c r="D103" s="33"/>
      <c r="E103" s="256"/>
      <c r="F103" s="256"/>
      <c r="G103" s="256"/>
      <c r="H103" s="33"/>
      <c r="I103" s="33"/>
      <c r="J103" s="33"/>
      <c r="K103" s="33"/>
      <c r="L103" s="33"/>
      <c r="M103" s="33"/>
      <c r="N103" s="33"/>
      <c r="O103" s="33"/>
      <c r="P103" s="33"/>
      <c r="Q103" s="33"/>
      <c r="R103" s="33"/>
      <c r="S103" s="33"/>
      <c r="T103" s="33"/>
      <c r="U103" s="33"/>
      <c r="V103" s="33"/>
      <c r="W103" s="256"/>
      <c r="X103" s="33"/>
      <c r="Y103" s="33"/>
      <c r="Z103" s="33"/>
      <c r="AA103" s="33"/>
      <c r="AB103" s="33"/>
      <c r="AC103" s="33"/>
      <c r="AD103" s="33"/>
      <c r="AE103" s="33"/>
      <c r="AF103" s="33"/>
      <c r="AG103" s="33"/>
      <c r="AH103" s="33"/>
      <c r="AI103" s="33"/>
      <c r="AJ103" s="33"/>
      <c r="AK103" s="33"/>
      <c r="AL103" s="33"/>
      <c r="AM103" s="33"/>
      <c r="AN103" s="33"/>
      <c r="AO103" s="33"/>
      <c r="AP103" s="33"/>
      <c r="AQ103" s="33"/>
    </row>
    <row r="104" spans="2:43" s="40" customFormat="1" ht="15.6" x14ac:dyDescent="0.3">
      <c r="B104" s="467" t="s">
        <v>50</v>
      </c>
      <c r="C104" s="468"/>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row>
    <row r="105" spans="2:43" s="40" customFormat="1" outlineLevel="1" x14ac:dyDescent="0.3">
      <c r="B105" s="475" t="s">
        <v>117</v>
      </c>
      <c r="C105" s="479"/>
      <c r="D105" s="229" t="s">
        <v>3</v>
      </c>
      <c r="E105" s="42" t="s">
        <v>2</v>
      </c>
      <c r="F105" s="42" t="s">
        <v>1</v>
      </c>
      <c r="G105" s="42" t="s">
        <v>4</v>
      </c>
      <c r="H105" s="246" t="s">
        <v>4</v>
      </c>
      <c r="I105" s="229" t="s">
        <v>5</v>
      </c>
      <c r="J105" s="42" t="s">
        <v>6</v>
      </c>
      <c r="K105" s="42" t="s">
        <v>7</v>
      </c>
      <c r="L105" s="42" t="s">
        <v>9</v>
      </c>
      <c r="M105" s="246" t="s">
        <v>9</v>
      </c>
      <c r="N105" s="229" t="s">
        <v>10</v>
      </c>
      <c r="O105" s="42" t="s">
        <v>11</v>
      </c>
      <c r="P105" s="135" t="s">
        <v>12</v>
      </c>
      <c r="Q105" s="46" t="s">
        <v>8</v>
      </c>
      <c r="R105" s="237" t="s">
        <v>8</v>
      </c>
      <c r="S105" s="44" t="s">
        <v>13</v>
      </c>
      <c r="T105" s="44" t="s">
        <v>14</v>
      </c>
      <c r="U105" s="44" t="s">
        <v>15</v>
      </c>
      <c r="V105" s="44" t="s">
        <v>16</v>
      </c>
      <c r="W105" s="237" t="s">
        <v>16</v>
      </c>
      <c r="X105" s="44" t="s">
        <v>197</v>
      </c>
      <c r="Y105" s="44" t="s">
        <v>198</v>
      </c>
      <c r="Z105" s="44" t="s">
        <v>199</v>
      </c>
      <c r="AA105" s="46" t="s">
        <v>200</v>
      </c>
      <c r="AB105" s="237" t="s">
        <v>200</v>
      </c>
      <c r="AC105" s="44" t="s">
        <v>201</v>
      </c>
      <c r="AD105" s="44" t="s">
        <v>202</v>
      </c>
      <c r="AE105" s="44" t="s">
        <v>203</v>
      </c>
      <c r="AF105" s="46" t="s">
        <v>204</v>
      </c>
      <c r="AG105" s="237" t="s">
        <v>204</v>
      </c>
      <c r="AH105" s="44" t="s">
        <v>205</v>
      </c>
      <c r="AI105" s="44" t="s">
        <v>206</v>
      </c>
      <c r="AJ105" s="44" t="s">
        <v>207</v>
      </c>
      <c r="AK105" s="46" t="s">
        <v>208</v>
      </c>
      <c r="AL105" s="237" t="s">
        <v>208</v>
      </c>
      <c r="AM105" s="238" t="s">
        <v>295</v>
      </c>
      <c r="AN105" s="44" t="s">
        <v>297</v>
      </c>
      <c r="AO105" s="44" t="s">
        <v>299</v>
      </c>
      <c r="AP105" s="46" t="s">
        <v>301</v>
      </c>
      <c r="AQ105" s="237" t="s">
        <v>301</v>
      </c>
    </row>
    <row r="106" spans="2:43" s="40" customFormat="1" ht="16.2" outlineLevel="1" x14ac:dyDescent="0.45">
      <c r="B106" s="475"/>
      <c r="C106" s="479"/>
      <c r="D106" s="239" t="s">
        <v>23</v>
      </c>
      <c r="E106" s="243" t="s">
        <v>24</v>
      </c>
      <c r="F106" s="243" t="s">
        <v>25</v>
      </c>
      <c r="G106" s="243" t="s">
        <v>26</v>
      </c>
      <c r="H106" s="247" t="s">
        <v>18</v>
      </c>
      <c r="I106" s="239" t="s">
        <v>27</v>
      </c>
      <c r="J106" s="243" t="s">
        <v>28</v>
      </c>
      <c r="K106" s="243" t="s">
        <v>37</v>
      </c>
      <c r="L106" s="243" t="s">
        <v>41</v>
      </c>
      <c r="M106" s="247" t="s">
        <v>42</v>
      </c>
      <c r="N106" s="239" t="s">
        <v>54</v>
      </c>
      <c r="O106" s="243" t="s">
        <v>55</v>
      </c>
      <c r="P106" s="240" t="s">
        <v>76</v>
      </c>
      <c r="Q106" s="245" t="s">
        <v>32</v>
      </c>
      <c r="R106" s="242" t="s">
        <v>19</v>
      </c>
      <c r="S106" s="241" t="s">
        <v>33</v>
      </c>
      <c r="T106" s="241" t="s">
        <v>34</v>
      </c>
      <c r="U106" s="241" t="s">
        <v>35</v>
      </c>
      <c r="V106" s="241" t="s">
        <v>36</v>
      </c>
      <c r="W106" s="242" t="s">
        <v>20</v>
      </c>
      <c r="X106" s="241" t="s">
        <v>209</v>
      </c>
      <c r="Y106" s="241" t="s">
        <v>210</v>
      </c>
      <c r="Z106" s="241" t="s">
        <v>211</v>
      </c>
      <c r="AA106" s="245" t="s">
        <v>212</v>
      </c>
      <c r="AB106" s="242" t="s">
        <v>213</v>
      </c>
      <c r="AC106" s="241" t="s">
        <v>214</v>
      </c>
      <c r="AD106" s="241" t="s">
        <v>215</v>
      </c>
      <c r="AE106" s="241" t="s">
        <v>216</v>
      </c>
      <c r="AF106" s="245" t="s">
        <v>217</v>
      </c>
      <c r="AG106" s="242" t="s">
        <v>218</v>
      </c>
      <c r="AH106" s="241" t="s">
        <v>219</v>
      </c>
      <c r="AI106" s="241" t="s">
        <v>220</v>
      </c>
      <c r="AJ106" s="241" t="s">
        <v>221</v>
      </c>
      <c r="AK106" s="245" t="s">
        <v>222</v>
      </c>
      <c r="AL106" s="242" t="s">
        <v>223</v>
      </c>
      <c r="AM106" s="244" t="s">
        <v>296</v>
      </c>
      <c r="AN106" s="241" t="s">
        <v>298</v>
      </c>
      <c r="AO106" s="241" t="s">
        <v>300</v>
      </c>
      <c r="AP106" s="245" t="s">
        <v>302</v>
      </c>
      <c r="AQ106" s="242" t="s">
        <v>303</v>
      </c>
    </row>
    <row r="107" spans="2:43" s="40" customFormat="1" outlineLevel="1" x14ac:dyDescent="0.3">
      <c r="B107" s="465" t="s">
        <v>103</v>
      </c>
      <c r="C107" s="466"/>
      <c r="D107" s="81"/>
      <c r="E107" s="82"/>
      <c r="F107" s="82"/>
      <c r="G107" s="83"/>
      <c r="H107" s="84"/>
      <c r="I107" s="85"/>
      <c r="J107" s="86"/>
      <c r="K107" s="87"/>
      <c r="L107" s="87"/>
      <c r="M107" s="224"/>
      <c r="N107" s="230"/>
      <c r="O107" s="177"/>
      <c r="P107" s="177"/>
      <c r="Q107" s="177"/>
      <c r="R107" s="222"/>
      <c r="S107" s="177"/>
      <c r="T107" s="177"/>
      <c r="U107" s="177"/>
      <c r="V107" s="177"/>
      <c r="W107" s="222"/>
      <c r="X107" s="177"/>
      <c r="Y107" s="177"/>
      <c r="Z107" s="177"/>
      <c r="AA107" s="177"/>
      <c r="AB107" s="222"/>
      <c r="AC107" s="177"/>
      <c r="AD107" s="177"/>
      <c r="AE107" s="177"/>
      <c r="AF107" s="177"/>
      <c r="AG107" s="222"/>
      <c r="AH107" s="177"/>
      <c r="AI107" s="177"/>
      <c r="AJ107" s="177"/>
      <c r="AK107" s="177"/>
      <c r="AL107" s="222"/>
      <c r="AM107" s="177"/>
      <c r="AN107" s="177"/>
      <c r="AO107" s="177"/>
      <c r="AP107" s="177"/>
      <c r="AQ107" s="222"/>
    </row>
    <row r="108" spans="2:43" s="40" customFormat="1" outlineLevel="1" x14ac:dyDescent="0.3">
      <c r="B108" s="451" t="s">
        <v>66</v>
      </c>
      <c r="C108" s="452"/>
      <c r="D108" s="117">
        <v>23253</v>
      </c>
      <c r="E108" s="114">
        <v>29548</v>
      </c>
      <c r="F108" s="114">
        <v>25307</v>
      </c>
      <c r="G108" s="115">
        <v>23350</v>
      </c>
      <c r="H108" s="116">
        <f>G108</f>
        <v>23350</v>
      </c>
      <c r="I108" s="118">
        <v>19137</v>
      </c>
      <c r="J108" s="118">
        <v>22580</v>
      </c>
      <c r="K108" s="139">
        <v>18461</v>
      </c>
      <c r="L108" s="118">
        <v>22494</v>
      </c>
      <c r="M108" s="225">
        <f>L108</f>
        <v>22494</v>
      </c>
      <c r="N108" s="231">
        <v>16665</v>
      </c>
      <c r="O108" s="178">
        <v>14778</v>
      </c>
      <c r="P108" s="178">
        <v>17219</v>
      </c>
      <c r="Q108" s="181">
        <f>Q200</f>
        <v>10247.229984016907</v>
      </c>
      <c r="R108" s="404">
        <f>Q108</f>
        <v>10247.229984016907</v>
      </c>
      <c r="S108" s="181">
        <f t="shared" ref="S108:AK108" si="199">S200</f>
        <v>19094.95251765295</v>
      </c>
      <c r="T108" s="181">
        <f t="shared" si="199"/>
        <v>6799.2684640170555</v>
      </c>
      <c r="U108" s="181">
        <f t="shared" si="199"/>
        <v>21172.646897866834</v>
      </c>
      <c r="V108" s="181">
        <f t="shared" si="199"/>
        <v>16674.93131127247</v>
      </c>
      <c r="W108" s="404">
        <f>V108</f>
        <v>16674.93131127247</v>
      </c>
      <c r="X108" s="181">
        <f t="shared" si="199"/>
        <v>36753.107906854093</v>
      </c>
      <c r="Y108" s="181">
        <f t="shared" si="199"/>
        <v>35718.188309564248</v>
      </c>
      <c r="Z108" s="181">
        <f t="shared" si="199"/>
        <v>58546.434892000165</v>
      </c>
      <c r="AA108" s="181">
        <f t="shared" si="199"/>
        <v>60433.584412281896</v>
      </c>
      <c r="AB108" s="404">
        <f>AA108</f>
        <v>60433.584412281896</v>
      </c>
      <c r="AC108" s="181">
        <f t="shared" si="199"/>
        <v>93827.271053625125</v>
      </c>
      <c r="AD108" s="181">
        <f t="shared" si="199"/>
        <v>103652.08066085292</v>
      </c>
      <c r="AE108" s="181">
        <f t="shared" si="199"/>
        <v>141177.0593237204</v>
      </c>
      <c r="AF108" s="181">
        <f t="shared" si="199"/>
        <v>155369.12552985223</v>
      </c>
      <c r="AG108" s="404">
        <f>AF108</f>
        <v>155369.12552985223</v>
      </c>
      <c r="AH108" s="181">
        <f t="shared" si="199"/>
        <v>201238.20609355264</v>
      </c>
      <c r="AI108" s="181">
        <f t="shared" si="199"/>
        <v>223448.46419623288</v>
      </c>
      <c r="AJ108" s="181">
        <f t="shared" si="199"/>
        <v>274831.0480271402</v>
      </c>
      <c r="AK108" s="181">
        <f t="shared" si="199"/>
        <v>302856.18779648701</v>
      </c>
      <c r="AL108" s="404">
        <f>AK108</f>
        <v>302856.18779648701</v>
      </c>
      <c r="AM108" s="181">
        <f t="shared" ref="AM108:AP108" si="200">AM200</f>
        <v>360369.11604734272</v>
      </c>
      <c r="AN108" s="181">
        <f t="shared" si="200"/>
        <v>394854.95509046892</v>
      </c>
      <c r="AO108" s="181">
        <f t="shared" si="200"/>
        <v>459174.67514317029</v>
      </c>
      <c r="AP108" s="181">
        <f t="shared" si="200"/>
        <v>500830.02176598366</v>
      </c>
      <c r="AQ108" s="404">
        <f>AP108</f>
        <v>500830.02176598366</v>
      </c>
    </row>
    <row r="109" spans="2:43" s="40" customFormat="1" outlineLevel="1" x14ac:dyDescent="0.3">
      <c r="B109" s="451" t="s">
        <v>65</v>
      </c>
      <c r="C109" s="452"/>
      <c r="D109" s="117">
        <v>209234</v>
      </c>
      <c r="E109" s="114">
        <v>200990</v>
      </c>
      <c r="F109" s="114">
        <v>201769</v>
      </c>
      <c r="G109" s="115">
        <v>197163</v>
      </c>
      <c r="H109" s="116">
        <f>G109</f>
        <v>197163</v>
      </c>
      <c r="I109" s="118">
        <v>158861</v>
      </c>
      <c r="J109" s="118">
        <v>155112</v>
      </c>
      <c r="K109" s="118">
        <v>152448</v>
      </c>
      <c r="L109" s="118">
        <v>145689</v>
      </c>
      <c r="M109" s="225">
        <f>L109</f>
        <v>145689</v>
      </c>
      <c r="N109" s="231">
        <v>122496</v>
      </c>
      <c r="O109" s="178">
        <v>111752</v>
      </c>
      <c r="P109" s="178">
        <v>108520</v>
      </c>
      <c r="Q109" s="203">
        <f>(Q16/Q148*2)-P109</f>
        <v>114057.96074629054</v>
      </c>
      <c r="R109" s="404">
        <f>Q109</f>
        <v>114057.96074629054</v>
      </c>
      <c r="S109" s="203">
        <f>(S16/S148*2)-Q109</f>
        <v>114344.56381027991</v>
      </c>
      <c r="T109" s="203">
        <f>(T16/T148*2)-S109</f>
        <v>125478.08697411907</v>
      </c>
      <c r="U109" s="203">
        <f>(U16/U148*2)-T109</f>
        <v>126335.69634949989</v>
      </c>
      <c r="V109" s="203">
        <f>(V16/V148*2)-U109</f>
        <v>138068.77614030006</v>
      </c>
      <c r="W109" s="404">
        <f>V109</f>
        <v>138068.77614030006</v>
      </c>
      <c r="X109" s="203">
        <f>(X16/X148*2)-V109</f>
        <v>139916.8279657565</v>
      </c>
      <c r="Y109" s="203">
        <f>(Y16/Y148*2)-X109</f>
        <v>152348.81427691659</v>
      </c>
      <c r="Z109" s="203">
        <f>(Z16/Z148*2)-Y109</f>
        <v>154931.80969542617</v>
      </c>
      <c r="AA109" s="203">
        <f>(AA16/AA148*2)-Z109</f>
        <v>168136.63857203422</v>
      </c>
      <c r="AB109" s="404">
        <f>AA109</f>
        <v>168136.63857203422</v>
      </c>
      <c r="AC109" s="203">
        <f>(AC16/AC148*2)-AA109</f>
        <v>171532.33382560723</v>
      </c>
      <c r="AD109" s="203">
        <f>(AD16/AD148*2)-AC109</f>
        <v>185591.77950314878</v>
      </c>
      <c r="AE109" s="203">
        <f>(AE16/AE148*2)-AD109</f>
        <v>189886.17488039532</v>
      </c>
      <c r="AF109" s="203">
        <f>(AF16/AF148*2)-AE109</f>
        <v>204890.68255703544</v>
      </c>
      <c r="AG109" s="404">
        <f>AF109</f>
        <v>204890.68255703544</v>
      </c>
      <c r="AH109" s="203">
        <f>(AH16/AH148*2)-AF109</f>
        <v>210178.89838038539</v>
      </c>
      <c r="AI109" s="203">
        <f>(AI16/AI148*2)-AH109</f>
        <v>226228.50566657158</v>
      </c>
      <c r="AJ109" s="203">
        <f>(AJ16/AJ148*2)-AI109</f>
        <v>232615.75156884492</v>
      </c>
      <c r="AK109" s="203">
        <f>(AK16/AK148*2)-AJ109</f>
        <v>249821.1080786901</v>
      </c>
      <c r="AL109" s="404">
        <f>AK109</f>
        <v>249821.1080786901</v>
      </c>
      <c r="AM109" s="203">
        <f>(AM16/AM148*2)-AK109</f>
        <v>257423.75552683862</v>
      </c>
      <c r="AN109" s="203">
        <f>(AN16/AN148*2)-AM109</f>
        <v>275907.2510882424</v>
      </c>
      <c r="AO109" s="203">
        <f>(AO16/AO148*2)-AN109</f>
        <v>284854.02017747867</v>
      </c>
      <c r="AP109" s="203">
        <f>(AP16/AP148*2)-AO109</f>
        <v>304751.0332590082</v>
      </c>
      <c r="AQ109" s="404">
        <f>AP109</f>
        <v>304751.0332590082</v>
      </c>
    </row>
    <row r="110" spans="2:43" s="40" customFormat="1" outlineLevel="1" x14ac:dyDescent="0.3">
      <c r="B110" s="109" t="s">
        <v>93</v>
      </c>
      <c r="C110" s="112"/>
      <c r="D110" s="117">
        <v>50906</v>
      </c>
      <c r="E110" s="114">
        <v>51392</v>
      </c>
      <c r="F110" s="114">
        <v>49451</v>
      </c>
      <c r="G110" s="115">
        <v>43371</v>
      </c>
      <c r="H110" s="116">
        <f>G110</f>
        <v>43371</v>
      </c>
      <c r="I110" s="118">
        <v>49169</v>
      </c>
      <c r="J110" s="118">
        <v>47585</v>
      </c>
      <c r="K110" s="118">
        <v>44462</v>
      </c>
      <c r="L110" s="118">
        <v>40906</v>
      </c>
      <c r="M110" s="225">
        <f>L110</f>
        <v>40906</v>
      </c>
      <c r="N110" s="231">
        <v>41702</v>
      </c>
      <c r="O110" s="178">
        <v>39818</v>
      </c>
      <c r="P110" s="178">
        <v>37339</v>
      </c>
      <c r="Q110" s="203">
        <f>((Q18+Q19)/Q149*2)-P110</f>
        <v>38871.914177100043</v>
      </c>
      <c r="R110" s="404">
        <f>Q110</f>
        <v>38871.914177100043</v>
      </c>
      <c r="S110" s="203">
        <f>((S18+S19)/S149*2)-Q110</f>
        <v>33976.8124033973</v>
      </c>
      <c r="T110" s="203">
        <f>((T18+T19)/T149*2)-S110</f>
        <v>42514.350506124902</v>
      </c>
      <c r="U110" s="203">
        <f>((U18+U19)/U149*2)-T110</f>
        <v>37801.370548873412</v>
      </c>
      <c r="V110" s="203">
        <f>((V18+V19)/V149*2)-U110</f>
        <v>46530.136558874845</v>
      </c>
      <c r="W110" s="404">
        <f>V110</f>
        <v>46530.136558874845</v>
      </c>
      <c r="X110" s="203">
        <f>((X18+X19)/X149*2)-V110</f>
        <v>42133.057099568163</v>
      </c>
      <c r="Y110" s="203">
        <f>((Y18+Y19)/Y149*2)-X110</f>
        <v>51084.738552846233</v>
      </c>
      <c r="Z110" s="203">
        <f>((Z18+Z19)/Z149*2)-Y110</f>
        <v>46922.068520345842</v>
      </c>
      <c r="AA110" s="203">
        <f>((AA18+AA19)/AA149*2)-Z110</f>
        <v>56120.247234761409</v>
      </c>
      <c r="AB110" s="404">
        <f>AA110</f>
        <v>56120.247234761409</v>
      </c>
      <c r="AC110" s="203">
        <f>((AC18+AC19)/AC149*2)-AA110</f>
        <v>44250.828502559947</v>
      </c>
      <c r="AD110" s="203">
        <f>((AD18+AD19)/AD149*2)-AC110</f>
        <v>61278.184564260868</v>
      </c>
      <c r="AE110" s="203">
        <f>((AE18+AE19)/AE149*2)-AD110</f>
        <v>49674.328793379231</v>
      </c>
      <c r="AF110" s="203">
        <f>((AF18+AF19)/AF149*2)-AE110</f>
        <v>66980.947599682389</v>
      </c>
      <c r="AG110" s="404">
        <f>AF110</f>
        <v>66980.947599682389</v>
      </c>
      <c r="AH110" s="203">
        <f>((AH18+AH19)/AH149*2)-AF110</f>
        <v>53723.909993953668</v>
      </c>
      <c r="AI110" s="203">
        <f>((AI18+AI19)/AI149*2)-AH110</f>
        <v>73186.121426147569</v>
      </c>
      <c r="AJ110" s="203">
        <f>((AJ18+AJ19)/AJ149*2)-AI110</f>
        <v>60248.688713815194</v>
      </c>
      <c r="AK110" s="203">
        <f>((AK18+AK19)/AK149*2)-AJ110</f>
        <v>80046.999325189259</v>
      </c>
      <c r="AL110" s="404">
        <f>AK110</f>
        <v>80046.999325189259</v>
      </c>
      <c r="AM110" s="203">
        <f>((AM18+AM19)/AM149*2)-AK110</f>
        <v>67463.013064371378</v>
      </c>
      <c r="AN110" s="203">
        <f>((AN18+AN19)/AN149*2)-AM110</f>
        <v>87633.014590446561</v>
      </c>
      <c r="AO110" s="203">
        <f>((AO18+AO19)/AO149*2)-AN110</f>
        <v>75439.907398409428</v>
      </c>
      <c r="AP110" s="203">
        <f>((AP18+AP19)/AP149*2)-AO110</f>
        <v>96020.968753507841</v>
      </c>
      <c r="AQ110" s="404">
        <f>AP110</f>
        <v>96020.968753507841</v>
      </c>
    </row>
    <row r="111" spans="2:43" s="40" customFormat="1" outlineLevel="1" x14ac:dyDescent="0.3">
      <c r="B111" s="109" t="s">
        <v>94</v>
      </c>
      <c r="C111" s="112"/>
      <c r="D111" s="117">
        <v>15016</v>
      </c>
      <c r="E111" s="114">
        <v>14892</v>
      </c>
      <c r="F111" s="114">
        <v>14398</v>
      </c>
      <c r="G111" s="115">
        <v>14246</v>
      </c>
      <c r="H111" s="116">
        <f t="shared" ref="H111:H113" si="201">G111</f>
        <v>14246</v>
      </c>
      <c r="I111" s="118">
        <v>14289</v>
      </c>
      <c r="J111" s="118">
        <v>14663</v>
      </c>
      <c r="K111" s="118">
        <v>11013</v>
      </c>
      <c r="L111" s="118">
        <v>12053</v>
      </c>
      <c r="M111" s="225">
        <f t="shared" ref="M111:M113" si="202">L111</f>
        <v>12053</v>
      </c>
      <c r="N111" s="231">
        <v>12191</v>
      </c>
      <c r="O111" s="178">
        <v>10912</v>
      </c>
      <c r="P111" s="178">
        <v>8971</v>
      </c>
      <c r="Q111" s="359">
        <f>P111</f>
        <v>8971</v>
      </c>
      <c r="R111" s="404">
        <f t="shared" ref="R111:R113" si="203">Q111</f>
        <v>8971</v>
      </c>
      <c r="S111" s="284">
        <f>Q111</f>
        <v>8971</v>
      </c>
      <c r="T111" s="284">
        <f t="shared" ref="T111:W113" si="204">S111</f>
        <v>8971</v>
      </c>
      <c r="U111" s="284">
        <f t="shared" si="204"/>
        <v>8971</v>
      </c>
      <c r="V111" s="284">
        <f t="shared" si="204"/>
        <v>8971</v>
      </c>
      <c r="W111" s="404">
        <f t="shared" si="204"/>
        <v>8971</v>
      </c>
      <c r="X111" s="284">
        <f>V111</f>
        <v>8971</v>
      </c>
      <c r="Y111" s="284">
        <f t="shared" ref="Y111:AB113" si="205">X111</f>
        <v>8971</v>
      </c>
      <c r="Z111" s="284">
        <f t="shared" si="205"/>
        <v>8971</v>
      </c>
      <c r="AA111" s="284">
        <f t="shared" si="205"/>
        <v>8971</v>
      </c>
      <c r="AB111" s="404">
        <f t="shared" si="205"/>
        <v>8971</v>
      </c>
      <c r="AC111" s="284">
        <f>AA111</f>
        <v>8971</v>
      </c>
      <c r="AD111" s="284">
        <f t="shared" ref="AD111:AG113" si="206">AC111</f>
        <v>8971</v>
      </c>
      <c r="AE111" s="284">
        <f t="shared" si="206"/>
        <v>8971</v>
      </c>
      <c r="AF111" s="284">
        <f t="shared" si="206"/>
        <v>8971</v>
      </c>
      <c r="AG111" s="404">
        <f t="shared" si="206"/>
        <v>8971</v>
      </c>
      <c r="AH111" s="284">
        <f>AF111</f>
        <v>8971</v>
      </c>
      <c r="AI111" s="284">
        <f t="shared" ref="AI111:AL113" si="207">AH111</f>
        <v>8971</v>
      </c>
      <c r="AJ111" s="284">
        <f t="shared" si="207"/>
        <v>8971</v>
      </c>
      <c r="AK111" s="284">
        <f t="shared" si="207"/>
        <v>8971</v>
      </c>
      <c r="AL111" s="404">
        <f t="shared" si="207"/>
        <v>8971</v>
      </c>
      <c r="AM111" s="284">
        <f>AK111</f>
        <v>8971</v>
      </c>
      <c r="AN111" s="284">
        <f t="shared" ref="AN111:AN113" si="208">AM111</f>
        <v>8971</v>
      </c>
      <c r="AO111" s="284">
        <f t="shared" ref="AO111:AO113" si="209">AN111</f>
        <v>8971</v>
      </c>
      <c r="AP111" s="284">
        <f t="shared" ref="AP111:AP113" si="210">AO111</f>
        <v>8971</v>
      </c>
      <c r="AQ111" s="404">
        <f t="shared" ref="AQ111:AQ113" si="211">AP111</f>
        <v>8971</v>
      </c>
    </row>
    <row r="112" spans="2:43" s="40" customFormat="1" outlineLevel="1" x14ac:dyDescent="0.3">
      <c r="B112" s="109" t="s">
        <v>95</v>
      </c>
      <c r="C112" s="112"/>
      <c r="D112" s="117">
        <v>8948</v>
      </c>
      <c r="E112" s="114">
        <v>13863</v>
      </c>
      <c r="F112" s="114">
        <v>9041</v>
      </c>
      <c r="G112" s="115">
        <v>10980</v>
      </c>
      <c r="H112" s="116">
        <f t="shared" si="201"/>
        <v>10980</v>
      </c>
      <c r="I112" s="118">
        <v>2498</v>
      </c>
      <c r="J112" s="118">
        <v>13836</v>
      </c>
      <c r="K112" s="118">
        <v>5852</v>
      </c>
      <c r="L112" s="118">
        <v>7209</v>
      </c>
      <c r="M112" s="225">
        <f t="shared" si="202"/>
        <v>7209</v>
      </c>
      <c r="N112" s="231">
        <v>7711</v>
      </c>
      <c r="O112" s="178">
        <v>10893</v>
      </c>
      <c r="P112" s="178">
        <v>6374</v>
      </c>
      <c r="Q112" s="359">
        <f>P112</f>
        <v>6374</v>
      </c>
      <c r="R112" s="404">
        <f t="shared" si="203"/>
        <v>6374</v>
      </c>
      <c r="S112" s="284">
        <f>Q112</f>
        <v>6374</v>
      </c>
      <c r="T112" s="284">
        <f t="shared" si="204"/>
        <v>6374</v>
      </c>
      <c r="U112" s="284">
        <f t="shared" si="204"/>
        <v>6374</v>
      </c>
      <c r="V112" s="284">
        <f t="shared" si="204"/>
        <v>6374</v>
      </c>
      <c r="W112" s="404">
        <f t="shared" si="204"/>
        <v>6374</v>
      </c>
      <c r="X112" s="284">
        <f>V112</f>
        <v>6374</v>
      </c>
      <c r="Y112" s="284">
        <f t="shared" si="205"/>
        <v>6374</v>
      </c>
      <c r="Z112" s="284">
        <f t="shared" si="205"/>
        <v>6374</v>
      </c>
      <c r="AA112" s="284">
        <f t="shared" si="205"/>
        <v>6374</v>
      </c>
      <c r="AB112" s="404">
        <f t="shared" si="205"/>
        <v>6374</v>
      </c>
      <c r="AC112" s="284">
        <f>AA112</f>
        <v>6374</v>
      </c>
      <c r="AD112" s="284">
        <f t="shared" si="206"/>
        <v>6374</v>
      </c>
      <c r="AE112" s="284">
        <f t="shared" si="206"/>
        <v>6374</v>
      </c>
      <c r="AF112" s="284">
        <f t="shared" si="206"/>
        <v>6374</v>
      </c>
      <c r="AG112" s="404">
        <f t="shared" si="206"/>
        <v>6374</v>
      </c>
      <c r="AH112" s="284">
        <f>AF112</f>
        <v>6374</v>
      </c>
      <c r="AI112" s="284">
        <f t="shared" si="207"/>
        <v>6374</v>
      </c>
      <c r="AJ112" s="284">
        <f t="shared" si="207"/>
        <v>6374</v>
      </c>
      <c r="AK112" s="284">
        <f t="shared" si="207"/>
        <v>6374</v>
      </c>
      <c r="AL112" s="404">
        <f t="shared" si="207"/>
        <v>6374</v>
      </c>
      <c r="AM112" s="284">
        <f>AK112</f>
        <v>6374</v>
      </c>
      <c r="AN112" s="284">
        <f t="shared" si="208"/>
        <v>6374</v>
      </c>
      <c r="AO112" s="284">
        <f t="shared" si="209"/>
        <v>6374</v>
      </c>
      <c r="AP112" s="284">
        <f t="shared" si="210"/>
        <v>6374</v>
      </c>
      <c r="AQ112" s="404">
        <f t="shared" si="211"/>
        <v>6374</v>
      </c>
    </row>
    <row r="113" spans="2:43" s="40" customFormat="1" outlineLevel="1" x14ac:dyDescent="0.3">
      <c r="B113" s="184" t="s">
        <v>96</v>
      </c>
      <c r="C113" s="192"/>
      <c r="D113" s="114">
        <v>11151</v>
      </c>
      <c r="E113" s="114">
        <v>11557</v>
      </c>
      <c r="F113" s="114">
        <v>11302</v>
      </c>
      <c r="G113" s="115">
        <v>12710</v>
      </c>
      <c r="H113" s="116">
        <f t="shared" si="201"/>
        <v>12710</v>
      </c>
      <c r="I113" s="118">
        <v>12774</v>
      </c>
      <c r="J113" s="118">
        <v>12872</v>
      </c>
      <c r="K113" s="118">
        <v>9987</v>
      </c>
      <c r="L113" s="118">
        <v>10196</v>
      </c>
      <c r="M113" s="225">
        <f t="shared" si="202"/>
        <v>10196</v>
      </c>
      <c r="N113" s="231">
        <v>6645</v>
      </c>
      <c r="O113" s="178">
        <v>6832</v>
      </c>
      <c r="P113" s="178">
        <v>6931</v>
      </c>
      <c r="Q113" s="359">
        <f>P113</f>
        <v>6931</v>
      </c>
      <c r="R113" s="404">
        <f t="shared" si="203"/>
        <v>6931</v>
      </c>
      <c r="S113" s="284">
        <f>Q113</f>
        <v>6931</v>
      </c>
      <c r="T113" s="284">
        <f t="shared" si="204"/>
        <v>6931</v>
      </c>
      <c r="U113" s="284">
        <f t="shared" si="204"/>
        <v>6931</v>
      </c>
      <c r="V113" s="284">
        <f t="shared" si="204"/>
        <v>6931</v>
      </c>
      <c r="W113" s="404">
        <f t="shared" si="204"/>
        <v>6931</v>
      </c>
      <c r="X113" s="284">
        <f>V113</f>
        <v>6931</v>
      </c>
      <c r="Y113" s="284">
        <f t="shared" si="205"/>
        <v>6931</v>
      </c>
      <c r="Z113" s="284">
        <f t="shared" si="205"/>
        <v>6931</v>
      </c>
      <c r="AA113" s="284">
        <f t="shared" si="205"/>
        <v>6931</v>
      </c>
      <c r="AB113" s="404">
        <f t="shared" si="205"/>
        <v>6931</v>
      </c>
      <c r="AC113" s="284">
        <f>AA113</f>
        <v>6931</v>
      </c>
      <c r="AD113" s="284">
        <f t="shared" si="206"/>
        <v>6931</v>
      </c>
      <c r="AE113" s="284">
        <f t="shared" si="206"/>
        <v>6931</v>
      </c>
      <c r="AF113" s="284">
        <f t="shared" si="206"/>
        <v>6931</v>
      </c>
      <c r="AG113" s="404">
        <f t="shared" si="206"/>
        <v>6931</v>
      </c>
      <c r="AH113" s="284">
        <f>AF113</f>
        <v>6931</v>
      </c>
      <c r="AI113" s="284">
        <f t="shared" si="207"/>
        <v>6931</v>
      </c>
      <c r="AJ113" s="284">
        <f t="shared" si="207"/>
        <v>6931</v>
      </c>
      <c r="AK113" s="284">
        <f t="shared" si="207"/>
        <v>6931</v>
      </c>
      <c r="AL113" s="404">
        <f t="shared" si="207"/>
        <v>6931</v>
      </c>
      <c r="AM113" s="284">
        <f>AK113</f>
        <v>6931</v>
      </c>
      <c r="AN113" s="284">
        <f t="shared" si="208"/>
        <v>6931</v>
      </c>
      <c r="AO113" s="284">
        <f t="shared" si="209"/>
        <v>6931</v>
      </c>
      <c r="AP113" s="284">
        <f t="shared" si="210"/>
        <v>6931</v>
      </c>
      <c r="AQ113" s="404">
        <f t="shared" si="211"/>
        <v>6931</v>
      </c>
    </row>
    <row r="114" spans="2:43" s="40" customFormat="1" ht="16.2" outlineLevel="1" x14ac:dyDescent="0.45">
      <c r="B114" s="109" t="s">
        <v>97</v>
      </c>
      <c r="C114" s="112"/>
      <c r="D114" s="120">
        <f>SUM(D108:D113)</f>
        <v>318508</v>
      </c>
      <c r="E114" s="120">
        <f t="shared" ref="E114:L114" si="212">SUM(E108:E113)</f>
        <v>322242</v>
      </c>
      <c r="F114" s="120">
        <f t="shared" si="212"/>
        <v>311268</v>
      </c>
      <c r="G114" s="121">
        <f t="shared" si="212"/>
        <v>301820</v>
      </c>
      <c r="H114" s="122">
        <f>SUM(H108:H113)</f>
        <v>301820</v>
      </c>
      <c r="I114" s="123">
        <f t="shared" si="212"/>
        <v>256728</v>
      </c>
      <c r="J114" s="123">
        <f t="shared" si="212"/>
        <v>266648</v>
      </c>
      <c r="K114" s="123">
        <f t="shared" si="212"/>
        <v>242223</v>
      </c>
      <c r="L114" s="123">
        <f t="shared" si="212"/>
        <v>238547</v>
      </c>
      <c r="M114" s="226">
        <f t="shared" ref="M114:AL114" si="213">SUM(M108:M113)</f>
        <v>238547</v>
      </c>
      <c r="N114" s="232">
        <f t="shared" si="213"/>
        <v>207410</v>
      </c>
      <c r="O114" s="136">
        <f t="shared" si="213"/>
        <v>194985</v>
      </c>
      <c r="P114" s="136">
        <f t="shared" si="213"/>
        <v>185354</v>
      </c>
      <c r="Q114" s="136">
        <f t="shared" si="213"/>
        <v>185453.10490740748</v>
      </c>
      <c r="R114" s="405">
        <f t="shared" si="213"/>
        <v>185453.10490740748</v>
      </c>
      <c r="S114" s="360">
        <f t="shared" si="213"/>
        <v>189692.32873133017</v>
      </c>
      <c r="T114" s="360">
        <f t="shared" si="213"/>
        <v>197067.70594426102</v>
      </c>
      <c r="U114" s="360">
        <f t="shared" si="213"/>
        <v>207585.71379624013</v>
      </c>
      <c r="V114" s="360">
        <f t="shared" si="213"/>
        <v>223549.84401044738</v>
      </c>
      <c r="W114" s="405">
        <f t="shared" si="213"/>
        <v>223549.84401044738</v>
      </c>
      <c r="X114" s="360">
        <f t="shared" si="213"/>
        <v>241078.99297217876</v>
      </c>
      <c r="Y114" s="360">
        <f t="shared" si="213"/>
        <v>261427.74113932706</v>
      </c>
      <c r="Z114" s="360">
        <f t="shared" si="213"/>
        <v>282676.31310777215</v>
      </c>
      <c r="AA114" s="360">
        <f t="shared" si="213"/>
        <v>306966.47021907754</v>
      </c>
      <c r="AB114" s="405">
        <f t="shared" si="213"/>
        <v>306966.47021907754</v>
      </c>
      <c r="AC114" s="360">
        <f t="shared" si="213"/>
        <v>331886.43338179227</v>
      </c>
      <c r="AD114" s="360">
        <f t="shared" si="213"/>
        <v>372798.04472826258</v>
      </c>
      <c r="AE114" s="360">
        <f t="shared" si="213"/>
        <v>403013.56299749494</v>
      </c>
      <c r="AF114" s="360">
        <f t="shared" si="213"/>
        <v>449516.75568657008</v>
      </c>
      <c r="AG114" s="405">
        <f t="shared" si="213"/>
        <v>449516.75568657008</v>
      </c>
      <c r="AH114" s="360">
        <f t="shared" si="213"/>
        <v>487417.01446789165</v>
      </c>
      <c r="AI114" s="360">
        <f t="shared" si="213"/>
        <v>545139.09128895204</v>
      </c>
      <c r="AJ114" s="360">
        <f t="shared" si="213"/>
        <v>589971.48830980028</v>
      </c>
      <c r="AK114" s="360">
        <f t="shared" si="213"/>
        <v>655000.29520036641</v>
      </c>
      <c r="AL114" s="405">
        <f t="shared" si="213"/>
        <v>655000.29520036641</v>
      </c>
      <c r="AM114" s="360">
        <f t="shared" ref="AM114:AQ114" si="214">SUM(AM108:AM113)</f>
        <v>707531.88463855279</v>
      </c>
      <c r="AN114" s="360">
        <f t="shared" si="214"/>
        <v>780671.22076915787</v>
      </c>
      <c r="AO114" s="360">
        <f t="shared" si="214"/>
        <v>841744.6027190584</v>
      </c>
      <c r="AP114" s="360">
        <f t="shared" si="214"/>
        <v>923878.02377849969</v>
      </c>
      <c r="AQ114" s="405">
        <f t="shared" si="214"/>
        <v>923878.02377849969</v>
      </c>
    </row>
    <row r="115" spans="2:43" s="40" customFormat="1" outlineLevel="1" x14ac:dyDescent="0.3">
      <c r="B115" s="184" t="s">
        <v>98</v>
      </c>
      <c r="C115" s="112"/>
      <c r="D115" s="117">
        <v>141758</v>
      </c>
      <c r="E115" s="114">
        <v>143926</v>
      </c>
      <c r="F115" s="114">
        <v>146951</v>
      </c>
      <c r="G115" s="115">
        <v>149014</v>
      </c>
      <c r="H115" s="116">
        <f>G115</f>
        <v>149014</v>
      </c>
      <c r="I115" s="118">
        <v>147961</v>
      </c>
      <c r="J115" s="118">
        <v>148452</v>
      </c>
      <c r="K115" s="118">
        <v>146965</v>
      </c>
      <c r="L115" s="118">
        <v>143211</v>
      </c>
      <c r="M115" s="225">
        <f>L115</f>
        <v>143211</v>
      </c>
      <c r="N115" s="233">
        <v>138860</v>
      </c>
      <c r="O115" s="178">
        <v>135060</v>
      </c>
      <c r="P115" s="178">
        <v>131210</v>
      </c>
      <c r="Q115" s="391">
        <f>P115-Q21-Q181</f>
        <v>126991.25</v>
      </c>
      <c r="R115" s="404">
        <f>Q115</f>
        <v>126991.25</v>
      </c>
      <c r="S115" s="391">
        <f>Q115-S21-S181</f>
        <v>122974.21875</v>
      </c>
      <c r="T115" s="391">
        <f>S115-T21-T181</f>
        <v>119163.08203125</v>
      </c>
      <c r="U115" s="391">
        <f>T115-U21-U181</f>
        <v>115547.64951171874</v>
      </c>
      <c r="V115" s="391">
        <f>U115-V21-V181</f>
        <v>112117.88122314452</v>
      </c>
      <c r="W115" s="404">
        <f>V115</f>
        <v>112117.88122314452</v>
      </c>
      <c r="X115" s="391">
        <f>V115-X21-X181</f>
        <v>108986.14295477293</v>
      </c>
      <c r="Y115" s="391">
        <f>X115-Y21-Y181</f>
        <v>106146.43735032501</v>
      </c>
      <c r="Z115" s="391">
        <f>Y115-Z21-Z181</f>
        <v>103590.41259269755</v>
      </c>
      <c r="AA115" s="391">
        <f>Z115-AA21-AA181</f>
        <v>101310.39558162198</v>
      </c>
      <c r="AB115" s="404">
        <f>AA115</f>
        <v>101310.39558162198</v>
      </c>
      <c r="AC115" s="391">
        <f>AA115-AC21-AC181</f>
        <v>99299.449826638986</v>
      </c>
      <c r="AD115" s="391">
        <f>AC115-AD21-AD181</f>
        <v>97551.356863276204</v>
      </c>
      <c r="AE115" s="391">
        <f>AD115-AE21-AE181</f>
        <v>96060.597526464262</v>
      </c>
      <c r="AF115" s="391">
        <f>AE115-AF21-AF181</f>
        <v>94822.335038678473</v>
      </c>
      <c r="AG115" s="404">
        <f>AF115</f>
        <v>94822.335038678473</v>
      </c>
      <c r="AH115" s="391">
        <f>AF115-AH21-AH181</f>
        <v>93832.399915105518</v>
      </c>
      <c r="AI115" s="391">
        <f>AH115-AI21-AI181</f>
        <v>93087.276641344317</v>
      </c>
      <c r="AJ115" s="391">
        <f>AI115-AJ21-AJ181</f>
        <v>92584.092082520641</v>
      </c>
      <c r="AK115" s="391">
        <f>AJ115-AK21-AK181</f>
        <v>92320.605587265964</v>
      </c>
      <c r="AL115" s="404">
        <f>AK115</f>
        <v>92320.605587265964</v>
      </c>
      <c r="AM115" s="391">
        <f>AK115-AM21-AM181</f>
        <v>92295.200754505349</v>
      </c>
      <c r="AN115" s="391">
        <f>AM115-AN21-AN181</f>
        <v>92506.878835394324</v>
      </c>
      <c r="AO115" s="391">
        <f>AN115-AO21-AO181</f>
        <v>92955.253747051756</v>
      </c>
      <c r="AP115" s="391">
        <f>AO115-AP21-AP181</f>
        <v>93640.548678965759</v>
      </c>
      <c r="AQ115" s="404">
        <f>AP115</f>
        <v>93640.548678965759</v>
      </c>
    </row>
    <row r="116" spans="2:43" s="40" customFormat="1" outlineLevel="1" x14ac:dyDescent="0.3">
      <c r="B116" s="109" t="s">
        <v>99</v>
      </c>
      <c r="C116" s="112"/>
      <c r="D116" s="117">
        <v>11994</v>
      </c>
      <c r="E116" s="114">
        <v>12037</v>
      </c>
      <c r="F116" s="114">
        <v>10867</v>
      </c>
      <c r="G116" s="115">
        <v>10642</v>
      </c>
      <c r="H116" s="116">
        <f>G116</f>
        <v>10642</v>
      </c>
      <c r="I116" s="118">
        <v>10607</v>
      </c>
      <c r="J116" s="118">
        <v>12667</v>
      </c>
      <c r="K116" s="118">
        <v>13523</v>
      </c>
      <c r="L116" s="118">
        <v>10041</v>
      </c>
      <c r="M116" s="225">
        <f>L116</f>
        <v>10041</v>
      </c>
      <c r="N116" s="231">
        <v>9857</v>
      </c>
      <c r="O116" s="178">
        <v>9700</v>
      </c>
      <c r="P116" s="178">
        <v>10019</v>
      </c>
      <c r="Q116" s="359">
        <f>P116-Q22</f>
        <v>9821.81</v>
      </c>
      <c r="R116" s="404">
        <f>Q116</f>
        <v>9821.81</v>
      </c>
      <c r="S116" s="284">
        <f>Q116-S22</f>
        <v>9623.4018999999989</v>
      </c>
      <c r="T116" s="284">
        <f>S116-T22</f>
        <v>9428.9497809999993</v>
      </c>
      <c r="U116" s="284">
        <f>T116-U22</f>
        <v>9238.4262641899986</v>
      </c>
      <c r="V116" s="284">
        <f>U116-V22</f>
        <v>9051.7525037380983</v>
      </c>
      <c r="W116" s="404">
        <f>V116</f>
        <v>9051.7525037380983</v>
      </c>
      <c r="X116" s="284">
        <f>V116-X22</f>
        <v>8868.8507160588179</v>
      </c>
      <c r="Y116" s="284">
        <f>X116-Y22</f>
        <v>8689.6446838608481</v>
      </c>
      <c r="Z116" s="284">
        <f>Y116-Z22</f>
        <v>8514.0597298616522</v>
      </c>
      <c r="AA116" s="284">
        <f>Z116-AA22</f>
        <v>8342.022685724427</v>
      </c>
      <c r="AB116" s="404">
        <f>AA116</f>
        <v>8342.022685724427</v>
      </c>
      <c r="AC116" s="284">
        <f>AA116-AC22</f>
        <v>8173.4618615685658</v>
      </c>
      <c r="AD116" s="284">
        <f>AC116-AD22</f>
        <v>8008.3070160956358</v>
      </c>
      <c r="AE116" s="284">
        <f>AD116-AE22</f>
        <v>7846.4893273189937</v>
      </c>
      <c r="AF116" s="284">
        <f>AE116-AF22</f>
        <v>7687.9413638848473</v>
      </c>
      <c r="AG116" s="404">
        <f>AF116</f>
        <v>7687.9413638848473</v>
      </c>
      <c r="AH116" s="284">
        <f>AF116-AH22</f>
        <v>7532.5970569728088</v>
      </c>
      <c r="AI116" s="284">
        <f>AH116-AI22</f>
        <v>7380.3916727642318</v>
      </c>
      <c r="AJ116" s="284">
        <f>AI116-AJ22</f>
        <v>7231.2617854668615</v>
      </c>
      <c r="AK116" s="284">
        <f>AJ116-AK22</f>
        <v>7085.1452508845505</v>
      </c>
      <c r="AL116" s="404">
        <f>AK116</f>
        <v>7085.1452508845505</v>
      </c>
      <c r="AM116" s="284">
        <f>AK116-AM22</f>
        <v>6941.9811805210365</v>
      </c>
      <c r="AN116" s="284">
        <f>AM116-AN22</f>
        <v>6801.7099162069808</v>
      </c>
      <c r="AO116" s="284">
        <f>AN116-AO22</f>
        <v>6664.273005239701</v>
      </c>
      <c r="AP116" s="284">
        <f>AO116-AP22</f>
        <v>6529.6131760252338</v>
      </c>
      <c r="AQ116" s="404">
        <f>AP116</f>
        <v>6529.6131760252338</v>
      </c>
    </row>
    <row r="117" spans="2:43" s="40" customFormat="1" outlineLevel="1" x14ac:dyDescent="0.3">
      <c r="B117" s="109" t="s">
        <v>100</v>
      </c>
      <c r="C117" s="112"/>
      <c r="D117" s="117">
        <v>163337</v>
      </c>
      <c r="E117" s="114">
        <v>163337</v>
      </c>
      <c r="F117" s="114">
        <v>164472</v>
      </c>
      <c r="G117" s="115">
        <v>164464</v>
      </c>
      <c r="H117" s="116">
        <f t="shared" ref="H117:H118" si="215">G117</f>
        <v>164464</v>
      </c>
      <c r="I117" s="118">
        <v>164464</v>
      </c>
      <c r="J117" s="118">
        <v>178718</v>
      </c>
      <c r="K117" s="118">
        <v>178159</v>
      </c>
      <c r="L117" s="118">
        <v>178159</v>
      </c>
      <c r="M117" s="225">
        <f t="shared" ref="M117:M118" si="216">L117</f>
        <v>178159</v>
      </c>
      <c r="N117" s="231">
        <v>178159</v>
      </c>
      <c r="O117" s="178">
        <v>178159</v>
      </c>
      <c r="P117" s="178">
        <v>179044</v>
      </c>
      <c r="Q117" s="359">
        <f>P117</f>
        <v>179044</v>
      </c>
      <c r="R117" s="404">
        <f t="shared" ref="R117:R118" si="217">Q117</f>
        <v>179044</v>
      </c>
      <c r="S117" s="284">
        <f>Q117</f>
        <v>179044</v>
      </c>
      <c r="T117" s="284">
        <f t="shared" ref="T117:W119" si="218">S117</f>
        <v>179044</v>
      </c>
      <c r="U117" s="284">
        <f t="shared" si="218"/>
        <v>179044</v>
      </c>
      <c r="V117" s="284">
        <f t="shared" si="218"/>
        <v>179044</v>
      </c>
      <c r="W117" s="404">
        <f t="shared" si="218"/>
        <v>179044</v>
      </c>
      <c r="X117" s="284">
        <f>V117</f>
        <v>179044</v>
      </c>
      <c r="Y117" s="284">
        <f t="shared" ref="Y117:AB119" si="219">X117</f>
        <v>179044</v>
      </c>
      <c r="Z117" s="284">
        <f t="shared" si="219"/>
        <v>179044</v>
      </c>
      <c r="AA117" s="284">
        <f t="shared" si="219"/>
        <v>179044</v>
      </c>
      <c r="AB117" s="404">
        <f t="shared" si="219"/>
        <v>179044</v>
      </c>
      <c r="AC117" s="284">
        <f>AA117</f>
        <v>179044</v>
      </c>
      <c r="AD117" s="284">
        <f t="shared" ref="AD117:AG119" si="220">AC117</f>
        <v>179044</v>
      </c>
      <c r="AE117" s="284">
        <f t="shared" si="220"/>
        <v>179044</v>
      </c>
      <c r="AF117" s="284">
        <f t="shared" si="220"/>
        <v>179044</v>
      </c>
      <c r="AG117" s="404">
        <f t="shared" si="220"/>
        <v>179044</v>
      </c>
      <c r="AH117" s="284">
        <f>AF117</f>
        <v>179044</v>
      </c>
      <c r="AI117" s="284">
        <f t="shared" ref="AI117:AL119" si="221">AH117</f>
        <v>179044</v>
      </c>
      <c r="AJ117" s="284">
        <f t="shared" si="221"/>
        <v>179044</v>
      </c>
      <c r="AK117" s="284">
        <f t="shared" si="221"/>
        <v>179044</v>
      </c>
      <c r="AL117" s="404">
        <f t="shared" si="221"/>
        <v>179044</v>
      </c>
      <c r="AM117" s="284">
        <f>AK117</f>
        <v>179044</v>
      </c>
      <c r="AN117" s="284">
        <f t="shared" ref="AN117:AN119" si="222">AM117</f>
        <v>179044</v>
      </c>
      <c r="AO117" s="284">
        <f t="shared" ref="AO117:AO119" si="223">AN117</f>
        <v>179044</v>
      </c>
      <c r="AP117" s="284">
        <f t="shared" ref="AP117:AP119" si="224">AO117</f>
        <v>179044</v>
      </c>
      <c r="AQ117" s="404">
        <f t="shared" ref="AQ117:AQ118" si="225">AP117</f>
        <v>179044</v>
      </c>
    </row>
    <row r="118" spans="2:43" s="40" customFormat="1" outlineLevel="1" x14ac:dyDescent="0.3">
      <c r="B118" s="109" t="s">
        <v>101</v>
      </c>
      <c r="C118" s="112"/>
      <c r="D118" s="114">
        <v>3602</v>
      </c>
      <c r="E118" s="114">
        <v>4214</v>
      </c>
      <c r="F118" s="114">
        <v>7167</v>
      </c>
      <c r="G118" s="115">
        <v>3876</v>
      </c>
      <c r="H118" s="116">
        <f t="shared" si="215"/>
        <v>3876</v>
      </c>
      <c r="I118" s="118">
        <v>3941</v>
      </c>
      <c r="J118" s="118">
        <v>5857</v>
      </c>
      <c r="K118" s="118">
        <v>10087</v>
      </c>
      <c r="L118" s="118">
        <v>11693</v>
      </c>
      <c r="M118" s="225">
        <f t="shared" si="216"/>
        <v>11693</v>
      </c>
      <c r="N118" s="233">
        <v>9178</v>
      </c>
      <c r="O118" s="180">
        <v>9537</v>
      </c>
      <c r="P118" s="180">
        <v>9793</v>
      </c>
      <c r="Q118" s="359">
        <f>P118</f>
        <v>9793</v>
      </c>
      <c r="R118" s="404">
        <f t="shared" si="217"/>
        <v>9793</v>
      </c>
      <c r="S118" s="284">
        <f>Q118</f>
        <v>9793</v>
      </c>
      <c r="T118" s="284">
        <f t="shared" si="218"/>
        <v>9793</v>
      </c>
      <c r="U118" s="284">
        <f t="shared" si="218"/>
        <v>9793</v>
      </c>
      <c r="V118" s="284">
        <f t="shared" si="218"/>
        <v>9793</v>
      </c>
      <c r="W118" s="404">
        <f t="shared" si="218"/>
        <v>9793</v>
      </c>
      <c r="X118" s="284">
        <f>V118</f>
        <v>9793</v>
      </c>
      <c r="Y118" s="284">
        <f t="shared" si="219"/>
        <v>9793</v>
      </c>
      <c r="Z118" s="284">
        <f t="shared" si="219"/>
        <v>9793</v>
      </c>
      <c r="AA118" s="284">
        <f t="shared" si="219"/>
        <v>9793</v>
      </c>
      <c r="AB118" s="404">
        <f t="shared" si="219"/>
        <v>9793</v>
      </c>
      <c r="AC118" s="284">
        <f>AA118</f>
        <v>9793</v>
      </c>
      <c r="AD118" s="284">
        <f t="shared" si="220"/>
        <v>9793</v>
      </c>
      <c r="AE118" s="284">
        <f t="shared" si="220"/>
        <v>9793</v>
      </c>
      <c r="AF118" s="284">
        <f t="shared" si="220"/>
        <v>9793</v>
      </c>
      <c r="AG118" s="404">
        <f t="shared" si="220"/>
        <v>9793</v>
      </c>
      <c r="AH118" s="284">
        <f>AF118</f>
        <v>9793</v>
      </c>
      <c r="AI118" s="284">
        <f t="shared" si="221"/>
        <v>9793</v>
      </c>
      <c r="AJ118" s="284">
        <f t="shared" si="221"/>
        <v>9793</v>
      </c>
      <c r="AK118" s="284">
        <f t="shared" si="221"/>
        <v>9793</v>
      </c>
      <c r="AL118" s="404">
        <f t="shared" si="221"/>
        <v>9793</v>
      </c>
      <c r="AM118" s="284">
        <f>AK118</f>
        <v>9793</v>
      </c>
      <c r="AN118" s="284">
        <f t="shared" si="222"/>
        <v>9793</v>
      </c>
      <c r="AO118" s="284">
        <f t="shared" si="223"/>
        <v>9793</v>
      </c>
      <c r="AP118" s="284">
        <f t="shared" si="224"/>
        <v>9793</v>
      </c>
      <c r="AQ118" s="404">
        <f t="shared" si="225"/>
        <v>9793</v>
      </c>
    </row>
    <row r="119" spans="2:43" s="40" customFormat="1" outlineLevel="1" x14ac:dyDescent="0.3">
      <c r="B119" s="109" t="s">
        <v>102</v>
      </c>
      <c r="C119" s="112"/>
      <c r="D119" s="114">
        <v>41164</v>
      </c>
      <c r="E119" s="114">
        <v>43372</v>
      </c>
      <c r="F119" s="114">
        <v>44407</v>
      </c>
      <c r="G119" s="115">
        <v>45837</v>
      </c>
      <c r="H119" s="116">
        <f>G119</f>
        <v>45837</v>
      </c>
      <c r="I119" s="118">
        <v>46307</v>
      </c>
      <c r="J119" s="118">
        <v>46643</v>
      </c>
      <c r="K119" s="118">
        <v>44148</v>
      </c>
      <c r="L119" s="118">
        <v>43607</v>
      </c>
      <c r="M119" s="225">
        <f>L119</f>
        <v>43607</v>
      </c>
      <c r="N119" s="231">
        <v>43786</v>
      </c>
      <c r="O119" s="178">
        <v>44665</v>
      </c>
      <c r="P119" s="178">
        <v>46718</v>
      </c>
      <c r="Q119" s="359">
        <f>P119</f>
        <v>46718</v>
      </c>
      <c r="R119" s="404">
        <f>Q119</f>
        <v>46718</v>
      </c>
      <c r="S119" s="284">
        <f>Q119</f>
        <v>46718</v>
      </c>
      <c r="T119" s="284">
        <f t="shared" si="218"/>
        <v>46718</v>
      </c>
      <c r="U119" s="284">
        <f t="shared" si="218"/>
        <v>46718</v>
      </c>
      <c r="V119" s="284">
        <f t="shared" si="218"/>
        <v>46718</v>
      </c>
      <c r="W119" s="404">
        <f>V119</f>
        <v>46718</v>
      </c>
      <c r="X119" s="284">
        <f>V119</f>
        <v>46718</v>
      </c>
      <c r="Y119" s="284">
        <f t="shared" si="219"/>
        <v>46718</v>
      </c>
      <c r="Z119" s="284">
        <f t="shared" si="219"/>
        <v>46718</v>
      </c>
      <c r="AA119" s="284">
        <f t="shared" si="219"/>
        <v>46718</v>
      </c>
      <c r="AB119" s="404">
        <f>AA119</f>
        <v>46718</v>
      </c>
      <c r="AC119" s="284">
        <f>AA119</f>
        <v>46718</v>
      </c>
      <c r="AD119" s="284">
        <f t="shared" si="220"/>
        <v>46718</v>
      </c>
      <c r="AE119" s="284">
        <f t="shared" si="220"/>
        <v>46718</v>
      </c>
      <c r="AF119" s="284">
        <f t="shared" si="220"/>
        <v>46718</v>
      </c>
      <c r="AG119" s="404">
        <f>AF119</f>
        <v>46718</v>
      </c>
      <c r="AH119" s="284">
        <f>AF119</f>
        <v>46718</v>
      </c>
      <c r="AI119" s="284">
        <f t="shared" si="221"/>
        <v>46718</v>
      </c>
      <c r="AJ119" s="284">
        <f t="shared" si="221"/>
        <v>46718</v>
      </c>
      <c r="AK119" s="284">
        <f t="shared" si="221"/>
        <v>46718</v>
      </c>
      <c r="AL119" s="404">
        <f>AK119</f>
        <v>46718</v>
      </c>
      <c r="AM119" s="284">
        <f>AK119</f>
        <v>46718</v>
      </c>
      <c r="AN119" s="284">
        <f t="shared" si="222"/>
        <v>46718</v>
      </c>
      <c r="AO119" s="284">
        <f t="shared" si="223"/>
        <v>46718</v>
      </c>
      <c r="AP119" s="284">
        <f t="shared" si="224"/>
        <v>46718</v>
      </c>
      <c r="AQ119" s="404">
        <f>AP119</f>
        <v>46718</v>
      </c>
    </row>
    <row r="120" spans="2:43" s="40" customFormat="1" ht="16.2" outlineLevel="1" x14ac:dyDescent="0.45">
      <c r="B120" s="465" t="s">
        <v>104</v>
      </c>
      <c r="C120" s="466"/>
      <c r="D120" s="127">
        <f>SUM(D115:D119)+D114</f>
        <v>680363</v>
      </c>
      <c r="E120" s="127">
        <f t="shared" ref="E120:L120" si="226">SUM(E115:E119)+E114</f>
        <v>689128</v>
      </c>
      <c r="F120" s="127">
        <f t="shared" si="226"/>
        <v>685132</v>
      </c>
      <c r="G120" s="128">
        <f t="shared" si="226"/>
        <v>675653</v>
      </c>
      <c r="H120" s="132">
        <f>SUM(H115:H119)+H114</f>
        <v>675653</v>
      </c>
      <c r="I120" s="131">
        <f t="shared" si="226"/>
        <v>630008</v>
      </c>
      <c r="J120" s="131">
        <f t="shared" si="226"/>
        <v>658985</v>
      </c>
      <c r="K120" s="131">
        <f t="shared" si="226"/>
        <v>635105</v>
      </c>
      <c r="L120" s="131">
        <f t="shared" si="226"/>
        <v>625258</v>
      </c>
      <c r="M120" s="227">
        <f>SUM(M115:M119)+M114</f>
        <v>625258</v>
      </c>
      <c r="N120" s="234">
        <f>SUM(N115:N119)+N114</f>
        <v>587250</v>
      </c>
      <c r="O120" s="179">
        <f t="shared" ref="O120" si="227">SUM(O115:O119)+O114</f>
        <v>572106</v>
      </c>
      <c r="P120" s="179">
        <f>SUM(P115:P119)+P114</f>
        <v>562138</v>
      </c>
      <c r="Q120" s="179">
        <f>SUM(Q115:Q119)+Q114</f>
        <v>557821.16490740748</v>
      </c>
      <c r="R120" s="406">
        <f>SUM(R115:R119)+R114</f>
        <v>557821.16490740748</v>
      </c>
      <c r="S120" s="179">
        <f>SUM(S115:S119)+S114</f>
        <v>557844.94938133017</v>
      </c>
      <c r="T120" s="179">
        <f t="shared" ref="T120" si="228">SUM(T115:T119)+T114</f>
        <v>561214.73775651108</v>
      </c>
      <c r="U120" s="179">
        <f>SUM(U115:U119)+U114</f>
        <v>567926.78957214893</v>
      </c>
      <c r="V120" s="179">
        <f>SUM(V115:V119)+V114</f>
        <v>580274.47773733002</v>
      </c>
      <c r="W120" s="406">
        <f>SUM(W115:W119)+W114</f>
        <v>580274.47773733002</v>
      </c>
      <c r="X120" s="179">
        <f>SUM(X115:X119)+X114</f>
        <v>594488.98664301052</v>
      </c>
      <c r="Y120" s="179">
        <f t="shared" ref="Y120" si="229">SUM(Y115:Y119)+Y114</f>
        <v>611818.82317351294</v>
      </c>
      <c r="Z120" s="179">
        <f t="shared" ref="Z120:AL120" si="230">SUM(Z115:Z119)+Z114</f>
        <v>630335.78543033137</v>
      </c>
      <c r="AA120" s="179">
        <f t="shared" si="230"/>
        <v>652173.888486424</v>
      </c>
      <c r="AB120" s="406">
        <f t="shared" si="230"/>
        <v>652173.888486424</v>
      </c>
      <c r="AC120" s="179">
        <f t="shared" si="230"/>
        <v>674914.34506999981</v>
      </c>
      <c r="AD120" s="179">
        <f t="shared" si="230"/>
        <v>713912.70860763441</v>
      </c>
      <c r="AE120" s="179">
        <f t="shared" si="230"/>
        <v>742475.64985127817</v>
      </c>
      <c r="AF120" s="179">
        <f t="shared" si="230"/>
        <v>787582.0320891334</v>
      </c>
      <c r="AG120" s="406">
        <f t="shared" si="230"/>
        <v>787582.0320891334</v>
      </c>
      <c r="AH120" s="179">
        <f t="shared" si="230"/>
        <v>824337.01143997</v>
      </c>
      <c r="AI120" s="179">
        <f t="shared" si="230"/>
        <v>881161.75960306055</v>
      </c>
      <c r="AJ120" s="179">
        <f t="shared" si="230"/>
        <v>925341.8421777878</v>
      </c>
      <c r="AK120" s="179">
        <f t="shared" si="230"/>
        <v>989961.04603851691</v>
      </c>
      <c r="AL120" s="406">
        <f t="shared" si="230"/>
        <v>989961.04603851691</v>
      </c>
      <c r="AM120" s="179">
        <f t="shared" ref="AM120:AQ120" si="231">SUM(AM115:AM119)+AM114</f>
        <v>1042324.0665735791</v>
      </c>
      <c r="AN120" s="179">
        <f t="shared" si="231"/>
        <v>1115534.8095207592</v>
      </c>
      <c r="AO120" s="179">
        <f t="shared" si="231"/>
        <v>1176919.12947135</v>
      </c>
      <c r="AP120" s="179">
        <f t="shared" si="231"/>
        <v>1259603.1856334908</v>
      </c>
      <c r="AQ120" s="406">
        <f t="shared" si="231"/>
        <v>1259603.1856334908</v>
      </c>
    </row>
    <row r="121" spans="2:43" s="40" customFormat="1" outlineLevel="1" x14ac:dyDescent="0.3">
      <c r="B121" s="465" t="s">
        <v>105</v>
      </c>
      <c r="C121" s="466"/>
      <c r="D121" s="117"/>
      <c r="E121" s="114"/>
      <c r="F121" s="114"/>
      <c r="G121" s="115"/>
      <c r="H121" s="116"/>
      <c r="I121" s="118"/>
      <c r="J121" s="118"/>
      <c r="K121" s="118"/>
      <c r="L121" s="118"/>
      <c r="M121" s="225"/>
      <c r="N121" s="231"/>
      <c r="O121" s="178"/>
      <c r="P121" s="178"/>
      <c r="Q121" s="177"/>
      <c r="R121" s="404"/>
      <c r="S121" s="203"/>
      <c r="T121" s="203"/>
      <c r="U121" s="203"/>
      <c r="V121" s="203"/>
      <c r="W121" s="404"/>
      <c r="X121" s="203"/>
      <c r="Y121" s="203"/>
      <c r="Z121" s="203"/>
      <c r="AA121" s="203"/>
      <c r="AB121" s="404"/>
      <c r="AC121" s="203"/>
      <c r="AD121" s="203"/>
      <c r="AE121" s="203"/>
      <c r="AF121" s="203"/>
      <c r="AG121" s="404"/>
      <c r="AH121" s="203"/>
      <c r="AI121" s="203"/>
      <c r="AJ121" s="203"/>
      <c r="AK121" s="203"/>
      <c r="AL121" s="404"/>
      <c r="AM121" s="203"/>
      <c r="AN121" s="203"/>
      <c r="AO121" s="203"/>
      <c r="AP121" s="203"/>
      <c r="AQ121" s="404"/>
    </row>
    <row r="122" spans="2:43" s="40" customFormat="1" outlineLevel="1" x14ac:dyDescent="0.3">
      <c r="B122" s="451" t="s">
        <v>51</v>
      </c>
      <c r="C122" s="452"/>
      <c r="D122" s="117">
        <v>53715</v>
      </c>
      <c r="E122" s="114">
        <v>51292</v>
      </c>
      <c r="F122" s="114">
        <v>49648</v>
      </c>
      <c r="G122" s="115">
        <v>47084</v>
      </c>
      <c r="H122" s="116">
        <f>G122</f>
        <v>47084</v>
      </c>
      <c r="I122" s="118">
        <v>50998</v>
      </c>
      <c r="J122" s="118">
        <v>42323</v>
      </c>
      <c r="K122" s="118">
        <v>40539</v>
      </c>
      <c r="L122" s="118">
        <v>33474</v>
      </c>
      <c r="M122" s="225">
        <f>L122</f>
        <v>33474</v>
      </c>
      <c r="N122" s="231">
        <v>34753</v>
      </c>
      <c r="O122" s="178">
        <v>29404</v>
      </c>
      <c r="P122" s="178">
        <v>32201</v>
      </c>
      <c r="Q122" s="203">
        <f>((Q18+Q19)/Q150*2)-P122</f>
        <v>28648.610118074161</v>
      </c>
      <c r="R122" s="413">
        <f>Q122</f>
        <v>28648.610118074161</v>
      </c>
      <c r="S122" s="412">
        <f>((S18+S19)/S150*2)-Q122</f>
        <v>29516.505179196836</v>
      </c>
      <c r="T122" s="203">
        <f>((T18+T19)/T150*2)-S122</f>
        <v>31556.865882937709</v>
      </c>
      <c r="U122" s="203">
        <f>((U18+U19)/U150*2)-T122</f>
        <v>32570.17373230357</v>
      </c>
      <c r="V122" s="203">
        <f>((V18+V19)/V150*2)-U122</f>
        <v>34763.217863699792</v>
      </c>
      <c r="W122" s="413">
        <f>V122</f>
        <v>34763.217863699792</v>
      </c>
      <c r="X122" s="203">
        <f>((X18+X19)/X150*2)-V122</f>
        <v>36028.752344167056</v>
      </c>
      <c r="Y122" s="203">
        <f>((Y18+Y19)/Y150*2)-X122</f>
        <v>38399.780402919911</v>
      </c>
      <c r="Z122" s="203">
        <f>((Z18+Z19)/Z150*2)-Y122</f>
        <v>39852.476031933671</v>
      </c>
      <c r="AA122" s="203">
        <f>((AA18+AA19)/AA150*2)-Z122</f>
        <v>42420.31661284752</v>
      </c>
      <c r="AB122" s="413">
        <f>AA122</f>
        <v>42420.31661284752</v>
      </c>
      <c r="AC122" s="203">
        <f>((AC18+AC19)/AC150*2)-AA122</f>
        <v>37719.659290799354</v>
      </c>
      <c r="AD122" s="203">
        <f>((AD18+AD19)/AD150*2)-AC122</f>
        <v>46538.604379139819</v>
      </c>
      <c r="AE122" s="203">
        <f>((AE18+AE19)/AE150*2)-AD122</f>
        <v>42049.982338817303</v>
      </c>
      <c r="AF122" s="203">
        <f>((AF18+AF19)/AF150*2)-AE122</f>
        <v>51091.901122107309</v>
      </c>
      <c r="AG122" s="413">
        <f>AF122</f>
        <v>51091.901122107309</v>
      </c>
      <c r="AH122" s="203">
        <f>((AH18+AH19)/AH150*2)-AF122</f>
        <v>45283.317614442181</v>
      </c>
      <c r="AI122" s="203">
        <f>((AI18+AI19)/AI150*2)-AH122</f>
        <v>56046.341206343182</v>
      </c>
      <c r="AJ122" s="203">
        <f>((AJ18+AJ19)/AJ150*2)-AI122</f>
        <v>50492.94205599733</v>
      </c>
      <c r="AK122" s="203">
        <f>((AK18+AK19)/AK150*2)-AJ122</f>
        <v>61524.319652504411</v>
      </c>
      <c r="AL122" s="413">
        <f>AK122</f>
        <v>61524.319652504411</v>
      </c>
      <c r="AM122" s="203">
        <f>((AM18+AM19)/AM150*2)-AK122</f>
        <v>56253.125210034086</v>
      </c>
      <c r="AN122" s="203">
        <f>((AN18+AN19)/AN150*2)-AM122</f>
        <v>67581.274568016641</v>
      </c>
      <c r="AO122" s="203">
        <f>((AO18+AO19)/AO150*2)-AN122</f>
        <v>62622.172418303118</v>
      </c>
      <c r="AP122" s="203">
        <f>((AP18+AP19)/AP150*2)-AO122</f>
        <v>74278.527133764263</v>
      </c>
      <c r="AQ122" s="413">
        <f>AP122</f>
        <v>74278.527133764263</v>
      </c>
    </row>
    <row r="123" spans="2:43" s="40" customFormat="1" outlineLevel="1" x14ac:dyDescent="0.3">
      <c r="B123" s="471" t="s">
        <v>106</v>
      </c>
      <c r="C123" s="472"/>
      <c r="D123" s="117">
        <v>27084</v>
      </c>
      <c r="E123" s="114">
        <v>34266</v>
      </c>
      <c r="F123" s="114">
        <v>34096</v>
      </c>
      <c r="G123" s="115">
        <v>34617</v>
      </c>
      <c r="H123" s="116">
        <f t="shared" ref="H123:H130" si="232">G123</f>
        <v>34617</v>
      </c>
      <c r="I123" s="118">
        <v>38128</v>
      </c>
      <c r="J123" s="118">
        <v>38412</v>
      </c>
      <c r="K123" s="118">
        <v>33016</v>
      </c>
      <c r="L123" s="118">
        <v>36475</v>
      </c>
      <c r="M123" s="225">
        <f t="shared" ref="M123:M130" si="233">L123</f>
        <v>36475</v>
      </c>
      <c r="N123" s="231">
        <v>34756</v>
      </c>
      <c r="O123" s="178">
        <v>34512</v>
      </c>
      <c r="P123" s="178">
        <v>23541</v>
      </c>
      <c r="Q123" s="359">
        <f>P123</f>
        <v>23541</v>
      </c>
      <c r="R123" s="404">
        <f t="shared" ref="R123:R130" si="234">Q123</f>
        <v>23541</v>
      </c>
      <c r="S123" s="284">
        <f>Q123</f>
        <v>23541</v>
      </c>
      <c r="T123" s="284">
        <f t="shared" ref="T123:W130" si="235">S123</f>
        <v>23541</v>
      </c>
      <c r="U123" s="284">
        <f t="shared" si="235"/>
        <v>23541</v>
      </c>
      <c r="V123" s="284">
        <f t="shared" si="235"/>
        <v>23541</v>
      </c>
      <c r="W123" s="404">
        <f t="shared" si="235"/>
        <v>23541</v>
      </c>
      <c r="X123" s="284">
        <f>V123</f>
        <v>23541</v>
      </c>
      <c r="Y123" s="284">
        <f t="shared" ref="Y123:AB130" si="236">X123</f>
        <v>23541</v>
      </c>
      <c r="Z123" s="284">
        <f t="shared" si="236"/>
        <v>23541</v>
      </c>
      <c r="AA123" s="284">
        <f t="shared" si="236"/>
        <v>23541</v>
      </c>
      <c r="AB123" s="404">
        <f t="shared" si="236"/>
        <v>23541</v>
      </c>
      <c r="AC123" s="284">
        <f>AA123</f>
        <v>23541</v>
      </c>
      <c r="AD123" s="284">
        <f t="shared" ref="AD123:AG130" si="237">AC123</f>
        <v>23541</v>
      </c>
      <c r="AE123" s="284">
        <f t="shared" si="237"/>
        <v>23541</v>
      </c>
      <c r="AF123" s="284">
        <f t="shared" si="237"/>
        <v>23541</v>
      </c>
      <c r="AG123" s="404">
        <f t="shared" si="237"/>
        <v>23541</v>
      </c>
      <c r="AH123" s="284">
        <f>AF123</f>
        <v>23541</v>
      </c>
      <c r="AI123" s="284">
        <f t="shared" ref="AI123:AL130" si="238">AH123</f>
        <v>23541</v>
      </c>
      <c r="AJ123" s="284">
        <f t="shared" si="238"/>
        <v>23541</v>
      </c>
      <c r="AK123" s="284">
        <f t="shared" si="238"/>
        <v>23541</v>
      </c>
      <c r="AL123" s="404">
        <f t="shared" si="238"/>
        <v>23541</v>
      </c>
      <c r="AM123" s="284">
        <f>AK123</f>
        <v>23541</v>
      </c>
      <c r="AN123" s="284">
        <f t="shared" ref="AN123:AN127" si="239">AM123</f>
        <v>23541</v>
      </c>
      <c r="AO123" s="284">
        <f t="shared" ref="AO123:AO127" si="240">AN123</f>
        <v>23541</v>
      </c>
      <c r="AP123" s="284">
        <f t="shared" ref="AP123:AP127" si="241">AO123</f>
        <v>23541</v>
      </c>
      <c r="AQ123" s="404">
        <f t="shared" ref="AQ123:AQ130" si="242">AP123</f>
        <v>23541</v>
      </c>
    </row>
    <row r="124" spans="2:43" s="40" customFormat="1" outlineLevel="1" x14ac:dyDescent="0.3">
      <c r="B124" s="471" t="s">
        <v>107</v>
      </c>
      <c r="C124" s="472"/>
      <c r="D124" s="117">
        <v>8406</v>
      </c>
      <c r="E124" s="114">
        <v>9687</v>
      </c>
      <c r="F124" s="114">
        <v>11308</v>
      </c>
      <c r="G124" s="115">
        <v>11199</v>
      </c>
      <c r="H124" s="116">
        <f t="shared" si="232"/>
        <v>11199</v>
      </c>
      <c r="I124" s="118">
        <v>9202</v>
      </c>
      <c r="J124" s="118">
        <v>9187</v>
      </c>
      <c r="K124" s="118">
        <v>9225</v>
      </c>
      <c r="L124" s="118">
        <v>9495</v>
      </c>
      <c r="M124" s="225">
        <f t="shared" si="233"/>
        <v>9495</v>
      </c>
      <c r="N124" s="231">
        <v>7937</v>
      </c>
      <c r="O124" s="178">
        <v>6714</v>
      </c>
      <c r="P124" s="178">
        <v>6816</v>
      </c>
      <c r="Q124" s="359">
        <f>P124</f>
        <v>6816</v>
      </c>
      <c r="R124" s="404">
        <f t="shared" si="234"/>
        <v>6816</v>
      </c>
      <c r="S124" s="284">
        <f>Q124</f>
        <v>6816</v>
      </c>
      <c r="T124" s="284">
        <f t="shared" si="235"/>
        <v>6816</v>
      </c>
      <c r="U124" s="284">
        <f t="shared" si="235"/>
        <v>6816</v>
      </c>
      <c r="V124" s="284">
        <f t="shared" si="235"/>
        <v>6816</v>
      </c>
      <c r="W124" s="404">
        <f t="shared" si="235"/>
        <v>6816</v>
      </c>
      <c r="X124" s="284">
        <f>V124</f>
        <v>6816</v>
      </c>
      <c r="Y124" s="284">
        <f t="shared" si="236"/>
        <v>6816</v>
      </c>
      <c r="Z124" s="284">
        <f t="shared" si="236"/>
        <v>6816</v>
      </c>
      <c r="AA124" s="284">
        <f t="shared" si="236"/>
        <v>6816</v>
      </c>
      <c r="AB124" s="404">
        <f t="shared" si="236"/>
        <v>6816</v>
      </c>
      <c r="AC124" s="284">
        <f>AA124</f>
        <v>6816</v>
      </c>
      <c r="AD124" s="284">
        <f t="shared" si="237"/>
        <v>6816</v>
      </c>
      <c r="AE124" s="284">
        <f t="shared" si="237"/>
        <v>6816</v>
      </c>
      <c r="AF124" s="284">
        <f t="shared" si="237"/>
        <v>6816</v>
      </c>
      <c r="AG124" s="404">
        <f t="shared" si="237"/>
        <v>6816</v>
      </c>
      <c r="AH124" s="284">
        <f>AF124</f>
        <v>6816</v>
      </c>
      <c r="AI124" s="284">
        <f t="shared" si="238"/>
        <v>6816</v>
      </c>
      <c r="AJ124" s="284">
        <f t="shared" si="238"/>
        <v>6816</v>
      </c>
      <c r="AK124" s="284">
        <f t="shared" si="238"/>
        <v>6816</v>
      </c>
      <c r="AL124" s="404">
        <f t="shared" si="238"/>
        <v>6816</v>
      </c>
      <c r="AM124" s="284">
        <f>AK124</f>
        <v>6816</v>
      </c>
      <c r="AN124" s="284">
        <f t="shared" si="239"/>
        <v>6816</v>
      </c>
      <c r="AO124" s="284">
        <f t="shared" si="240"/>
        <v>6816</v>
      </c>
      <c r="AP124" s="284">
        <f t="shared" si="241"/>
        <v>6816</v>
      </c>
      <c r="AQ124" s="404">
        <f t="shared" si="242"/>
        <v>6816</v>
      </c>
    </row>
    <row r="125" spans="2:43" s="40" customFormat="1" outlineLevel="1" x14ac:dyDescent="0.3">
      <c r="B125" s="106" t="s">
        <v>108</v>
      </c>
      <c r="C125" s="107"/>
      <c r="D125" s="114">
        <v>17481</v>
      </c>
      <c r="E125" s="114">
        <v>11844</v>
      </c>
      <c r="F125" s="114">
        <v>11045</v>
      </c>
      <c r="G125" s="115">
        <v>11009</v>
      </c>
      <c r="H125" s="116">
        <f t="shared" si="232"/>
        <v>11009</v>
      </c>
      <c r="I125" s="118">
        <v>14777</v>
      </c>
      <c r="J125" s="118">
        <v>14757</v>
      </c>
      <c r="K125" s="118">
        <v>13918</v>
      </c>
      <c r="L125" s="118">
        <v>14101</v>
      </c>
      <c r="M125" s="225">
        <f t="shared" si="233"/>
        <v>14101</v>
      </c>
      <c r="N125" s="231">
        <v>14272</v>
      </c>
      <c r="O125" s="178">
        <v>11114</v>
      </c>
      <c r="P125" s="178">
        <v>12990</v>
      </c>
      <c r="Q125" s="359">
        <f>P125</f>
        <v>12990</v>
      </c>
      <c r="R125" s="404">
        <f t="shared" si="234"/>
        <v>12990</v>
      </c>
      <c r="S125" s="284">
        <f>Q125</f>
        <v>12990</v>
      </c>
      <c r="T125" s="284">
        <f t="shared" si="235"/>
        <v>12990</v>
      </c>
      <c r="U125" s="284">
        <f t="shared" si="235"/>
        <v>12990</v>
      </c>
      <c r="V125" s="284">
        <f t="shared" si="235"/>
        <v>12990</v>
      </c>
      <c r="W125" s="404">
        <f t="shared" si="235"/>
        <v>12990</v>
      </c>
      <c r="X125" s="284">
        <f>V125</f>
        <v>12990</v>
      </c>
      <c r="Y125" s="284">
        <f t="shared" si="236"/>
        <v>12990</v>
      </c>
      <c r="Z125" s="284">
        <f t="shared" si="236"/>
        <v>12990</v>
      </c>
      <c r="AA125" s="284">
        <f t="shared" si="236"/>
        <v>12990</v>
      </c>
      <c r="AB125" s="404">
        <f t="shared" si="236"/>
        <v>12990</v>
      </c>
      <c r="AC125" s="284">
        <f>AA125</f>
        <v>12990</v>
      </c>
      <c r="AD125" s="284">
        <f t="shared" si="237"/>
        <v>12990</v>
      </c>
      <c r="AE125" s="284">
        <f t="shared" si="237"/>
        <v>12990</v>
      </c>
      <c r="AF125" s="284">
        <f t="shared" si="237"/>
        <v>12990</v>
      </c>
      <c r="AG125" s="404">
        <f t="shared" si="237"/>
        <v>12990</v>
      </c>
      <c r="AH125" s="284">
        <f>AF125</f>
        <v>12990</v>
      </c>
      <c r="AI125" s="284">
        <f t="shared" si="238"/>
        <v>12990</v>
      </c>
      <c r="AJ125" s="284">
        <f t="shared" si="238"/>
        <v>12990</v>
      </c>
      <c r="AK125" s="284">
        <f t="shared" si="238"/>
        <v>12990</v>
      </c>
      <c r="AL125" s="404">
        <f t="shared" si="238"/>
        <v>12990</v>
      </c>
      <c r="AM125" s="284">
        <f>AK125</f>
        <v>12990</v>
      </c>
      <c r="AN125" s="284">
        <f t="shared" si="239"/>
        <v>12990</v>
      </c>
      <c r="AO125" s="284">
        <f t="shared" si="240"/>
        <v>12990</v>
      </c>
      <c r="AP125" s="284">
        <f t="shared" si="241"/>
        <v>12990</v>
      </c>
      <c r="AQ125" s="404">
        <f t="shared" si="242"/>
        <v>12990</v>
      </c>
    </row>
    <row r="126" spans="2:43" s="40" customFormat="1" outlineLevel="1" x14ac:dyDescent="0.3">
      <c r="B126" s="106" t="s">
        <v>109</v>
      </c>
      <c r="C126" s="107"/>
      <c r="D126" s="114">
        <v>30024</v>
      </c>
      <c r="E126" s="114">
        <v>13057</v>
      </c>
      <c r="F126" s="114">
        <v>5746</v>
      </c>
      <c r="G126" s="115">
        <v>8333</v>
      </c>
      <c r="H126" s="116">
        <f t="shared" si="232"/>
        <v>8333</v>
      </c>
      <c r="I126" s="118">
        <v>2296</v>
      </c>
      <c r="J126" s="118">
        <v>8320</v>
      </c>
      <c r="K126" s="118">
        <v>7217</v>
      </c>
      <c r="L126" s="118">
        <v>1733</v>
      </c>
      <c r="M126" s="225">
        <f t="shared" si="233"/>
        <v>1733</v>
      </c>
      <c r="N126" s="231">
        <v>4310</v>
      </c>
      <c r="O126" s="178">
        <v>1352</v>
      </c>
      <c r="P126" s="178">
        <v>5596</v>
      </c>
      <c r="Q126" s="359">
        <f>P126</f>
        <v>5596</v>
      </c>
      <c r="R126" s="404">
        <f t="shared" si="234"/>
        <v>5596</v>
      </c>
      <c r="S126" s="284">
        <f>Q126</f>
        <v>5596</v>
      </c>
      <c r="T126" s="284">
        <f t="shared" si="235"/>
        <v>5596</v>
      </c>
      <c r="U126" s="284">
        <f t="shared" si="235"/>
        <v>5596</v>
      </c>
      <c r="V126" s="284">
        <f t="shared" si="235"/>
        <v>5596</v>
      </c>
      <c r="W126" s="404">
        <f t="shared" si="235"/>
        <v>5596</v>
      </c>
      <c r="X126" s="284">
        <f>V126</f>
        <v>5596</v>
      </c>
      <c r="Y126" s="284">
        <f t="shared" si="236"/>
        <v>5596</v>
      </c>
      <c r="Z126" s="284">
        <f t="shared" si="236"/>
        <v>5596</v>
      </c>
      <c r="AA126" s="284">
        <f t="shared" si="236"/>
        <v>5596</v>
      </c>
      <c r="AB126" s="404">
        <f t="shared" si="236"/>
        <v>5596</v>
      </c>
      <c r="AC126" s="284">
        <f>AA126</f>
        <v>5596</v>
      </c>
      <c r="AD126" s="284">
        <f t="shared" si="237"/>
        <v>5596</v>
      </c>
      <c r="AE126" s="284">
        <f t="shared" si="237"/>
        <v>5596</v>
      </c>
      <c r="AF126" s="284">
        <f t="shared" si="237"/>
        <v>5596</v>
      </c>
      <c r="AG126" s="404">
        <f t="shared" si="237"/>
        <v>5596</v>
      </c>
      <c r="AH126" s="284">
        <f>AF126</f>
        <v>5596</v>
      </c>
      <c r="AI126" s="284">
        <f t="shared" si="238"/>
        <v>5596</v>
      </c>
      <c r="AJ126" s="284">
        <f t="shared" si="238"/>
        <v>5596</v>
      </c>
      <c r="AK126" s="284">
        <f t="shared" si="238"/>
        <v>5596</v>
      </c>
      <c r="AL126" s="404">
        <f t="shared" si="238"/>
        <v>5596</v>
      </c>
      <c r="AM126" s="284">
        <f>AK126</f>
        <v>5596</v>
      </c>
      <c r="AN126" s="284">
        <f t="shared" si="239"/>
        <v>5596</v>
      </c>
      <c r="AO126" s="284">
        <f t="shared" si="240"/>
        <v>5596</v>
      </c>
      <c r="AP126" s="284">
        <f t="shared" si="241"/>
        <v>5596</v>
      </c>
      <c r="AQ126" s="404">
        <f t="shared" si="242"/>
        <v>5596</v>
      </c>
    </row>
    <row r="127" spans="2:43" s="40" customFormat="1" outlineLevel="1" x14ac:dyDescent="0.3">
      <c r="B127" s="106" t="s">
        <v>110</v>
      </c>
      <c r="C127" s="107"/>
      <c r="D127" s="114">
        <v>11751</v>
      </c>
      <c r="E127" s="114">
        <v>13778</v>
      </c>
      <c r="F127" s="114">
        <v>15194</v>
      </c>
      <c r="G127" s="115">
        <v>19624</v>
      </c>
      <c r="H127" s="116">
        <f t="shared" si="232"/>
        <v>19624</v>
      </c>
      <c r="I127" s="118">
        <v>16125</v>
      </c>
      <c r="J127" s="118">
        <v>23881</v>
      </c>
      <c r="K127" s="118">
        <v>20148</v>
      </c>
      <c r="L127" s="118">
        <v>25480</v>
      </c>
      <c r="M127" s="225">
        <f t="shared" si="233"/>
        <v>25480</v>
      </c>
      <c r="N127" s="231">
        <v>12388</v>
      </c>
      <c r="O127" s="178">
        <v>13119</v>
      </c>
      <c r="P127" s="178">
        <v>12398</v>
      </c>
      <c r="Q127" s="283">
        <f>P127</f>
        <v>12398</v>
      </c>
      <c r="R127" s="404">
        <f t="shared" si="234"/>
        <v>12398</v>
      </c>
      <c r="S127" s="284">
        <f>Q127</f>
        <v>12398</v>
      </c>
      <c r="T127" s="284">
        <f t="shared" si="235"/>
        <v>12398</v>
      </c>
      <c r="U127" s="284">
        <f t="shared" si="235"/>
        <v>12398</v>
      </c>
      <c r="V127" s="284">
        <f t="shared" si="235"/>
        <v>12398</v>
      </c>
      <c r="W127" s="404">
        <f t="shared" si="235"/>
        <v>12398</v>
      </c>
      <c r="X127" s="284">
        <f>V127</f>
        <v>12398</v>
      </c>
      <c r="Y127" s="284">
        <f t="shared" si="236"/>
        <v>12398</v>
      </c>
      <c r="Z127" s="284">
        <f t="shared" si="236"/>
        <v>12398</v>
      </c>
      <c r="AA127" s="284">
        <f t="shared" si="236"/>
        <v>12398</v>
      </c>
      <c r="AB127" s="404">
        <f t="shared" si="236"/>
        <v>12398</v>
      </c>
      <c r="AC127" s="284">
        <f>AA127</f>
        <v>12398</v>
      </c>
      <c r="AD127" s="284">
        <f t="shared" si="237"/>
        <v>12398</v>
      </c>
      <c r="AE127" s="284">
        <f t="shared" si="237"/>
        <v>12398</v>
      </c>
      <c r="AF127" s="284">
        <f t="shared" si="237"/>
        <v>12398</v>
      </c>
      <c r="AG127" s="404">
        <f t="shared" si="237"/>
        <v>12398</v>
      </c>
      <c r="AH127" s="284">
        <f>AF127</f>
        <v>12398</v>
      </c>
      <c r="AI127" s="284">
        <f t="shared" si="238"/>
        <v>12398</v>
      </c>
      <c r="AJ127" s="284">
        <f t="shared" si="238"/>
        <v>12398</v>
      </c>
      <c r="AK127" s="284">
        <f t="shared" si="238"/>
        <v>12398</v>
      </c>
      <c r="AL127" s="404">
        <f t="shared" si="238"/>
        <v>12398</v>
      </c>
      <c r="AM127" s="284">
        <f>AK127</f>
        <v>12398</v>
      </c>
      <c r="AN127" s="284">
        <f t="shared" si="239"/>
        <v>12398</v>
      </c>
      <c r="AO127" s="284">
        <f t="shared" si="240"/>
        <v>12398</v>
      </c>
      <c r="AP127" s="284">
        <f t="shared" si="241"/>
        <v>12398</v>
      </c>
      <c r="AQ127" s="404">
        <f t="shared" si="242"/>
        <v>12398</v>
      </c>
    </row>
    <row r="128" spans="2:43" s="40" customFormat="1" ht="16.2" outlineLevel="1" x14ac:dyDescent="0.45">
      <c r="B128" s="471" t="s">
        <v>111</v>
      </c>
      <c r="C128" s="466"/>
      <c r="D128" s="120">
        <f>SUM(D122:D127)</f>
        <v>148461</v>
      </c>
      <c r="E128" s="120">
        <f>SUM(E122:E127)</f>
        <v>133924</v>
      </c>
      <c r="F128" s="120">
        <f>SUM(F122:F127)</f>
        <v>127037</v>
      </c>
      <c r="G128" s="121">
        <f>SUM(G122:G127)</f>
        <v>131866</v>
      </c>
      <c r="H128" s="122">
        <f t="shared" si="232"/>
        <v>131866</v>
      </c>
      <c r="I128" s="123">
        <f>SUM(I122:I127)</f>
        <v>131526</v>
      </c>
      <c r="J128" s="123">
        <f>SUM(J122:J127)</f>
        <v>136880</v>
      </c>
      <c r="K128" s="123">
        <f>SUM(K122:K127)</f>
        <v>124063</v>
      </c>
      <c r="L128" s="123">
        <f>SUM(L122:L127)</f>
        <v>120758</v>
      </c>
      <c r="M128" s="226">
        <f t="shared" si="233"/>
        <v>120758</v>
      </c>
      <c r="N128" s="232">
        <f>SUM(N122:N127)</f>
        <v>108416</v>
      </c>
      <c r="O128" s="136">
        <f>SUM(O122:O127)</f>
        <v>96215</v>
      </c>
      <c r="P128" s="136">
        <f>SUM(P122:P127)</f>
        <v>93542</v>
      </c>
      <c r="Q128" s="136">
        <f>SUM(Q122:Q127)</f>
        <v>89989.610118074168</v>
      </c>
      <c r="R128" s="405">
        <f t="shared" si="234"/>
        <v>89989.610118074168</v>
      </c>
      <c r="S128" s="136">
        <f>SUM(S122:S127)</f>
        <v>90857.505179196829</v>
      </c>
      <c r="T128" s="136">
        <f>SUM(T122:T127)</f>
        <v>92897.865882937709</v>
      </c>
      <c r="U128" s="136">
        <f>SUM(U122:U127)</f>
        <v>93911.173732303578</v>
      </c>
      <c r="V128" s="136">
        <f>SUM(V122:V127)</f>
        <v>96104.2178636998</v>
      </c>
      <c r="W128" s="405">
        <f t="shared" si="235"/>
        <v>96104.2178636998</v>
      </c>
      <c r="X128" s="136">
        <f>SUM(X122:X127)</f>
        <v>97369.752344167064</v>
      </c>
      <c r="Y128" s="136">
        <f>SUM(Y122:Y127)</f>
        <v>99740.780402919918</v>
      </c>
      <c r="Z128" s="136">
        <f>SUM(Z122:Z127)</f>
        <v>101193.47603193368</v>
      </c>
      <c r="AA128" s="136">
        <f>SUM(AA122:AA127)</f>
        <v>103761.31661284753</v>
      </c>
      <c r="AB128" s="405">
        <f t="shared" si="236"/>
        <v>103761.31661284753</v>
      </c>
      <c r="AC128" s="136">
        <f>SUM(AC122:AC127)</f>
        <v>99060.659290799347</v>
      </c>
      <c r="AD128" s="136">
        <f>SUM(AD122:AD127)</f>
        <v>107879.60437913981</v>
      </c>
      <c r="AE128" s="136">
        <f>SUM(AE122:AE127)</f>
        <v>103390.9823388173</v>
      </c>
      <c r="AF128" s="136">
        <f>SUM(AF122:AF127)</f>
        <v>112432.90112210732</v>
      </c>
      <c r="AG128" s="405">
        <f t="shared" si="237"/>
        <v>112432.90112210732</v>
      </c>
      <c r="AH128" s="136">
        <f>SUM(AH122:AH127)</f>
        <v>106624.31761444217</v>
      </c>
      <c r="AI128" s="136">
        <f>SUM(AI122:AI127)</f>
        <v>117387.34120634318</v>
      </c>
      <c r="AJ128" s="136">
        <f>SUM(AJ122:AJ127)</f>
        <v>111833.94205599732</v>
      </c>
      <c r="AK128" s="136">
        <f>SUM(AK122:AK127)</f>
        <v>122865.3196525044</v>
      </c>
      <c r="AL128" s="405">
        <f t="shared" si="238"/>
        <v>122865.3196525044</v>
      </c>
      <c r="AM128" s="136">
        <f>SUM(AM122:AM127)</f>
        <v>117594.12521003408</v>
      </c>
      <c r="AN128" s="136">
        <f>SUM(AN122:AN127)</f>
        <v>128922.27456801664</v>
      </c>
      <c r="AO128" s="136">
        <f>SUM(AO122:AO127)</f>
        <v>123963.17241830312</v>
      </c>
      <c r="AP128" s="136">
        <f>SUM(AP122:AP127)</f>
        <v>135619.52713376426</v>
      </c>
      <c r="AQ128" s="405">
        <f t="shared" si="242"/>
        <v>135619.52713376426</v>
      </c>
    </row>
    <row r="129" spans="2:43" s="41" customFormat="1" outlineLevel="1" x14ac:dyDescent="0.3">
      <c r="B129" s="75" t="s">
        <v>112</v>
      </c>
      <c r="C129" s="76"/>
      <c r="D129" s="117">
        <v>279000</v>
      </c>
      <c r="E129" s="114">
        <v>333000</v>
      </c>
      <c r="F129" s="114">
        <v>370000</v>
      </c>
      <c r="G129" s="115">
        <v>356000</v>
      </c>
      <c r="H129" s="116">
        <f t="shared" si="232"/>
        <v>356000</v>
      </c>
      <c r="I129" s="118">
        <v>373000</v>
      </c>
      <c r="J129" s="118">
        <v>421508</v>
      </c>
      <c r="K129" s="118">
        <v>428000</v>
      </c>
      <c r="L129" s="118">
        <v>430987</v>
      </c>
      <c r="M129" s="225">
        <f t="shared" si="233"/>
        <v>430987</v>
      </c>
      <c r="N129" s="231">
        <v>407112</v>
      </c>
      <c r="O129" s="178">
        <v>208237</v>
      </c>
      <c r="P129" s="178">
        <v>206363</v>
      </c>
      <c r="Q129" s="283">
        <f>P129</f>
        <v>206363</v>
      </c>
      <c r="R129" s="404">
        <f t="shared" si="234"/>
        <v>206363</v>
      </c>
      <c r="S129" s="284">
        <f>Q129</f>
        <v>206363</v>
      </c>
      <c r="T129" s="284">
        <f t="shared" ref="T129:W134" si="243">S129</f>
        <v>206363</v>
      </c>
      <c r="U129" s="284">
        <f t="shared" si="243"/>
        <v>206363</v>
      </c>
      <c r="V129" s="284">
        <f t="shared" si="243"/>
        <v>206363</v>
      </c>
      <c r="W129" s="404">
        <f t="shared" si="235"/>
        <v>206363</v>
      </c>
      <c r="X129" s="284">
        <f>V129</f>
        <v>206363</v>
      </c>
      <c r="Y129" s="284">
        <f t="shared" ref="Y129:AB134" si="244">X129</f>
        <v>206363</v>
      </c>
      <c r="Z129" s="284">
        <f t="shared" si="244"/>
        <v>206363</v>
      </c>
      <c r="AA129" s="284">
        <f t="shared" si="244"/>
        <v>206363</v>
      </c>
      <c r="AB129" s="404">
        <f t="shared" si="236"/>
        <v>206363</v>
      </c>
      <c r="AC129" s="284">
        <f>AA129</f>
        <v>206363</v>
      </c>
      <c r="AD129" s="284">
        <f t="shared" ref="AD129:AG134" si="245">AC129</f>
        <v>206363</v>
      </c>
      <c r="AE129" s="284">
        <f t="shared" si="245"/>
        <v>206363</v>
      </c>
      <c r="AF129" s="284">
        <f t="shared" si="245"/>
        <v>206363</v>
      </c>
      <c r="AG129" s="404">
        <f t="shared" si="237"/>
        <v>206363</v>
      </c>
      <c r="AH129" s="284">
        <f>AF129</f>
        <v>206363</v>
      </c>
      <c r="AI129" s="284">
        <f t="shared" ref="AI129:AL134" si="246">AH129</f>
        <v>206363</v>
      </c>
      <c r="AJ129" s="284">
        <f t="shared" si="246"/>
        <v>206363</v>
      </c>
      <c r="AK129" s="284">
        <f t="shared" si="246"/>
        <v>206363</v>
      </c>
      <c r="AL129" s="404">
        <f t="shared" si="238"/>
        <v>206363</v>
      </c>
      <c r="AM129" s="284">
        <f>AK129</f>
        <v>206363</v>
      </c>
      <c r="AN129" s="284">
        <f t="shared" ref="AN129:AN132" si="247">AM129</f>
        <v>206363</v>
      </c>
      <c r="AO129" s="284">
        <f t="shared" ref="AO129:AO132" si="248">AN129</f>
        <v>206363</v>
      </c>
      <c r="AP129" s="284">
        <f t="shared" ref="AP129:AP132" si="249">AO129</f>
        <v>206363</v>
      </c>
      <c r="AQ129" s="404">
        <f t="shared" si="242"/>
        <v>206363</v>
      </c>
    </row>
    <row r="130" spans="2:43" s="41" customFormat="1" outlineLevel="1" x14ac:dyDescent="0.3">
      <c r="B130" s="188" t="s">
        <v>113</v>
      </c>
      <c r="C130" s="101"/>
      <c r="D130" s="117">
        <v>39576</v>
      </c>
      <c r="E130" s="114">
        <v>41125</v>
      </c>
      <c r="F130" s="114">
        <v>41681</v>
      </c>
      <c r="G130" s="115">
        <v>42705</v>
      </c>
      <c r="H130" s="116">
        <f t="shared" si="232"/>
        <v>42705</v>
      </c>
      <c r="I130" s="118">
        <v>43530</v>
      </c>
      <c r="J130" s="118">
        <v>43971</v>
      </c>
      <c r="K130" s="118">
        <v>42809</v>
      </c>
      <c r="L130" s="118">
        <v>43478</v>
      </c>
      <c r="M130" s="225">
        <f t="shared" si="233"/>
        <v>43478</v>
      </c>
      <c r="N130" s="231">
        <v>42598</v>
      </c>
      <c r="O130" s="178">
        <v>43570</v>
      </c>
      <c r="P130" s="178">
        <v>45977</v>
      </c>
      <c r="Q130" s="283">
        <f>P130</f>
        <v>45977</v>
      </c>
      <c r="R130" s="404">
        <f t="shared" si="234"/>
        <v>45977</v>
      </c>
      <c r="S130" s="284">
        <f>Q130</f>
        <v>45977</v>
      </c>
      <c r="T130" s="284">
        <f t="shared" si="243"/>
        <v>45977</v>
      </c>
      <c r="U130" s="284">
        <f t="shared" si="243"/>
        <v>45977</v>
      </c>
      <c r="V130" s="284">
        <f t="shared" si="243"/>
        <v>45977</v>
      </c>
      <c r="W130" s="404">
        <f t="shared" si="235"/>
        <v>45977</v>
      </c>
      <c r="X130" s="284">
        <f>V130</f>
        <v>45977</v>
      </c>
      <c r="Y130" s="284">
        <f t="shared" si="244"/>
        <v>45977</v>
      </c>
      <c r="Z130" s="284">
        <f t="shared" si="244"/>
        <v>45977</v>
      </c>
      <c r="AA130" s="284">
        <f t="shared" si="244"/>
        <v>45977</v>
      </c>
      <c r="AB130" s="404">
        <f t="shared" si="236"/>
        <v>45977</v>
      </c>
      <c r="AC130" s="284">
        <f>AA130</f>
        <v>45977</v>
      </c>
      <c r="AD130" s="284">
        <f t="shared" si="245"/>
        <v>45977</v>
      </c>
      <c r="AE130" s="284">
        <f t="shared" si="245"/>
        <v>45977</v>
      </c>
      <c r="AF130" s="284">
        <f t="shared" si="245"/>
        <v>45977</v>
      </c>
      <c r="AG130" s="404">
        <f t="shared" si="237"/>
        <v>45977</v>
      </c>
      <c r="AH130" s="284">
        <f>AF130</f>
        <v>45977</v>
      </c>
      <c r="AI130" s="284">
        <f t="shared" si="246"/>
        <v>45977</v>
      </c>
      <c r="AJ130" s="284">
        <f t="shared" si="246"/>
        <v>45977</v>
      </c>
      <c r="AK130" s="284">
        <f t="shared" si="246"/>
        <v>45977</v>
      </c>
      <c r="AL130" s="404">
        <f t="shared" si="238"/>
        <v>45977</v>
      </c>
      <c r="AM130" s="284">
        <f>AK130</f>
        <v>45977</v>
      </c>
      <c r="AN130" s="284">
        <f t="shared" si="247"/>
        <v>45977</v>
      </c>
      <c r="AO130" s="284">
        <f t="shared" si="248"/>
        <v>45977</v>
      </c>
      <c r="AP130" s="284">
        <f t="shared" si="249"/>
        <v>45977</v>
      </c>
      <c r="AQ130" s="404">
        <f t="shared" si="242"/>
        <v>45977</v>
      </c>
    </row>
    <row r="131" spans="2:43" s="41" customFormat="1" outlineLevel="1" x14ac:dyDescent="0.3">
      <c r="B131" s="100" t="s">
        <v>114</v>
      </c>
      <c r="C131" s="101"/>
      <c r="D131" s="117">
        <v>4701</v>
      </c>
      <c r="E131" s="114">
        <v>3230</v>
      </c>
      <c r="F131" s="114">
        <v>5685</v>
      </c>
      <c r="G131" s="115">
        <v>7210</v>
      </c>
      <c r="H131" s="116">
        <f>G131</f>
        <v>7210</v>
      </c>
      <c r="I131" s="118">
        <v>6508</v>
      </c>
      <c r="J131" s="118">
        <v>6068</v>
      </c>
      <c r="K131" s="118">
        <v>2505</v>
      </c>
      <c r="L131" s="118">
        <v>4881</v>
      </c>
      <c r="M131" s="225">
        <f>L131</f>
        <v>4881</v>
      </c>
      <c r="N131" s="231">
        <v>7983</v>
      </c>
      <c r="O131" s="178">
        <v>7982</v>
      </c>
      <c r="P131" s="178">
        <v>5859</v>
      </c>
      <c r="Q131" s="283">
        <f>P131</f>
        <v>5859</v>
      </c>
      <c r="R131" s="404">
        <f>Q131</f>
        <v>5859</v>
      </c>
      <c r="S131" s="284">
        <f>Q131</f>
        <v>5859</v>
      </c>
      <c r="T131" s="284">
        <f t="shared" si="243"/>
        <v>5859</v>
      </c>
      <c r="U131" s="284">
        <f t="shared" si="243"/>
        <v>5859</v>
      </c>
      <c r="V131" s="284">
        <f t="shared" si="243"/>
        <v>5859</v>
      </c>
      <c r="W131" s="404">
        <f>V131</f>
        <v>5859</v>
      </c>
      <c r="X131" s="284">
        <f>V131</f>
        <v>5859</v>
      </c>
      <c r="Y131" s="284">
        <f t="shared" si="244"/>
        <v>5859</v>
      </c>
      <c r="Z131" s="284">
        <f t="shared" si="244"/>
        <v>5859</v>
      </c>
      <c r="AA131" s="284">
        <f t="shared" si="244"/>
        <v>5859</v>
      </c>
      <c r="AB131" s="404">
        <f>AA131</f>
        <v>5859</v>
      </c>
      <c r="AC131" s="284">
        <f>AA131</f>
        <v>5859</v>
      </c>
      <c r="AD131" s="284">
        <f t="shared" si="245"/>
        <v>5859</v>
      </c>
      <c r="AE131" s="284">
        <f t="shared" si="245"/>
        <v>5859</v>
      </c>
      <c r="AF131" s="284">
        <f t="shared" si="245"/>
        <v>5859</v>
      </c>
      <c r="AG131" s="404">
        <f>AF131</f>
        <v>5859</v>
      </c>
      <c r="AH131" s="284">
        <f>AF131</f>
        <v>5859</v>
      </c>
      <c r="AI131" s="284">
        <f t="shared" si="246"/>
        <v>5859</v>
      </c>
      <c r="AJ131" s="284">
        <f t="shared" si="246"/>
        <v>5859</v>
      </c>
      <c r="AK131" s="284">
        <f t="shared" si="246"/>
        <v>5859</v>
      </c>
      <c r="AL131" s="404">
        <f>AK131</f>
        <v>5859</v>
      </c>
      <c r="AM131" s="284">
        <f>AK131</f>
        <v>5859</v>
      </c>
      <c r="AN131" s="284">
        <f t="shared" si="247"/>
        <v>5859</v>
      </c>
      <c r="AO131" s="284">
        <f t="shared" si="248"/>
        <v>5859</v>
      </c>
      <c r="AP131" s="284">
        <f t="shared" si="249"/>
        <v>5859</v>
      </c>
      <c r="AQ131" s="404">
        <f>AP131</f>
        <v>5859</v>
      </c>
    </row>
    <row r="132" spans="2:43" s="40" customFormat="1" ht="15.75" customHeight="1" outlineLevel="1" x14ac:dyDescent="0.3">
      <c r="B132" s="451" t="s">
        <v>115</v>
      </c>
      <c r="C132" s="452"/>
      <c r="D132" s="117">
        <v>41691</v>
      </c>
      <c r="E132" s="137">
        <v>41568</v>
      </c>
      <c r="F132" s="114">
        <v>38954</v>
      </c>
      <c r="G132" s="115">
        <v>43879</v>
      </c>
      <c r="H132" s="116">
        <f t="shared" ref="H132:H134" si="250">G132</f>
        <v>43879</v>
      </c>
      <c r="I132" s="118">
        <v>42899</v>
      </c>
      <c r="J132" s="118">
        <v>43298</v>
      </c>
      <c r="K132" s="118">
        <v>43643</v>
      </c>
      <c r="L132" s="118">
        <v>48853</v>
      </c>
      <c r="M132" s="225">
        <f t="shared" ref="M132:M134" si="251">L132</f>
        <v>48853</v>
      </c>
      <c r="N132" s="231">
        <v>49123</v>
      </c>
      <c r="O132" s="178">
        <v>49151</v>
      </c>
      <c r="P132" s="178">
        <v>47600</v>
      </c>
      <c r="Q132" s="283">
        <f>P132</f>
        <v>47600</v>
      </c>
      <c r="R132" s="404">
        <f t="shared" ref="R132:R134" si="252">Q132</f>
        <v>47600</v>
      </c>
      <c r="S132" s="284">
        <f>Q132</f>
        <v>47600</v>
      </c>
      <c r="T132" s="284">
        <f t="shared" si="243"/>
        <v>47600</v>
      </c>
      <c r="U132" s="284">
        <f t="shared" si="243"/>
        <v>47600</v>
      </c>
      <c r="V132" s="284">
        <f t="shared" si="243"/>
        <v>47600</v>
      </c>
      <c r="W132" s="404">
        <f t="shared" si="243"/>
        <v>47600</v>
      </c>
      <c r="X132" s="284">
        <f>V132</f>
        <v>47600</v>
      </c>
      <c r="Y132" s="284">
        <f t="shared" si="244"/>
        <v>47600</v>
      </c>
      <c r="Z132" s="284">
        <f t="shared" si="244"/>
        <v>47600</v>
      </c>
      <c r="AA132" s="284">
        <f t="shared" si="244"/>
        <v>47600</v>
      </c>
      <c r="AB132" s="404">
        <f t="shared" si="244"/>
        <v>47600</v>
      </c>
      <c r="AC132" s="284">
        <f>AA132</f>
        <v>47600</v>
      </c>
      <c r="AD132" s="284">
        <f t="shared" si="245"/>
        <v>47600</v>
      </c>
      <c r="AE132" s="284">
        <f t="shared" si="245"/>
        <v>47600</v>
      </c>
      <c r="AF132" s="284">
        <f t="shared" si="245"/>
        <v>47600</v>
      </c>
      <c r="AG132" s="404">
        <f t="shared" si="245"/>
        <v>47600</v>
      </c>
      <c r="AH132" s="284">
        <f>AF132</f>
        <v>47600</v>
      </c>
      <c r="AI132" s="284">
        <f t="shared" si="246"/>
        <v>47600</v>
      </c>
      <c r="AJ132" s="284">
        <f t="shared" si="246"/>
        <v>47600</v>
      </c>
      <c r="AK132" s="284">
        <f t="shared" si="246"/>
        <v>47600</v>
      </c>
      <c r="AL132" s="404">
        <f t="shared" si="246"/>
        <v>47600</v>
      </c>
      <c r="AM132" s="284">
        <f>AK132</f>
        <v>47600</v>
      </c>
      <c r="AN132" s="284">
        <f t="shared" si="247"/>
        <v>47600</v>
      </c>
      <c r="AO132" s="284">
        <f t="shared" si="248"/>
        <v>47600</v>
      </c>
      <c r="AP132" s="284">
        <f t="shared" si="249"/>
        <v>47600</v>
      </c>
      <c r="AQ132" s="404">
        <f t="shared" ref="AQ132" si="253">AP132</f>
        <v>47600</v>
      </c>
    </row>
    <row r="133" spans="2:43" s="40" customFormat="1" outlineLevel="1" x14ac:dyDescent="0.3">
      <c r="B133" s="471" t="s">
        <v>116</v>
      </c>
      <c r="C133" s="472"/>
      <c r="D133" s="114"/>
      <c r="E133" s="114"/>
      <c r="F133" s="114"/>
      <c r="G133" s="115"/>
      <c r="H133" s="116"/>
      <c r="I133" s="118"/>
      <c r="J133" s="118"/>
      <c r="K133" s="139"/>
      <c r="L133" s="118"/>
      <c r="M133" s="225"/>
      <c r="N133" s="231"/>
      <c r="O133" s="178"/>
      <c r="P133" s="178"/>
      <c r="Q133" s="177"/>
      <c r="R133" s="404"/>
      <c r="S133" s="203"/>
      <c r="T133" s="203"/>
      <c r="U133" s="203"/>
      <c r="V133" s="203"/>
      <c r="W133" s="404"/>
      <c r="X133" s="203"/>
      <c r="Y133" s="203"/>
      <c r="Z133" s="203"/>
      <c r="AA133" s="203"/>
      <c r="AB133" s="404"/>
      <c r="AC133" s="203"/>
      <c r="AD133" s="203"/>
      <c r="AE133" s="203"/>
      <c r="AF133" s="203"/>
      <c r="AG133" s="404"/>
      <c r="AH133" s="203"/>
      <c r="AI133" s="203"/>
      <c r="AJ133" s="203"/>
      <c r="AK133" s="203"/>
      <c r="AL133" s="404"/>
      <c r="AM133" s="203"/>
      <c r="AN133" s="203"/>
      <c r="AO133" s="203"/>
      <c r="AP133" s="203"/>
      <c r="AQ133" s="404"/>
    </row>
    <row r="134" spans="2:43" s="40" customFormat="1" ht="28.05" customHeight="1" outlineLevel="1" x14ac:dyDescent="0.3">
      <c r="B134" s="459" t="s">
        <v>119</v>
      </c>
      <c r="C134" s="460"/>
      <c r="D134" s="97">
        <v>0</v>
      </c>
      <c r="E134" s="97">
        <v>0</v>
      </c>
      <c r="F134" s="97">
        <v>0</v>
      </c>
      <c r="G134" s="147">
        <v>0</v>
      </c>
      <c r="H134" s="146">
        <f t="shared" si="250"/>
        <v>0</v>
      </c>
      <c r="I134" s="118">
        <v>0</v>
      </c>
      <c r="J134" s="118">
        <v>0</v>
      </c>
      <c r="K134" s="118">
        <v>0</v>
      </c>
      <c r="L134" s="118">
        <v>0</v>
      </c>
      <c r="M134" s="148">
        <f t="shared" si="251"/>
        <v>0</v>
      </c>
      <c r="N134" s="231">
        <v>0</v>
      </c>
      <c r="O134" s="178">
        <v>0</v>
      </c>
      <c r="P134" s="178">
        <v>0</v>
      </c>
      <c r="Q134" s="361">
        <f>P134</f>
        <v>0</v>
      </c>
      <c r="R134" s="95">
        <f t="shared" si="252"/>
        <v>0</v>
      </c>
      <c r="S134" s="362">
        <f>Q134</f>
        <v>0</v>
      </c>
      <c r="T134" s="362">
        <f t="shared" ref="T134:T135" si="254">S134</f>
        <v>0</v>
      </c>
      <c r="U134" s="362">
        <f t="shared" ref="U134:U135" si="255">T134</f>
        <v>0</v>
      </c>
      <c r="V134" s="362">
        <f t="shared" ref="V134:W139" si="256">U134</f>
        <v>0</v>
      </c>
      <c r="W134" s="95">
        <f t="shared" si="243"/>
        <v>0</v>
      </c>
      <c r="X134" s="362">
        <f>V134</f>
        <v>0</v>
      </c>
      <c r="Y134" s="362">
        <f t="shared" ref="Y134:Y135" si="257">X134</f>
        <v>0</v>
      </c>
      <c r="Z134" s="362">
        <f t="shared" ref="Z134:Z135" si="258">Y134</f>
        <v>0</v>
      </c>
      <c r="AA134" s="362">
        <f t="shared" ref="AA134:AB139" si="259">Z134</f>
        <v>0</v>
      </c>
      <c r="AB134" s="95">
        <f t="shared" si="244"/>
        <v>0</v>
      </c>
      <c r="AC134" s="362">
        <f>AA134</f>
        <v>0</v>
      </c>
      <c r="AD134" s="362">
        <f t="shared" ref="AD134:AD135" si="260">AC134</f>
        <v>0</v>
      </c>
      <c r="AE134" s="362">
        <f t="shared" ref="AE134:AE135" si="261">AD134</f>
        <v>0</v>
      </c>
      <c r="AF134" s="362">
        <f t="shared" ref="AF134:AG139" si="262">AE134</f>
        <v>0</v>
      </c>
      <c r="AG134" s="95">
        <f t="shared" si="245"/>
        <v>0</v>
      </c>
      <c r="AH134" s="362">
        <f>AF134</f>
        <v>0</v>
      </c>
      <c r="AI134" s="362">
        <f t="shared" ref="AI134:AI135" si="263">AH134</f>
        <v>0</v>
      </c>
      <c r="AJ134" s="362">
        <f t="shared" ref="AJ134:AJ135" si="264">AI134</f>
        <v>0</v>
      </c>
      <c r="AK134" s="362">
        <f t="shared" ref="AK134:AL139" si="265">AJ134</f>
        <v>0</v>
      </c>
      <c r="AL134" s="95">
        <f t="shared" si="246"/>
        <v>0</v>
      </c>
      <c r="AM134" s="362">
        <f>AK134</f>
        <v>0</v>
      </c>
      <c r="AN134" s="362">
        <f t="shared" ref="AN134:AN135" si="266">AM134</f>
        <v>0</v>
      </c>
      <c r="AO134" s="362">
        <f t="shared" ref="AO134:AO135" si="267">AN134</f>
        <v>0</v>
      </c>
      <c r="AP134" s="362">
        <f t="shared" ref="AP134:AP135" si="268">AO134</f>
        <v>0</v>
      </c>
      <c r="AQ134" s="95">
        <f t="shared" ref="AQ134" si="269">AP134</f>
        <v>0</v>
      </c>
    </row>
    <row r="135" spans="2:43" s="40" customFormat="1" outlineLevel="1" x14ac:dyDescent="0.3">
      <c r="B135" s="461" t="s">
        <v>157</v>
      </c>
      <c r="C135" s="462"/>
      <c r="D135" s="117">
        <v>1203</v>
      </c>
      <c r="E135" s="213">
        <v>1203</v>
      </c>
      <c r="F135" s="114">
        <v>1174</v>
      </c>
      <c r="G135" s="115">
        <v>1174</v>
      </c>
      <c r="H135" s="116">
        <f>G135</f>
        <v>1174</v>
      </c>
      <c r="I135" s="118">
        <v>1174</v>
      </c>
      <c r="J135" s="118">
        <v>1174</v>
      </c>
      <c r="K135" s="139">
        <v>1142</v>
      </c>
      <c r="L135" s="139">
        <v>1142</v>
      </c>
      <c r="M135" s="225">
        <f>L135</f>
        <v>1142</v>
      </c>
      <c r="N135" s="231">
        <v>1142</v>
      </c>
      <c r="O135" s="178">
        <v>1180</v>
      </c>
      <c r="P135" s="178">
        <v>1148</v>
      </c>
      <c r="Q135" s="283">
        <f>P135</f>
        <v>1148</v>
      </c>
      <c r="R135" s="404">
        <f>Q135</f>
        <v>1148</v>
      </c>
      <c r="S135" s="284">
        <f>Q135</f>
        <v>1148</v>
      </c>
      <c r="T135" s="284">
        <f t="shared" si="254"/>
        <v>1148</v>
      </c>
      <c r="U135" s="284">
        <f t="shared" si="255"/>
        <v>1148</v>
      </c>
      <c r="V135" s="284">
        <f t="shared" si="256"/>
        <v>1148</v>
      </c>
      <c r="W135" s="404">
        <f>V135</f>
        <v>1148</v>
      </c>
      <c r="X135" s="284">
        <f>V135</f>
        <v>1148</v>
      </c>
      <c r="Y135" s="284">
        <f t="shared" si="257"/>
        <v>1148</v>
      </c>
      <c r="Z135" s="284">
        <f t="shared" si="258"/>
        <v>1148</v>
      </c>
      <c r="AA135" s="284">
        <f t="shared" si="259"/>
        <v>1148</v>
      </c>
      <c r="AB135" s="404">
        <f>AA135</f>
        <v>1148</v>
      </c>
      <c r="AC135" s="284">
        <f>AA135</f>
        <v>1148</v>
      </c>
      <c r="AD135" s="284">
        <f t="shared" si="260"/>
        <v>1148</v>
      </c>
      <c r="AE135" s="284">
        <f t="shared" si="261"/>
        <v>1148</v>
      </c>
      <c r="AF135" s="284">
        <f t="shared" si="262"/>
        <v>1148</v>
      </c>
      <c r="AG135" s="404">
        <f>AF135</f>
        <v>1148</v>
      </c>
      <c r="AH135" s="284">
        <f>AF135</f>
        <v>1148</v>
      </c>
      <c r="AI135" s="284">
        <f t="shared" si="263"/>
        <v>1148</v>
      </c>
      <c r="AJ135" s="284">
        <f t="shared" si="264"/>
        <v>1148</v>
      </c>
      <c r="AK135" s="284">
        <f t="shared" si="265"/>
        <v>1148</v>
      </c>
      <c r="AL135" s="404">
        <f>AK135</f>
        <v>1148</v>
      </c>
      <c r="AM135" s="284">
        <f>AK135</f>
        <v>1148</v>
      </c>
      <c r="AN135" s="284">
        <f t="shared" si="266"/>
        <v>1148</v>
      </c>
      <c r="AO135" s="284">
        <f t="shared" si="267"/>
        <v>1148</v>
      </c>
      <c r="AP135" s="284">
        <f t="shared" si="268"/>
        <v>1148</v>
      </c>
      <c r="AQ135" s="404">
        <f>AP135</f>
        <v>1148</v>
      </c>
    </row>
    <row r="136" spans="2:43" s="40" customFormat="1" outlineLevel="1" x14ac:dyDescent="0.3">
      <c r="B136" s="100" t="s">
        <v>120</v>
      </c>
      <c r="C136" s="101"/>
      <c r="D136" s="117">
        <v>2957</v>
      </c>
      <c r="E136" s="137">
        <v>2691</v>
      </c>
      <c r="F136" s="114">
        <v>2013</v>
      </c>
      <c r="G136" s="115">
        <v>0</v>
      </c>
      <c r="H136" s="116">
        <f t="shared" ref="H136:H139" si="270">G136</f>
        <v>0</v>
      </c>
      <c r="I136" s="118">
        <v>857</v>
      </c>
      <c r="J136" s="118">
        <v>0</v>
      </c>
      <c r="K136" s="139">
        <v>269</v>
      </c>
      <c r="L136" s="139">
        <v>0</v>
      </c>
      <c r="M136" s="225">
        <f t="shared" ref="M136:M139" si="271">L136</f>
        <v>0</v>
      </c>
      <c r="N136" s="231">
        <v>2356</v>
      </c>
      <c r="O136" s="178">
        <v>203377</v>
      </c>
      <c r="P136" s="178">
        <v>62479</v>
      </c>
      <c r="Q136" s="359">
        <f>P136+Q162</f>
        <v>68278.403200000001</v>
      </c>
      <c r="R136" s="404">
        <f t="shared" ref="R136:R139" si="272">Q136</f>
        <v>68278.403200000001</v>
      </c>
      <c r="S136" s="359">
        <f>R136+S162</f>
        <v>72741.777495999995</v>
      </c>
      <c r="T136" s="359">
        <f t="shared" ref="T136:V136" si="273">S136+T162</f>
        <v>77428.320506799995</v>
      </c>
      <c r="U136" s="359">
        <f t="shared" si="273"/>
        <v>82349.19066814</v>
      </c>
      <c r="V136" s="359">
        <f t="shared" si="273"/>
        <v>87516.104337547004</v>
      </c>
      <c r="W136" s="404">
        <f t="shared" si="256"/>
        <v>87516.104337547004</v>
      </c>
      <c r="X136" s="359">
        <f>W136+X162</f>
        <v>91137.64574398534</v>
      </c>
      <c r="Y136" s="359">
        <f t="shared" ref="Y136:AA136" si="274">X136+Y162</f>
        <v>94945.224659680971</v>
      </c>
      <c r="Z136" s="359">
        <f t="shared" si="274"/>
        <v>98948.415784238212</v>
      </c>
      <c r="AA136" s="359">
        <f t="shared" si="274"/>
        <v>103157.28755756936</v>
      </c>
      <c r="AB136" s="404">
        <f t="shared" si="259"/>
        <v>103157.28755756936</v>
      </c>
      <c r="AC136" s="359">
        <f>AB136+AC162</f>
        <v>107582.42767220316</v>
      </c>
      <c r="AD136" s="359">
        <f t="shared" ref="AD136:AF136" si="275">AC136+AD162</f>
        <v>112234.96990659973</v>
      </c>
      <c r="AE136" s="359">
        <f t="shared" si="275"/>
        <v>117126.62234801889</v>
      </c>
      <c r="AF136" s="359">
        <f t="shared" si="275"/>
        <v>122269.69707705344</v>
      </c>
      <c r="AG136" s="404">
        <f t="shared" si="262"/>
        <v>122269.69707705344</v>
      </c>
      <c r="AH136" s="359">
        <f>AG136+AH162</f>
        <v>127677.14138968909</v>
      </c>
      <c r="AI136" s="359">
        <f t="shared" ref="AI136:AK136" si="276">AH136+AI162</f>
        <v>133362.57063669909</v>
      </c>
      <c r="AJ136" s="359">
        <f t="shared" si="276"/>
        <v>139340.30276433303</v>
      </c>
      <c r="AK136" s="359">
        <f t="shared" si="276"/>
        <v>145625.39464462714</v>
      </c>
      <c r="AL136" s="404">
        <f t="shared" si="265"/>
        <v>145625.39464462714</v>
      </c>
      <c r="AM136" s="359">
        <f>AL136+AM162</f>
        <v>152233.68028825975</v>
      </c>
      <c r="AN136" s="359">
        <f t="shared" ref="AN136:AP136" si="277">AM136+AN162</f>
        <v>159181.81103771058</v>
      </c>
      <c r="AO136" s="359">
        <f t="shared" si="277"/>
        <v>166487.29784357056</v>
      </c>
      <c r="AP136" s="359">
        <f t="shared" si="277"/>
        <v>174168.55573220167</v>
      </c>
      <c r="AQ136" s="404">
        <f t="shared" ref="AQ136:AQ139" si="278">AP136</f>
        <v>174168.55573220167</v>
      </c>
    </row>
    <row r="137" spans="2:43" s="40" customFormat="1" outlineLevel="1" x14ac:dyDescent="0.3">
      <c r="B137" s="100" t="s">
        <v>68</v>
      </c>
      <c r="C137" s="101"/>
      <c r="D137" s="117">
        <v>454503</v>
      </c>
      <c r="E137" s="137">
        <v>495792</v>
      </c>
      <c r="F137" s="114">
        <v>384335</v>
      </c>
      <c r="G137" s="115">
        <v>415906</v>
      </c>
      <c r="H137" s="116">
        <f t="shared" si="270"/>
        <v>415906</v>
      </c>
      <c r="I137" s="118">
        <v>423365</v>
      </c>
      <c r="J137" s="118">
        <v>432812</v>
      </c>
      <c r="K137" s="139">
        <v>236041</v>
      </c>
      <c r="L137" s="139">
        <v>219207</v>
      </c>
      <c r="M137" s="225">
        <f t="shared" si="271"/>
        <v>219207</v>
      </c>
      <c r="N137" s="231">
        <v>210983</v>
      </c>
      <c r="O137" s="178">
        <v>204287</v>
      </c>
      <c r="P137" s="178">
        <v>196760</v>
      </c>
      <c r="Q137" s="181">
        <f>P137+Q35+Q194</f>
        <v>190088.15158933331</v>
      </c>
      <c r="R137" s="404">
        <f t="shared" si="272"/>
        <v>190088.15158933331</v>
      </c>
      <c r="S137" s="181">
        <f>Q137+S35+S194</f>
        <v>184695.66670613331</v>
      </c>
      <c r="T137" s="181">
        <f>S137+T35+T194</f>
        <v>181253.55136677329</v>
      </c>
      <c r="U137" s="181">
        <f>T137+U35+U194</f>
        <v>181946.42517170528</v>
      </c>
      <c r="V137" s="181">
        <f>U137+V35+V194</f>
        <v>186849.15553608318</v>
      </c>
      <c r="W137" s="404">
        <f t="shared" si="256"/>
        <v>186849.15553608318</v>
      </c>
      <c r="X137" s="181">
        <f>V137+X35+X194</f>
        <v>196091.58855485808</v>
      </c>
      <c r="Y137" s="181">
        <f>X137+Y35+Y194</f>
        <v>207157.81811091199</v>
      </c>
      <c r="Z137" s="181">
        <f>Y137+Z35+Z194</f>
        <v>220133.89361415946</v>
      </c>
      <c r="AA137" s="181">
        <f>Z137+AA35+AA194</f>
        <v>235110.28431600705</v>
      </c>
      <c r="AB137" s="404">
        <f t="shared" si="259"/>
        <v>235110.28431600705</v>
      </c>
      <c r="AC137" s="181">
        <f>AA137+AC35+AC194</f>
        <v>258041.25810699732</v>
      </c>
      <c r="AD137" s="181">
        <f>AC137+AD35+AD194</f>
        <v>283483.13432189485</v>
      </c>
      <c r="AE137" s="181">
        <f>AD137+AE35+AE194</f>
        <v>311558.04516444204</v>
      </c>
      <c r="AF137" s="181">
        <f>AE137+AF35+AF194</f>
        <v>342394.43388997269</v>
      </c>
      <c r="AG137" s="404">
        <f t="shared" si="262"/>
        <v>342394.43388997269</v>
      </c>
      <c r="AH137" s="181">
        <f>AF137+AH35+AH194</f>
        <v>379465.55243583885</v>
      </c>
      <c r="AI137" s="181">
        <f>AH137+AI35+AI194</f>
        <v>419756.84776001843</v>
      </c>
      <c r="AJ137" s="181">
        <f>AI137+AJ35+AJ194</f>
        <v>463427.59735745762</v>
      </c>
      <c r="AK137" s="181">
        <f>AJ137+AK35+AK194</f>
        <v>510645.33174138551</v>
      </c>
      <c r="AL137" s="404">
        <f t="shared" si="265"/>
        <v>510645.33174138551</v>
      </c>
      <c r="AM137" s="181">
        <f>AK137+AM35+AM194</f>
        <v>561586.26107528538</v>
      </c>
      <c r="AN137" s="181">
        <f>AM137+AN35+AN194</f>
        <v>616435.72391503211</v>
      </c>
      <c r="AO137" s="181">
        <f>AN137+AO35+AO194</f>
        <v>675388.6592094762</v>
      </c>
      <c r="AP137" s="181">
        <f>AO137+AP35+AP194</f>
        <v>738650.10276752489</v>
      </c>
      <c r="AQ137" s="404">
        <f t="shared" si="278"/>
        <v>738650.10276752489</v>
      </c>
    </row>
    <row r="138" spans="2:43" s="40" customFormat="1" outlineLevel="1" x14ac:dyDescent="0.3">
      <c r="B138" s="463" t="s">
        <v>69</v>
      </c>
      <c r="C138" s="464"/>
      <c r="D138" s="117">
        <v>-8540</v>
      </c>
      <c r="E138" s="137">
        <v>-8454</v>
      </c>
      <c r="F138" s="114">
        <v>-8368</v>
      </c>
      <c r="G138" s="115">
        <v>-11894</v>
      </c>
      <c r="H138" s="116">
        <f t="shared" si="270"/>
        <v>-11894</v>
      </c>
      <c r="I138" s="118">
        <v>-12686</v>
      </c>
      <c r="J138" s="118">
        <v>-11232</v>
      </c>
      <c r="K138" s="118">
        <v>-11901</v>
      </c>
      <c r="L138" s="118">
        <v>-10538</v>
      </c>
      <c r="M138" s="225">
        <f t="shared" si="271"/>
        <v>-10538</v>
      </c>
      <c r="N138" s="231">
        <v>-11330</v>
      </c>
      <c r="O138" s="178">
        <v>-11605</v>
      </c>
      <c r="P138" s="178">
        <v>-11253</v>
      </c>
      <c r="Q138" s="359">
        <f>P138</f>
        <v>-11253</v>
      </c>
      <c r="R138" s="404">
        <f t="shared" si="272"/>
        <v>-11253</v>
      </c>
      <c r="S138" s="284">
        <f>Q138</f>
        <v>-11253</v>
      </c>
      <c r="T138" s="284">
        <f t="shared" ref="T138:T139" si="279">S138</f>
        <v>-11253</v>
      </c>
      <c r="U138" s="284">
        <f t="shared" ref="U138:U139" si="280">T138</f>
        <v>-11253</v>
      </c>
      <c r="V138" s="284">
        <f t="shared" ref="V138:V139" si="281">U138</f>
        <v>-11253</v>
      </c>
      <c r="W138" s="404">
        <f t="shared" si="256"/>
        <v>-11253</v>
      </c>
      <c r="X138" s="284">
        <f>V138</f>
        <v>-11253</v>
      </c>
      <c r="Y138" s="284">
        <f t="shared" ref="Y138:Y139" si="282">X138</f>
        <v>-11253</v>
      </c>
      <c r="Z138" s="284">
        <f t="shared" ref="Z138:Z139" si="283">Y138</f>
        <v>-11253</v>
      </c>
      <c r="AA138" s="284">
        <f t="shared" ref="AA138:AA139" si="284">Z138</f>
        <v>-11253</v>
      </c>
      <c r="AB138" s="404">
        <f t="shared" si="259"/>
        <v>-11253</v>
      </c>
      <c r="AC138" s="284">
        <f>AA138</f>
        <v>-11253</v>
      </c>
      <c r="AD138" s="284">
        <f t="shared" ref="AD138:AD139" si="285">AC138</f>
        <v>-11253</v>
      </c>
      <c r="AE138" s="284">
        <f t="shared" ref="AE138:AE139" si="286">AD138</f>
        <v>-11253</v>
      </c>
      <c r="AF138" s="284">
        <f t="shared" ref="AF138:AF139" si="287">AE138</f>
        <v>-11253</v>
      </c>
      <c r="AG138" s="404">
        <f t="shared" si="262"/>
        <v>-11253</v>
      </c>
      <c r="AH138" s="284">
        <f>AF138</f>
        <v>-11253</v>
      </c>
      <c r="AI138" s="284">
        <f t="shared" ref="AI138:AI139" si="288">AH138</f>
        <v>-11253</v>
      </c>
      <c r="AJ138" s="284">
        <f t="shared" ref="AJ138:AJ139" si="289">AI138</f>
        <v>-11253</v>
      </c>
      <c r="AK138" s="284">
        <f t="shared" ref="AK138:AK139" si="290">AJ138</f>
        <v>-11253</v>
      </c>
      <c r="AL138" s="404">
        <f t="shared" si="265"/>
        <v>-11253</v>
      </c>
      <c r="AM138" s="284">
        <f>AK138</f>
        <v>-11253</v>
      </c>
      <c r="AN138" s="284">
        <f t="shared" ref="AN138:AN139" si="291">AM138</f>
        <v>-11253</v>
      </c>
      <c r="AO138" s="284">
        <f t="shared" ref="AO138:AO139" si="292">AN138</f>
        <v>-11253</v>
      </c>
      <c r="AP138" s="284">
        <f t="shared" ref="AP138:AP139" si="293">AO138</f>
        <v>-11253</v>
      </c>
      <c r="AQ138" s="404">
        <f t="shared" si="278"/>
        <v>-11253</v>
      </c>
    </row>
    <row r="139" spans="2:43" s="40" customFormat="1" outlineLevel="1" x14ac:dyDescent="0.3">
      <c r="B139" s="110" t="s">
        <v>121</v>
      </c>
      <c r="C139" s="111"/>
      <c r="D139" s="114">
        <v>-289344</v>
      </c>
      <c r="E139" s="137">
        <v>-361074</v>
      </c>
      <c r="F139" s="114">
        <v>-283656</v>
      </c>
      <c r="G139" s="115">
        <v>-317613</v>
      </c>
      <c r="H139" s="116">
        <f t="shared" si="270"/>
        <v>-317613</v>
      </c>
      <c r="I139" s="118">
        <v>-386228</v>
      </c>
      <c r="J139" s="118">
        <v>-421633</v>
      </c>
      <c r="K139" s="118">
        <v>-237795</v>
      </c>
      <c r="L139" s="118">
        <v>-238875</v>
      </c>
      <c r="M139" s="225">
        <f t="shared" si="271"/>
        <v>-238875</v>
      </c>
      <c r="N139" s="231">
        <v>-236533</v>
      </c>
      <c r="O139" s="178">
        <v>-235388</v>
      </c>
      <c r="P139" s="178">
        <v>-91545</v>
      </c>
      <c r="Q139" s="359">
        <f>P139</f>
        <v>-91545</v>
      </c>
      <c r="R139" s="404">
        <f t="shared" si="272"/>
        <v>-91545</v>
      </c>
      <c r="S139" s="284">
        <f>Q139</f>
        <v>-91545</v>
      </c>
      <c r="T139" s="284">
        <f t="shared" si="279"/>
        <v>-91545</v>
      </c>
      <c r="U139" s="284">
        <f t="shared" si="280"/>
        <v>-91545</v>
      </c>
      <c r="V139" s="284">
        <f t="shared" si="281"/>
        <v>-91545</v>
      </c>
      <c r="W139" s="404">
        <f t="shared" si="256"/>
        <v>-91545</v>
      </c>
      <c r="X139" s="284">
        <f>V139</f>
        <v>-91545</v>
      </c>
      <c r="Y139" s="284">
        <f t="shared" si="282"/>
        <v>-91545</v>
      </c>
      <c r="Z139" s="284">
        <f t="shared" si="283"/>
        <v>-91545</v>
      </c>
      <c r="AA139" s="284">
        <f t="shared" si="284"/>
        <v>-91545</v>
      </c>
      <c r="AB139" s="404">
        <f t="shared" si="259"/>
        <v>-91545</v>
      </c>
      <c r="AC139" s="284">
        <f>AA139</f>
        <v>-91545</v>
      </c>
      <c r="AD139" s="284">
        <f t="shared" si="285"/>
        <v>-91545</v>
      </c>
      <c r="AE139" s="284">
        <f t="shared" si="286"/>
        <v>-91545</v>
      </c>
      <c r="AF139" s="284">
        <f t="shared" si="287"/>
        <v>-91545</v>
      </c>
      <c r="AG139" s="404">
        <f t="shared" si="262"/>
        <v>-91545</v>
      </c>
      <c r="AH139" s="284">
        <f>AF139</f>
        <v>-91545</v>
      </c>
      <c r="AI139" s="284">
        <f t="shared" si="288"/>
        <v>-91545</v>
      </c>
      <c r="AJ139" s="284">
        <f t="shared" si="289"/>
        <v>-91545</v>
      </c>
      <c r="AK139" s="284">
        <f t="shared" si="290"/>
        <v>-91545</v>
      </c>
      <c r="AL139" s="404">
        <f t="shared" si="265"/>
        <v>-91545</v>
      </c>
      <c r="AM139" s="284">
        <f>AK139</f>
        <v>-91545</v>
      </c>
      <c r="AN139" s="284">
        <f t="shared" si="291"/>
        <v>-91545</v>
      </c>
      <c r="AO139" s="284">
        <f t="shared" si="292"/>
        <v>-91545</v>
      </c>
      <c r="AP139" s="284">
        <f t="shared" si="293"/>
        <v>-91545</v>
      </c>
      <c r="AQ139" s="404">
        <f t="shared" si="278"/>
        <v>-91545</v>
      </c>
    </row>
    <row r="140" spans="2:43" s="40" customFormat="1" ht="16.2" outlineLevel="1" x14ac:dyDescent="0.45">
      <c r="B140" s="465" t="s">
        <v>122</v>
      </c>
      <c r="C140" s="466"/>
      <c r="D140" s="120">
        <f>SUM(D134:D139)</f>
        <v>160779</v>
      </c>
      <c r="E140" s="120">
        <f t="shared" ref="E140:L140" si="294">SUM(E135:E139)</f>
        <v>130158</v>
      </c>
      <c r="F140" s="120">
        <f t="shared" si="294"/>
        <v>95498</v>
      </c>
      <c r="G140" s="121">
        <f t="shared" si="294"/>
        <v>87573</v>
      </c>
      <c r="H140" s="122">
        <f t="shared" si="294"/>
        <v>87573</v>
      </c>
      <c r="I140" s="140">
        <f t="shared" si="294"/>
        <v>26482</v>
      </c>
      <c r="J140" s="140">
        <f t="shared" si="294"/>
        <v>1121</v>
      </c>
      <c r="K140" s="140">
        <f t="shared" si="294"/>
        <v>-12244</v>
      </c>
      <c r="L140" s="140">
        <f t="shared" si="294"/>
        <v>-29064</v>
      </c>
      <c r="M140" s="226">
        <f t="shared" ref="M140:O140" si="295">SUM(M135:M139)</f>
        <v>-29064</v>
      </c>
      <c r="N140" s="232">
        <f t="shared" si="295"/>
        <v>-33382</v>
      </c>
      <c r="O140" s="136">
        <f t="shared" si="295"/>
        <v>161851</v>
      </c>
      <c r="P140" s="136">
        <f>SUM(P135:P139)</f>
        <v>157589</v>
      </c>
      <c r="Q140" s="136">
        <f>SUM(Q135:Q139)</f>
        <v>156716.55478933331</v>
      </c>
      <c r="R140" s="405">
        <f t="shared" ref="R140" si="296">SUM(R135:R139)</f>
        <v>156716.55478933331</v>
      </c>
      <c r="S140" s="136">
        <f t="shared" ref="S140:T140" si="297">SUM(S135:S139)</f>
        <v>155787.44420213331</v>
      </c>
      <c r="T140" s="136">
        <f t="shared" si="297"/>
        <v>157031.87187357328</v>
      </c>
      <c r="U140" s="136">
        <f>SUM(U135:U139)</f>
        <v>162645.61583984527</v>
      </c>
      <c r="V140" s="136">
        <f>SUM(V135:V139)</f>
        <v>172715.25987363019</v>
      </c>
      <c r="W140" s="405">
        <f t="shared" ref="W140" si="298">SUM(W135:W139)</f>
        <v>172715.25987363019</v>
      </c>
      <c r="X140" s="136">
        <f t="shared" ref="X140:Y140" si="299">SUM(X135:X139)</f>
        <v>185579.23429884342</v>
      </c>
      <c r="Y140" s="136">
        <f t="shared" si="299"/>
        <v>200453.04277059296</v>
      </c>
      <c r="Z140" s="136">
        <f>SUM(Z135:Z139)</f>
        <v>217432.30939839769</v>
      </c>
      <c r="AA140" s="136">
        <f>SUM(AA135:AA139)</f>
        <v>236617.57187357638</v>
      </c>
      <c r="AB140" s="405">
        <f t="shared" ref="AB140" si="300">SUM(AB135:AB139)</f>
        <v>236617.57187357638</v>
      </c>
      <c r="AC140" s="136">
        <f t="shared" ref="AC140:AD140" si="301">SUM(AC135:AC139)</f>
        <v>263973.68577920052</v>
      </c>
      <c r="AD140" s="136">
        <f t="shared" si="301"/>
        <v>294068.10422849457</v>
      </c>
      <c r="AE140" s="136">
        <f>SUM(AE135:AE139)</f>
        <v>327034.66751246096</v>
      </c>
      <c r="AF140" s="136">
        <f>SUM(AF135:AF139)</f>
        <v>363014.13096702611</v>
      </c>
      <c r="AG140" s="405">
        <f t="shared" ref="AG140" si="302">SUM(AG135:AG139)</f>
        <v>363014.13096702611</v>
      </c>
      <c r="AH140" s="136">
        <f t="shared" ref="AH140:AI140" si="303">SUM(AH135:AH139)</f>
        <v>405492.69382552791</v>
      </c>
      <c r="AI140" s="136">
        <f t="shared" si="303"/>
        <v>451469.41839671752</v>
      </c>
      <c r="AJ140" s="136">
        <f>SUM(AJ135:AJ139)</f>
        <v>501117.90012179059</v>
      </c>
      <c r="AK140" s="136">
        <f>SUM(AK135:AK139)</f>
        <v>554620.72638601263</v>
      </c>
      <c r="AL140" s="405">
        <f t="shared" ref="AL140:AN140" si="304">SUM(AL135:AL139)</f>
        <v>554620.72638601263</v>
      </c>
      <c r="AM140" s="136">
        <f t="shared" si="304"/>
        <v>612169.94136354513</v>
      </c>
      <c r="AN140" s="136">
        <f t="shared" si="304"/>
        <v>673967.53495274275</v>
      </c>
      <c r="AO140" s="136">
        <f>SUM(AO135:AO139)</f>
        <v>740225.95705304679</v>
      </c>
      <c r="AP140" s="136">
        <f>SUM(AP135:AP139)</f>
        <v>811168.65849972656</v>
      </c>
      <c r="AQ140" s="405">
        <f t="shared" ref="AQ140" si="305">SUM(AQ135:AQ139)</f>
        <v>811168.65849972656</v>
      </c>
    </row>
    <row r="141" spans="2:43" s="40" customFormat="1" outlineLevel="1" x14ac:dyDescent="0.3">
      <c r="B141" s="106" t="s">
        <v>70</v>
      </c>
      <c r="C141" s="108"/>
      <c r="D141" s="114">
        <v>6155</v>
      </c>
      <c r="E141" s="114">
        <v>6123</v>
      </c>
      <c r="F141" s="114">
        <v>6277</v>
      </c>
      <c r="G141" s="115">
        <v>6420</v>
      </c>
      <c r="H141" s="116">
        <f>G141</f>
        <v>6420</v>
      </c>
      <c r="I141" s="114">
        <v>6063</v>
      </c>
      <c r="J141" s="114">
        <v>6139</v>
      </c>
      <c r="K141" s="141">
        <v>6329</v>
      </c>
      <c r="L141" s="141">
        <v>5365</v>
      </c>
      <c r="M141" s="225">
        <f>L141</f>
        <v>5365</v>
      </c>
      <c r="N141" s="231">
        <v>5400</v>
      </c>
      <c r="O141" s="178">
        <v>5100</v>
      </c>
      <c r="P141" s="178">
        <v>5208</v>
      </c>
      <c r="Q141" s="283">
        <f>P141+Q34</f>
        <v>5316</v>
      </c>
      <c r="R141" s="404">
        <f>Q141</f>
        <v>5316</v>
      </c>
      <c r="S141" s="284">
        <f>Q141+S34</f>
        <v>5401</v>
      </c>
      <c r="T141" s="283">
        <f>S141+T34</f>
        <v>5486</v>
      </c>
      <c r="U141" s="283">
        <f>T141+U34</f>
        <v>5571</v>
      </c>
      <c r="V141" s="283">
        <f>U141+V34</f>
        <v>5656</v>
      </c>
      <c r="W141" s="404">
        <f>V141</f>
        <v>5656</v>
      </c>
      <c r="X141" s="284">
        <f>V141+X34</f>
        <v>5741</v>
      </c>
      <c r="Y141" s="283">
        <f>X141+Y34</f>
        <v>5826</v>
      </c>
      <c r="Z141" s="283">
        <f>Y141+Z34</f>
        <v>5911</v>
      </c>
      <c r="AA141" s="283">
        <f>Z141+AA34</f>
        <v>5996</v>
      </c>
      <c r="AB141" s="404">
        <f>AA141</f>
        <v>5996</v>
      </c>
      <c r="AC141" s="284">
        <f>AA141+AC34</f>
        <v>6081</v>
      </c>
      <c r="AD141" s="283">
        <f>AC141+AD34</f>
        <v>6166</v>
      </c>
      <c r="AE141" s="283">
        <f>AD141+AE34</f>
        <v>6251</v>
      </c>
      <c r="AF141" s="283">
        <f>AE141+AF34</f>
        <v>6336</v>
      </c>
      <c r="AG141" s="404">
        <f>AF141</f>
        <v>6336</v>
      </c>
      <c r="AH141" s="284">
        <f>AF141+AH34</f>
        <v>6421</v>
      </c>
      <c r="AI141" s="283">
        <f>AH141+AI34</f>
        <v>6506</v>
      </c>
      <c r="AJ141" s="283">
        <f>AI141+AJ34</f>
        <v>6591</v>
      </c>
      <c r="AK141" s="283">
        <f>AJ141+AK34</f>
        <v>6676</v>
      </c>
      <c r="AL141" s="404">
        <f>AK141</f>
        <v>6676</v>
      </c>
      <c r="AM141" s="284">
        <f>AK141+AM34</f>
        <v>6761</v>
      </c>
      <c r="AN141" s="283">
        <f>AM141+AN34</f>
        <v>6846</v>
      </c>
      <c r="AO141" s="283">
        <f>AN141+AO34</f>
        <v>6931</v>
      </c>
      <c r="AP141" s="283">
        <f>AO141+AP34</f>
        <v>7016</v>
      </c>
      <c r="AQ141" s="404">
        <f>AP141</f>
        <v>7016</v>
      </c>
    </row>
    <row r="142" spans="2:43" s="40" customFormat="1" ht="16.2" outlineLevel="1" x14ac:dyDescent="0.45">
      <c r="B142" s="106" t="s">
        <v>123</v>
      </c>
      <c r="C142" s="108"/>
      <c r="D142" s="120">
        <f>D140+D141</f>
        <v>166934</v>
      </c>
      <c r="E142" s="120">
        <f>E140+E141</f>
        <v>136281</v>
      </c>
      <c r="F142" s="120">
        <f>F140+F141</f>
        <v>101775</v>
      </c>
      <c r="G142" s="121">
        <f>G140+G141</f>
        <v>93993</v>
      </c>
      <c r="H142" s="122">
        <f>G142</f>
        <v>93993</v>
      </c>
      <c r="I142" s="120">
        <f>I140+I141</f>
        <v>32545</v>
      </c>
      <c r="J142" s="120">
        <f>J140+J141</f>
        <v>7260</v>
      </c>
      <c r="K142" s="120">
        <f>K140+K141</f>
        <v>-5915</v>
      </c>
      <c r="L142" s="121">
        <f>L140+L141</f>
        <v>-23699</v>
      </c>
      <c r="M142" s="226">
        <f>L142</f>
        <v>-23699</v>
      </c>
      <c r="N142" s="236">
        <f>N140+N141</f>
        <v>-27982</v>
      </c>
      <c r="O142" s="195">
        <f>O140+O141</f>
        <v>166951</v>
      </c>
      <c r="P142" s="195">
        <f>P140+P141</f>
        <v>162797</v>
      </c>
      <c r="Q142" s="195">
        <f>Q140+Q141</f>
        <v>162032.55478933331</v>
      </c>
      <c r="R142" s="405">
        <f>Q142</f>
        <v>162032.55478933331</v>
      </c>
      <c r="S142" s="195">
        <f t="shared" ref="S142:V142" si="306">S140+S141</f>
        <v>161188.44420213331</v>
      </c>
      <c r="T142" s="195">
        <f>T140+T141</f>
        <v>162517.87187357328</v>
      </c>
      <c r="U142" s="195">
        <f t="shared" si="306"/>
        <v>168216.61583984527</v>
      </c>
      <c r="V142" s="195">
        <f t="shared" si="306"/>
        <v>178371.25987363019</v>
      </c>
      <c r="W142" s="405">
        <f>V142</f>
        <v>178371.25987363019</v>
      </c>
      <c r="X142" s="195">
        <f t="shared" ref="X142" si="307">X140+X141</f>
        <v>191320.23429884342</v>
      </c>
      <c r="Y142" s="195">
        <f>Y140+Y141</f>
        <v>206279.04277059296</v>
      </c>
      <c r="Z142" s="195">
        <f t="shared" ref="Z142" si="308">Z140+Z141</f>
        <v>223343.30939839769</v>
      </c>
      <c r="AA142" s="195">
        <f t="shared" ref="AA142" si="309">AA140+AA141</f>
        <v>242613.57187357638</v>
      </c>
      <c r="AB142" s="405">
        <f>AA142</f>
        <v>242613.57187357638</v>
      </c>
      <c r="AC142" s="195">
        <f t="shared" ref="AC142" si="310">AC140+AC141</f>
        <v>270054.68577920052</v>
      </c>
      <c r="AD142" s="195">
        <f>AD140+AD141</f>
        <v>300234.10422849457</v>
      </c>
      <c r="AE142" s="195">
        <f t="shared" ref="AE142" si="311">AE140+AE141</f>
        <v>333285.66751246096</v>
      </c>
      <c r="AF142" s="195">
        <f t="shared" ref="AF142" si="312">AF140+AF141</f>
        <v>369350.13096702611</v>
      </c>
      <c r="AG142" s="405">
        <f>AF142</f>
        <v>369350.13096702611</v>
      </c>
      <c r="AH142" s="195">
        <f t="shared" ref="AH142" si="313">AH140+AH141</f>
        <v>411913.69382552791</v>
      </c>
      <c r="AI142" s="195">
        <f>AI140+AI141</f>
        <v>457975.41839671752</v>
      </c>
      <c r="AJ142" s="195">
        <f t="shared" ref="AJ142" si="314">AJ140+AJ141</f>
        <v>507708.90012179059</v>
      </c>
      <c r="AK142" s="195">
        <f t="shared" ref="AK142" si="315">AK140+AK141</f>
        <v>561296.72638601263</v>
      </c>
      <c r="AL142" s="405">
        <f>AK142</f>
        <v>561296.72638601263</v>
      </c>
      <c r="AM142" s="195">
        <f t="shared" ref="AM142" si="316">AM140+AM141</f>
        <v>618930.94136354513</v>
      </c>
      <c r="AN142" s="195">
        <f>AN140+AN141</f>
        <v>680813.53495274275</v>
      </c>
      <c r="AO142" s="195">
        <f t="shared" ref="AO142:AP142" si="317">AO140+AO141</f>
        <v>747156.95705304679</v>
      </c>
      <c r="AP142" s="195">
        <f t="shared" si="317"/>
        <v>818184.65849972656</v>
      </c>
      <c r="AQ142" s="405">
        <f>AP142</f>
        <v>818184.65849972656</v>
      </c>
    </row>
    <row r="143" spans="2:43" s="40" customFormat="1" outlineLevel="1" x14ac:dyDescent="0.3">
      <c r="B143" s="457" t="s">
        <v>124</v>
      </c>
      <c r="C143" s="458"/>
      <c r="D143" s="138">
        <f>D142+D128+SUM(D129:D133)</f>
        <v>680363</v>
      </c>
      <c r="E143" s="138">
        <f>E142+E128+SUM(E129:E133)</f>
        <v>689128</v>
      </c>
      <c r="F143" s="138">
        <f t="shared" ref="F143:L143" si="318">F142+F128+SUM(F129:F133)</f>
        <v>685132</v>
      </c>
      <c r="G143" s="215">
        <f t="shared" si="318"/>
        <v>675653</v>
      </c>
      <c r="H143" s="215">
        <f>H142+H128+SUM(H129:H133)</f>
        <v>675653</v>
      </c>
      <c r="I143" s="138">
        <f>I142+I128+SUM(I129:I133)</f>
        <v>630008</v>
      </c>
      <c r="J143" s="138">
        <f t="shared" si="318"/>
        <v>658985</v>
      </c>
      <c r="K143" s="138">
        <f t="shared" si="318"/>
        <v>635105</v>
      </c>
      <c r="L143" s="215">
        <f t="shared" si="318"/>
        <v>625258</v>
      </c>
      <c r="M143" s="228">
        <f t="shared" ref="M143:R143" si="319">M142+M128+SUM(M129:M133)</f>
        <v>625258</v>
      </c>
      <c r="N143" s="228">
        <f t="shared" si="319"/>
        <v>587250</v>
      </c>
      <c r="O143" s="138">
        <f t="shared" si="319"/>
        <v>572106</v>
      </c>
      <c r="P143" s="138">
        <f t="shared" si="319"/>
        <v>562138</v>
      </c>
      <c r="Q143" s="138">
        <f t="shared" si="319"/>
        <v>557821.16490740748</v>
      </c>
      <c r="R143" s="407">
        <f t="shared" si="319"/>
        <v>557821.16490740748</v>
      </c>
      <c r="S143" s="138">
        <f t="shared" ref="S143:V143" si="320">S142+S128+SUM(S129:S133)</f>
        <v>557844.94938133017</v>
      </c>
      <c r="T143" s="138">
        <f>T142+T128+SUM(T129:T133)</f>
        <v>561214.73775651096</v>
      </c>
      <c r="U143" s="138">
        <f t="shared" si="320"/>
        <v>567926.78957214882</v>
      </c>
      <c r="V143" s="138">
        <f t="shared" si="320"/>
        <v>580274.47773733002</v>
      </c>
      <c r="W143" s="407">
        <f>W142+W128+SUM(W129:W133)</f>
        <v>580274.47773733002</v>
      </c>
      <c r="X143" s="138">
        <f t="shared" ref="X143" si="321">X142+X128+SUM(X129:X133)</f>
        <v>594488.98664301052</v>
      </c>
      <c r="Y143" s="138">
        <f>Y142+Y128+SUM(Y129:Y133)</f>
        <v>611818.82317351294</v>
      </c>
      <c r="Z143" s="138">
        <f t="shared" ref="Z143" si="322">Z142+Z128+SUM(Z129:Z133)</f>
        <v>630335.78543033137</v>
      </c>
      <c r="AA143" s="138">
        <f t="shared" ref="AA143" si="323">AA142+AA128+SUM(AA129:AA133)</f>
        <v>652173.88848642388</v>
      </c>
      <c r="AB143" s="407">
        <f>AB142+AB128+SUM(AB129:AB133)</f>
        <v>652173.88848642388</v>
      </c>
      <c r="AC143" s="138">
        <f t="shared" ref="AC143" si="324">AC142+AC128+SUM(AC129:AC133)</f>
        <v>674914.34506999981</v>
      </c>
      <c r="AD143" s="138">
        <f>AD142+AD128+SUM(AD129:AD133)</f>
        <v>713912.70860763441</v>
      </c>
      <c r="AE143" s="138">
        <f t="shared" ref="AE143" si="325">AE142+AE128+SUM(AE129:AE133)</f>
        <v>742475.64985127829</v>
      </c>
      <c r="AF143" s="138">
        <f t="shared" ref="AF143" si="326">AF142+AF128+SUM(AF129:AF133)</f>
        <v>787582.0320891334</v>
      </c>
      <c r="AG143" s="407">
        <f>AG142+AG128+SUM(AG129:AG133)</f>
        <v>787582.0320891334</v>
      </c>
      <c r="AH143" s="138">
        <f t="shared" ref="AH143" si="327">AH142+AH128+SUM(AH129:AH133)</f>
        <v>824337.01143997011</v>
      </c>
      <c r="AI143" s="138">
        <f>AI142+AI128+SUM(AI129:AI133)</f>
        <v>881161.75960306067</v>
      </c>
      <c r="AJ143" s="138">
        <f t="shared" ref="AJ143" si="328">AJ142+AJ128+SUM(AJ129:AJ133)</f>
        <v>925341.84217778791</v>
      </c>
      <c r="AK143" s="138">
        <f t="shared" ref="AK143" si="329">AK142+AK128+SUM(AK129:AK133)</f>
        <v>989961.04603851703</v>
      </c>
      <c r="AL143" s="407">
        <f>AL142+AL128+SUM(AL129:AL133)</f>
        <v>989961.04603851703</v>
      </c>
      <c r="AM143" s="138">
        <f t="shared" ref="AM143" si="330">AM142+AM128+SUM(AM129:AM133)</f>
        <v>1042324.0665735792</v>
      </c>
      <c r="AN143" s="138">
        <f>AN142+AN128+SUM(AN129:AN133)</f>
        <v>1115534.8095207594</v>
      </c>
      <c r="AO143" s="138">
        <f t="shared" ref="AO143:AP143" si="331">AO142+AO128+SUM(AO129:AO133)</f>
        <v>1176919.12947135</v>
      </c>
      <c r="AP143" s="138">
        <f t="shared" si="331"/>
        <v>1259603.1856334908</v>
      </c>
      <c r="AQ143" s="407">
        <f>AQ142+AQ128+SUM(AQ129:AQ133)</f>
        <v>1259603.1856334908</v>
      </c>
    </row>
    <row r="144" spans="2:43" s="40" customFormat="1" x14ac:dyDescent="0.3">
      <c r="B144" s="17"/>
      <c r="C144" s="90"/>
      <c r="D144" s="1">
        <f>D143-D120</f>
        <v>0</v>
      </c>
      <c r="E144" s="1">
        <f>E143-E120</f>
        <v>0</v>
      </c>
      <c r="F144" s="1">
        <f t="shared" ref="F144:M144" si="332">F143-F120</f>
        <v>0</v>
      </c>
      <c r="G144" s="1">
        <f t="shared" si="332"/>
        <v>0</v>
      </c>
      <c r="H144" s="1">
        <f t="shared" si="332"/>
        <v>0</v>
      </c>
      <c r="I144" s="1">
        <f t="shared" si="332"/>
        <v>0</v>
      </c>
      <c r="J144" s="1">
        <f t="shared" si="332"/>
        <v>0</v>
      </c>
      <c r="K144" s="1">
        <f t="shared" si="332"/>
        <v>0</v>
      </c>
      <c r="L144" s="1">
        <f t="shared" si="332"/>
        <v>0</v>
      </c>
      <c r="M144" s="1">
        <f t="shared" si="332"/>
        <v>0</v>
      </c>
      <c r="N144" s="1">
        <f t="shared" ref="N144:U144" si="333">N143-N120</f>
        <v>0</v>
      </c>
      <c r="O144" s="1">
        <f t="shared" si="333"/>
        <v>0</v>
      </c>
      <c r="P144" s="203">
        <f t="shared" si="333"/>
        <v>0</v>
      </c>
      <c r="Q144" s="257">
        <f>Q143-Q120</f>
        <v>0</v>
      </c>
      <c r="R144" s="1">
        <f t="shared" ref="R144" si="334">R143-R120</f>
        <v>0</v>
      </c>
      <c r="S144" s="1">
        <f t="shared" si="333"/>
        <v>0</v>
      </c>
      <c r="T144" s="1">
        <f t="shared" si="333"/>
        <v>0</v>
      </c>
      <c r="U144" s="203">
        <f t="shared" si="333"/>
        <v>0</v>
      </c>
      <c r="V144" s="257">
        <f>V143-V120</f>
        <v>0</v>
      </c>
      <c r="W144" s="1">
        <f t="shared" ref="W144" si="335">W143-W120</f>
        <v>0</v>
      </c>
      <c r="X144" s="1">
        <f t="shared" ref="X144:Z144" si="336">X143-X120</f>
        <v>0</v>
      </c>
      <c r="Y144" s="1">
        <f t="shared" si="336"/>
        <v>0</v>
      </c>
      <c r="Z144" s="203">
        <f t="shared" si="336"/>
        <v>0</v>
      </c>
      <c r="AA144" s="257">
        <f>AA143-AA120</f>
        <v>0</v>
      </c>
      <c r="AB144" s="1">
        <f t="shared" ref="AB144" si="337">AB143-AB120</f>
        <v>0</v>
      </c>
      <c r="AC144" s="1">
        <f t="shared" ref="AC144:AE144" si="338">AC143-AC120</f>
        <v>0</v>
      </c>
      <c r="AD144" s="1">
        <f t="shared" si="338"/>
        <v>0</v>
      </c>
      <c r="AE144" s="203">
        <f t="shared" si="338"/>
        <v>0</v>
      </c>
      <c r="AF144" s="257">
        <f>AF143-AF120</f>
        <v>0</v>
      </c>
      <c r="AG144" s="1">
        <f t="shared" ref="AG144" si="339">AG143-AG120</f>
        <v>0</v>
      </c>
      <c r="AH144" s="1">
        <f t="shared" ref="AH144:AJ144" si="340">AH143-AH120</f>
        <v>0</v>
      </c>
      <c r="AI144" s="1">
        <f t="shared" si="340"/>
        <v>0</v>
      </c>
      <c r="AJ144" s="203">
        <f t="shared" si="340"/>
        <v>0</v>
      </c>
      <c r="AK144" s="257">
        <f>AK143-AK120</f>
        <v>0</v>
      </c>
      <c r="AL144" s="1">
        <f t="shared" ref="AL144:AO144" si="341">AL143-AL120</f>
        <v>0</v>
      </c>
      <c r="AM144" s="1">
        <f t="shared" si="341"/>
        <v>0</v>
      </c>
      <c r="AN144" s="1">
        <f t="shared" si="341"/>
        <v>0</v>
      </c>
      <c r="AO144" s="203">
        <f t="shared" si="341"/>
        <v>0</v>
      </c>
      <c r="AP144" s="257">
        <f>AP143-AP120</f>
        <v>0</v>
      </c>
      <c r="AQ144" s="1">
        <f t="shared" ref="AQ144" si="342">AQ143-AQ120</f>
        <v>0</v>
      </c>
    </row>
    <row r="145" spans="1:43" s="40" customFormat="1" ht="15.6" x14ac:dyDescent="0.3">
      <c r="B145" s="477" t="s">
        <v>227</v>
      </c>
      <c r="C145" s="478"/>
      <c r="D145" s="42" t="s">
        <v>3</v>
      </c>
      <c r="E145" s="42" t="s">
        <v>2</v>
      </c>
      <c r="F145" s="42" t="s">
        <v>1</v>
      </c>
      <c r="G145" s="135" t="s">
        <v>4</v>
      </c>
      <c r="H145" s="246" t="s">
        <v>4</v>
      </c>
      <c r="I145" s="42" t="s">
        <v>5</v>
      </c>
      <c r="J145" s="42" t="s">
        <v>6</v>
      </c>
      <c r="K145" s="42" t="s">
        <v>7</v>
      </c>
      <c r="L145" s="42" t="s">
        <v>9</v>
      </c>
      <c r="M145" s="246" t="s">
        <v>9</v>
      </c>
      <c r="N145" s="42" t="s">
        <v>10</v>
      </c>
      <c r="O145" s="42" t="s">
        <v>11</v>
      </c>
      <c r="P145" s="42" t="s">
        <v>12</v>
      </c>
      <c r="Q145" s="317" t="s">
        <v>8</v>
      </c>
      <c r="R145" s="355" t="s">
        <v>8</v>
      </c>
      <c r="S145" s="317" t="s">
        <v>13</v>
      </c>
      <c r="T145" s="317" t="s">
        <v>14</v>
      </c>
      <c r="U145" s="317" t="s">
        <v>15</v>
      </c>
      <c r="V145" s="317" t="s">
        <v>16</v>
      </c>
      <c r="W145" s="355" t="s">
        <v>16</v>
      </c>
      <c r="X145" s="317" t="s">
        <v>197</v>
      </c>
      <c r="Y145" s="317" t="s">
        <v>198</v>
      </c>
      <c r="Z145" s="317" t="s">
        <v>199</v>
      </c>
      <c r="AA145" s="317" t="s">
        <v>200</v>
      </c>
      <c r="AB145" s="355" t="s">
        <v>200</v>
      </c>
      <c r="AC145" s="317" t="s">
        <v>201</v>
      </c>
      <c r="AD145" s="317" t="s">
        <v>202</v>
      </c>
      <c r="AE145" s="317" t="s">
        <v>203</v>
      </c>
      <c r="AF145" s="317" t="s">
        <v>204</v>
      </c>
      <c r="AG145" s="355" t="s">
        <v>204</v>
      </c>
      <c r="AH145" s="317" t="s">
        <v>205</v>
      </c>
      <c r="AI145" s="317" t="s">
        <v>206</v>
      </c>
      <c r="AJ145" s="317" t="s">
        <v>207</v>
      </c>
      <c r="AK145" s="317" t="s">
        <v>208</v>
      </c>
      <c r="AL145" s="355" t="s">
        <v>208</v>
      </c>
      <c r="AM145" s="238" t="s">
        <v>295</v>
      </c>
      <c r="AN145" s="44" t="s">
        <v>297</v>
      </c>
      <c r="AO145" s="44" t="s">
        <v>299</v>
      </c>
      <c r="AP145" s="46" t="s">
        <v>301</v>
      </c>
      <c r="AQ145" s="237" t="s">
        <v>301</v>
      </c>
    </row>
    <row r="146" spans="1:43" s="40" customFormat="1" ht="16.2" x14ac:dyDescent="0.45">
      <c r="A146" s="348"/>
      <c r="B146" s="479"/>
      <c r="C146" s="476"/>
      <c r="D146" s="43" t="s">
        <v>23</v>
      </c>
      <c r="E146" s="43" t="s">
        <v>24</v>
      </c>
      <c r="F146" s="43" t="s">
        <v>25</v>
      </c>
      <c r="G146" s="350" t="s">
        <v>26</v>
      </c>
      <c r="H146" s="353" t="s">
        <v>228</v>
      </c>
      <c r="I146" s="43" t="s">
        <v>27</v>
      </c>
      <c r="J146" s="43" t="s">
        <v>28</v>
      </c>
      <c r="K146" s="43" t="s">
        <v>37</v>
      </c>
      <c r="L146" s="43" t="s">
        <v>41</v>
      </c>
      <c r="M146" s="354" t="s">
        <v>229</v>
      </c>
      <c r="N146" s="43" t="s">
        <v>54</v>
      </c>
      <c r="O146" s="43" t="s">
        <v>55</v>
      </c>
      <c r="P146" s="43" t="s">
        <v>76</v>
      </c>
      <c r="Q146" s="318" t="s">
        <v>32</v>
      </c>
      <c r="R146" s="356" t="s">
        <v>230</v>
      </c>
      <c r="S146" s="318" t="s">
        <v>33</v>
      </c>
      <c r="T146" s="318" t="s">
        <v>34</v>
      </c>
      <c r="U146" s="318" t="s">
        <v>35</v>
      </c>
      <c r="V146" s="318" t="s">
        <v>36</v>
      </c>
      <c r="W146" s="356" t="s">
        <v>231</v>
      </c>
      <c r="X146" s="318" t="s">
        <v>209</v>
      </c>
      <c r="Y146" s="318" t="s">
        <v>210</v>
      </c>
      <c r="Z146" s="318" t="s">
        <v>211</v>
      </c>
      <c r="AA146" s="318" t="s">
        <v>212</v>
      </c>
      <c r="AB146" s="356" t="s">
        <v>232</v>
      </c>
      <c r="AC146" s="318" t="s">
        <v>214</v>
      </c>
      <c r="AD146" s="318" t="s">
        <v>215</v>
      </c>
      <c r="AE146" s="318" t="s">
        <v>216</v>
      </c>
      <c r="AF146" s="318" t="s">
        <v>217</v>
      </c>
      <c r="AG146" s="356" t="s">
        <v>233</v>
      </c>
      <c r="AH146" s="318" t="s">
        <v>219</v>
      </c>
      <c r="AI146" s="318" t="s">
        <v>220</v>
      </c>
      <c r="AJ146" s="318" t="s">
        <v>221</v>
      </c>
      <c r="AK146" s="318" t="s">
        <v>222</v>
      </c>
      <c r="AL146" s="356" t="s">
        <v>234</v>
      </c>
      <c r="AM146" s="244" t="s">
        <v>296</v>
      </c>
      <c r="AN146" s="241" t="s">
        <v>298</v>
      </c>
      <c r="AO146" s="241" t="s">
        <v>300</v>
      </c>
      <c r="AP146" s="245" t="s">
        <v>302</v>
      </c>
      <c r="AQ146" s="242" t="s">
        <v>303</v>
      </c>
    </row>
    <row r="147" spans="1:43" s="40" customFormat="1" ht="16.2" x14ac:dyDescent="0.45">
      <c r="A147" s="348"/>
      <c r="B147" s="480" t="s">
        <v>243</v>
      </c>
      <c r="C147" s="481"/>
      <c r="D147" s="332"/>
      <c r="E147" s="332"/>
      <c r="F147" s="332"/>
      <c r="G147" s="351"/>
      <c r="H147" s="333"/>
      <c r="I147" s="334"/>
      <c r="J147" s="332"/>
      <c r="K147" s="332"/>
      <c r="L147" s="332"/>
      <c r="M147" s="335"/>
      <c r="N147" s="332"/>
      <c r="O147" s="332"/>
      <c r="P147" s="332"/>
      <c r="Q147" s="332"/>
      <c r="R147" s="335"/>
      <c r="S147" s="332"/>
      <c r="T147" s="332"/>
      <c r="U147" s="332"/>
      <c r="V147" s="332"/>
      <c r="W147" s="335"/>
      <c r="X147" s="332"/>
      <c r="Y147" s="332"/>
      <c r="Z147" s="332"/>
      <c r="AA147" s="332"/>
      <c r="AB147" s="335"/>
      <c r="AC147" s="332"/>
      <c r="AD147" s="332"/>
      <c r="AE147" s="332"/>
      <c r="AF147" s="332"/>
      <c r="AG147" s="335"/>
      <c r="AH147" s="332"/>
      <c r="AI147" s="332"/>
      <c r="AJ147" s="332"/>
      <c r="AK147" s="332"/>
      <c r="AL147" s="335"/>
      <c r="AM147" s="332"/>
      <c r="AN147" s="332"/>
      <c r="AO147" s="332"/>
      <c r="AP147" s="332"/>
      <c r="AQ147" s="335"/>
    </row>
    <row r="148" spans="1:43" s="40" customFormat="1" x14ac:dyDescent="0.3">
      <c r="A148" s="348"/>
      <c r="B148" s="319" t="s">
        <v>244</v>
      </c>
      <c r="C148" s="315"/>
      <c r="D148" s="320"/>
      <c r="E148" s="320">
        <f>E16/(AVERAGE(D109:E109))</f>
        <v>1.3044678029564336</v>
      </c>
      <c r="F148" s="320">
        <f>F16/(AVERAGE(E109:F109))</f>
        <v>1.3712170305319062</v>
      </c>
      <c r="G148" s="352">
        <f>G16/(AVERAGE(F109:G109))</f>
        <v>1.3968395616295508</v>
      </c>
      <c r="H148" s="321"/>
      <c r="I148" s="320">
        <f>I16/(AVERAGE(G109,I109))</f>
        <v>1.200160663326068</v>
      </c>
      <c r="J148" s="320">
        <f>J16/(AVERAGE(I109:J109))</f>
        <v>1.2987677284352477</v>
      </c>
      <c r="K148" s="320">
        <f>K16/(AVERAGE(J109:K109))</f>
        <v>1.2827740928599298</v>
      </c>
      <c r="L148" s="320">
        <f>L16/(AVERAGE(K109:L109))</f>
        <v>1.22576533607033</v>
      </c>
      <c r="M148" s="322"/>
      <c r="N148" s="320">
        <f>N16/(AVERAGE(L109,N109))</f>
        <v>1.1458284393236013</v>
      </c>
      <c r="O148" s="320">
        <f>O16/(AVERAGE(N109:O109))</f>
        <v>1.2642071650558382</v>
      </c>
      <c r="P148" s="320">
        <f>P16/(AVERAGE(O109:P109))</f>
        <v>1.3027801990266579</v>
      </c>
      <c r="Q148" s="323">
        <f>P148</f>
        <v>1.3027801990266579</v>
      </c>
      <c r="R148" s="322"/>
      <c r="S148" s="323">
        <f>Q148</f>
        <v>1.3027801990266579</v>
      </c>
      <c r="T148" s="323">
        <f t="shared" ref="T148:V150" si="343">S148</f>
        <v>1.3027801990266579</v>
      </c>
      <c r="U148" s="323">
        <f t="shared" si="343"/>
        <v>1.3027801990266579</v>
      </c>
      <c r="V148" s="323">
        <f t="shared" si="343"/>
        <v>1.3027801990266579</v>
      </c>
      <c r="W148" s="322"/>
      <c r="X148" s="323">
        <f>V148</f>
        <v>1.3027801990266579</v>
      </c>
      <c r="Y148" s="323">
        <f t="shared" ref="Y148:AA150" si="344">X148</f>
        <v>1.3027801990266579</v>
      </c>
      <c r="Z148" s="323">
        <f t="shared" si="344"/>
        <v>1.3027801990266579</v>
      </c>
      <c r="AA148" s="323">
        <f t="shared" si="344"/>
        <v>1.3027801990266579</v>
      </c>
      <c r="AB148" s="322"/>
      <c r="AC148" s="323">
        <f>AA148</f>
        <v>1.3027801990266579</v>
      </c>
      <c r="AD148" s="323">
        <f t="shared" ref="AD148:AF150" si="345">AC148</f>
        <v>1.3027801990266579</v>
      </c>
      <c r="AE148" s="323">
        <f t="shared" si="345"/>
        <v>1.3027801990266579</v>
      </c>
      <c r="AF148" s="323">
        <f t="shared" si="345"/>
        <v>1.3027801990266579</v>
      </c>
      <c r="AG148" s="322"/>
      <c r="AH148" s="323">
        <f>AF148</f>
        <v>1.3027801990266579</v>
      </c>
      <c r="AI148" s="323">
        <f t="shared" ref="AI148:AK150" si="346">AH148</f>
        <v>1.3027801990266579</v>
      </c>
      <c r="AJ148" s="323">
        <f t="shared" si="346"/>
        <v>1.3027801990266579</v>
      </c>
      <c r="AK148" s="323">
        <f t="shared" si="346"/>
        <v>1.3027801990266579</v>
      </c>
      <c r="AL148" s="322"/>
      <c r="AM148" s="323">
        <f>AK148</f>
        <v>1.3027801990266579</v>
      </c>
      <c r="AN148" s="323">
        <f t="shared" ref="AN148:AN150" si="347">AM148</f>
        <v>1.3027801990266579</v>
      </c>
      <c r="AO148" s="323">
        <f t="shared" ref="AO148:AO150" si="348">AN148</f>
        <v>1.3027801990266579</v>
      </c>
      <c r="AP148" s="323">
        <f t="shared" ref="AP148:AP150" si="349">AO148</f>
        <v>1.3027801990266579</v>
      </c>
      <c r="AQ148" s="322"/>
    </row>
    <row r="149" spans="1:43" s="40" customFormat="1" x14ac:dyDescent="0.3">
      <c r="A149" s="348"/>
      <c r="B149" s="319" t="s">
        <v>245</v>
      </c>
      <c r="C149" s="315"/>
      <c r="D149" s="320"/>
      <c r="E149" s="320">
        <f>(E18+E19)/(AVERAGE(D110:E110))</f>
        <v>3.2876107059766566</v>
      </c>
      <c r="F149" s="320">
        <f>(F18+F19)/(AVERAGE(E110:F110))</f>
        <v>3.3106313774877782</v>
      </c>
      <c r="G149" s="352">
        <f>(G18+G19)/(AVERAGE(F110:G110))</f>
        <v>3.6309711059878045</v>
      </c>
      <c r="H149" s="321"/>
      <c r="I149" s="320">
        <f>(I18+I19)/(AVERAGE(G110,I110))</f>
        <v>3.1180894748216987</v>
      </c>
      <c r="J149" s="320">
        <f>(J18+J19)/(AVERAGE(I110:J110))</f>
        <v>2.7827066581226614</v>
      </c>
      <c r="K149" s="320">
        <f>(K18+K19)/(AVERAGE(J110:K110))</f>
        <v>2.804002303171206</v>
      </c>
      <c r="L149" s="320">
        <f>(L18+L19)/(AVERAGE(K110:L110))</f>
        <v>2.9216802548964482</v>
      </c>
      <c r="M149" s="322"/>
      <c r="N149" s="320">
        <f>(N18+N19)/(AVERAGE(L110,N110))</f>
        <v>2.7313093162889794</v>
      </c>
      <c r="O149" s="320">
        <f>(O18+O19)/(AVERAGE(N110:O110))</f>
        <v>2.6986997055937194</v>
      </c>
      <c r="P149" s="320">
        <f>(P18+P19)/(AVERAGE(O110:P110))</f>
        <v>2.7775315266275258</v>
      </c>
      <c r="Q149" s="323">
        <f>P149</f>
        <v>2.7775315266275258</v>
      </c>
      <c r="R149" s="322"/>
      <c r="S149" s="323">
        <f>Q149</f>
        <v>2.7775315266275258</v>
      </c>
      <c r="T149" s="323">
        <f t="shared" si="343"/>
        <v>2.7775315266275258</v>
      </c>
      <c r="U149" s="323">
        <f t="shared" si="343"/>
        <v>2.7775315266275258</v>
      </c>
      <c r="V149" s="323">
        <f t="shared" si="343"/>
        <v>2.7775315266275258</v>
      </c>
      <c r="W149" s="322"/>
      <c r="X149" s="323">
        <f>V149</f>
        <v>2.7775315266275258</v>
      </c>
      <c r="Y149" s="323">
        <f t="shared" si="344"/>
        <v>2.7775315266275258</v>
      </c>
      <c r="Z149" s="323">
        <f t="shared" si="344"/>
        <v>2.7775315266275258</v>
      </c>
      <c r="AA149" s="323">
        <f t="shared" si="344"/>
        <v>2.7775315266275258</v>
      </c>
      <c r="AB149" s="322"/>
      <c r="AC149" s="323">
        <f>AA149</f>
        <v>2.7775315266275258</v>
      </c>
      <c r="AD149" s="323">
        <f t="shared" si="345"/>
        <v>2.7775315266275258</v>
      </c>
      <c r="AE149" s="323">
        <f t="shared" si="345"/>
        <v>2.7775315266275258</v>
      </c>
      <c r="AF149" s="323">
        <f t="shared" si="345"/>
        <v>2.7775315266275258</v>
      </c>
      <c r="AG149" s="322"/>
      <c r="AH149" s="323">
        <f>AF149</f>
        <v>2.7775315266275258</v>
      </c>
      <c r="AI149" s="323">
        <f t="shared" si="346"/>
        <v>2.7775315266275258</v>
      </c>
      <c r="AJ149" s="323">
        <f t="shared" si="346"/>
        <v>2.7775315266275258</v>
      </c>
      <c r="AK149" s="323">
        <f t="shared" si="346"/>
        <v>2.7775315266275258</v>
      </c>
      <c r="AL149" s="322"/>
      <c r="AM149" s="323">
        <f>AK149</f>
        <v>2.7775315266275258</v>
      </c>
      <c r="AN149" s="323">
        <f t="shared" si="347"/>
        <v>2.7775315266275258</v>
      </c>
      <c r="AO149" s="323">
        <f t="shared" si="348"/>
        <v>2.7775315266275258</v>
      </c>
      <c r="AP149" s="323">
        <f t="shared" si="349"/>
        <v>2.7775315266275258</v>
      </c>
      <c r="AQ149" s="322"/>
    </row>
    <row r="150" spans="1:43" s="40" customFormat="1" x14ac:dyDescent="0.3">
      <c r="B150" s="471" t="s">
        <v>246</v>
      </c>
      <c r="C150" s="472"/>
      <c r="D150" s="320"/>
      <c r="E150" s="408">
        <f>(E18+E19)/(AVERAGE(D122:E122))</f>
        <v>3.2027960040759189</v>
      </c>
      <c r="F150" s="408">
        <f>(F18+F19)/(AVERAGE(E122:F122))</f>
        <v>3.3074499702793738</v>
      </c>
      <c r="G150" s="408">
        <f>(G18+G19)/(AVERAGE(F122:G122))</f>
        <v>3.4842037795145351</v>
      </c>
      <c r="H150" s="409"/>
      <c r="I150" s="410">
        <f>(I18+I19)/(AVERAGE(G122,I122))</f>
        <v>2.9419057523296832</v>
      </c>
      <c r="J150" s="408">
        <f>(J18+J19)/(AVERAGE(I122:J122))</f>
        <v>2.8850740990773782</v>
      </c>
      <c r="K150" s="408">
        <f>(K18+K19)/(AVERAGE(J122:K122))</f>
        <v>3.1148174072554369</v>
      </c>
      <c r="L150" s="408">
        <f>(L18+L19)/(AVERAGE(K122:L122))</f>
        <v>3.3699215002769782</v>
      </c>
      <c r="M150" s="411"/>
      <c r="N150" s="410">
        <f>(N18+N19)/(AVERAGE(L122,N122))</f>
        <v>3.3070192152666831</v>
      </c>
      <c r="O150" s="408">
        <f>(O18+O19)/(AVERAGE(N122:O122))</f>
        <v>3.4290568449272878</v>
      </c>
      <c r="P150" s="408">
        <f>(P18+P19)/(AVERAGE(O122:P122))</f>
        <v>3.4787111435760085</v>
      </c>
      <c r="Q150" s="323">
        <f>P150</f>
        <v>3.4787111435760085</v>
      </c>
      <c r="R150" s="322"/>
      <c r="S150" s="323">
        <f>Q150</f>
        <v>3.4787111435760085</v>
      </c>
      <c r="T150" s="323">
        <f t="shared" si="343"/>
        <v>3.4787111435760085</v>
      </c>
      <c r="U150" s="323">
        <f t="shared" si="343"/>
        <v>3.4787111435760085</v>
      </c>
      <c r="V150" s="323">
        <f t="shared" si="343"/>
        <v>3.4787111435760085</v>
      </c>
      <c r="W150" s="322"/>
      <c r="X150" s="323">
        <f>V150</f>
        <v>3.4787111435760085</v>
      </c>
      <c r="Y150" s="323">
        <f t="shared" si="344"/>
        <v>3.4787111435760085</v>
      </c>
      <c r="Z150" s="323">
        <f t="shared" si="344"/>
        <v>3.4787111435760085</v>
      </c>
      <c r="AA150" s="323">
        <f t="shared" si="344"/>
        <v>3.4787111435760085</v>
      </c>
      <c r="AB150" s="322"/>
      <c r="AC150" s="323">
        <f>AA150</f>
        <v>3.4787111435760085</v>
      </c>
      <c r="AD150" s="323">
        <f t="shared" si="345"/>
        <v>3.4787111435760085</v>
      </c>
      <c r="AE150" s="323">
        <f t="shared" si="345"/>
        <v>3.4787111435760085</v>
      </c>
      <c r="AF150" s="323">
        <f t="shared" si="345"/>
        <v>3.4787111435760085</v>
      </c>
      <c r="AG150" s="322"/>
      <c r="AH150" s="323">
        <f>AF150</f>
        <v>3.4787111435760085</v>
      </c>
      <c r="AI150" s="323">
        <f t="shared" si="346"/>
        <v>3.4787111435760085</v>
      </c>
      <c r="AJ150" s="323">
        <f t="shared" si="346"/>
        <v>3.4787111435760085</v>
      </c>
      <c r="AK150" s="323">
        <f t="shared" si="346"/>
        <v>3.4787111435760085</v>
      </c>
      <c r="AL150" s="322"/>
      <c r="AM150" s="323">
        <f>AK150</f>
        <v>3.4787111435760085</v>
      </c>
      <c r="AN150" s="323">
        <f t="shared" si="347"/>
        <v>3.4787111435760085</v>
      </c>
      <c r="AO150" s="323">
        <f t="shared" si="348"/>
        <v>3.4787111435760085</v>
      </c>
      <c r="AP150" s="323">
        <f t="shared" si="349"/>
        <v>3.4787111435760085</v>
      </c>
      <c r="AQ150" s="322"/>
    </row>
    <row r="151" spans="1:43" s="40" customFormat="1" x14ac:dyDescent="0.3">
      <c r="B151" s="312" t="s">
        <v>247</v>
      </c>
      <c r="C151" s="313"/>
      <c r="D151" s="141"/>
      <c r="E151" s="141">
        <f>90/E148</f>
        <v>68.993653807341843</v>
      </c>
      <c r="F151" s="141">
        <f t="shared" ref="F151" si="350">90/F148</f>
        <v>65.635124124069748</v>
      </c>
      <c r="G151" s="141">
        <f>90/G148</f>
        <v>64.431164803927913</v>
      </c>
      <c r="H151" s="324"/>
      <c r="I151" s="114">
        <f>90/I148</f>
        <v>74.989959886352466</v>
      </c>
      <c r="J151" s="141">
        <f>90/J148</f>
        <v>69.296455424274967</v>
      </c>
      <c r="K151" s="141">
        <f t="shared" ref="K151" si="351">90/K148</f>
        <v>70.160444072694091</v>
      </c>
      <c r="L151" s="141">
        <f>90/L148</f>
        <v>73.423515375732677</v>
      </c>
      <c r="M151" s="325"/>
      <c r="N151" s="114">
        <f>90/N148</f>
        <v>78.5457900251876</v>
      </c>
      <c r="O151" s="141">
        <f>90/O148</f>
        <v>71.190863718941841</v>
      </c>
      <c r="P151" s="141">
        <f t="shared" ref="P151" si="352">90/P148</f>
        <v>69.083027257584533</v>
      </c>
      <c r="Q151" s="141">
        <f>90/Q148</f>
        <v>69.083027257584533</v>
      </c>
      <c r="R151" s="325"/>
      <c r="S151" s="114">
        <f>90/S148</f>
        <v>69.083027257584533</v>
      </c>
      <c r="T151" s="141">
        <f>90/T148</f>
        <v>69.083027257584533</v>
      </c>
      <c r="U151" s="141">
        <f t="shared" ref="U151" si="353">90/U148</f>
        <v>69.083027257584533</v>
      </c>
      <c r="V151" s="141">
        <f>90/V148</f>
        <v>69.083027257584533</v>
      </c>
      <c r="W151" s="325"/>
      <c r="X151" s="114">
        <f>90/X148</f>
        <v>69.083027257584533</v>
      </c>
      <c r="Y151" s="141">
        <f>90/Y148</f>
        <v>69.083027257584533</v>
      </c>
      <c r="Z151" s="141">
        <f t="shared" ref="Z151" si="354">90/Z148</f>
        <v>69.083027257584533</v>
      </c>
      <c r="AA151" s="141">
        <f>90/AA148</f>
        <v>69.083027257584533</v>
      </c>
      <c r="AB151" s="325"/>
      <c r="AC151" s="114">
        <f>90/AC148</f>
        <v>69.083027257584533</v>
      </c>
      <c r="AD151" s="141">
        <f>90/AD148</f>
        <v>69.083027257584533</v>
      </c>
      <c r="AE151" s="141">
        <f t="shared" ref="AE151" si="355">90/AE148</f>
        <v>69.083027257584533</v>
      </c>
      <c r="AF151" s="141">
        <f>90/AF148</f>
        <v>69.083027257584533</v>
      </c>
      <c r="AG151" s="325"/>
      <c r="AH151" s="114">
        <f>90/AH148</f>
        <v>69.083027257584533</v>
      </c>
      <c r="AI151" s="141">
        <f>90/AI148</f>
        <v>69.083027257584533</v>
      </c>
      <c r="AJ151" s="141">
        <f t="shared" ref="AJ151" si="356">90/AJ148</f>
        <v>69.083027257584533</v>
      </c>
      <c r="AK151" s="141">
        <f>90/AK148</f>
        <v>69.083027257584533</v>
      </c>
      <c r="AL151" s="325"/>
      <c r="AM151" s="114">
        <f>90/AM148</f>
        <v>69.083027257584533</v>
      </c>
      <c r="AN151" s="141">
        <f>90/AN148</f>
        <v>69.083027257584533</v>
      </c>
      <c r="AO151" s="141">
        <f t="shared" ref="AO151" si="357">90/AO148</f>
        <v>69.083027257584533</v>
      </c>
      <c r="AP151" s="141">
        <f>90/AP148</f>
        <v>69.083027257584533</v>
      </c>
      <c r="AQ151" s="325"/>
    </row>
    <row r="152" spans="1:43" s="40" customFormat="1" x14ac:dyDescent="0.3">
      <c r="B152" s="471" t="s">
        <v>248</v>
      </c>
      <c r="C152" s="472"/>
      <c r="D152" s="141"/>
      <c r="E152" s="141">
        <f>90/E149</f>
        <v>27.375503990294842</v>
      </c>
      <c r="F152" s="141">
        <f t="shared" ref="F152:G152" si="358">90/F149</f>
        <v>27.185146800697311</v>
      </c>
      <c r="G152" s="141">
        <f t="shared" si="358"/>
        <v>24.78675741913279</v>
      </c>
      <c r="H152" s="324"/>
      <c r="I152" s="114">
        <f t="shared" ref="I152:L152" si="359">90/I149</f>
        <v>28.863828548456411</v>
      </c>
      <c r="J152" s="141">
        <f t="shared" si="359"/>
        <v>32.34261136986607</v>
      </c>
      <c r="K152" s="141">
        <f t="shared" si="359"/>
        <v>32.096977915536613</v>
      </c>
      <c r="L152" s="141">
        <f t="shared" si="359"/>
        <v>30.804192159346961</v>
      </c>
      <c r="M152" s="325"/>
      <c r="N152" s="114">
        <f t="shared" ref="N152:Q152" si="360">90/N149</f>
        <v>32.951229457336851</v>
      </c>
      <c r="O152" s="141">
        <f t="shared" si="360"/>
        <v>33.349394085400775</v>
      </c>
      <c r="P152" s="141">
        <f t="shared" si="360"/>
        <v>32.402872528067341</v>
      </c>
      <c r="Q152" s="141">
        <f t="shared" si="360"/>
        <v>32.402872528067341</v>
      </c>
      <c r="R152" s="325"/>
      <c r="S152" s="114">
        <f t="shared" ref="S152:V152" si="361">90/S149</f>
        <v>32.402872528067341</v>
      </c>
      <c r="T152" s="141">
        <f t="shared" si="361"/>
        <v>32.402872528067341</v>
      </c>
      <c r="U152" s="141">
        <f t="shared" si="361"/>
        <v>32.402872528067341</v>
      </c>
      <c r="V152" s="141">
        <f t="shared" si="361"/>
        <v>32.402872528067341</v>
      </c>
      <c r="W152" s="325"/>
      <c r="X152" s="114">
        <f t="shared" ref="X152:AA152" si="362">90/X149</f>
        <v>32.402872528067341</v>
      </c>
      <c r="Y152" s="141">
        <f t="shared" si="362"/>
        <v>32.402872528067341</v>
      </c>
      <c r="Z152" s="141">
        <f t="shared" si="362"/>
        <v>32.402872528067341</v>
      </c>
      <c r="AA152" s="141">
        <f t="shared" si="362"/>
        <v>32.402872528067341</v>
      </c>
      <c r="AB152" s="325"/>
      <c r="AC152" s="114">
        <f t="shared" ref="AC152:AF152" si="363">90/AC149</f>
        <v>32.402872528067341</v>
      </c>
      <c r="AD152" s="141">
        <f t="shared" si="363"/>
        <v>32.402872528067341</v>
      </c>
      <c r="AE152" s="141">
        <f t="shared" si="363"/>
        <v>32.402872528067341</v>
      </c>
      <c r="AF152" s="141">
        <f t="shared" si="363"/>
        <v>32.402872528067341</v>
      </c>
      <c r="AG152" s="325"/>
      <c r="AH152" s="114">
        <f t="shared" ref="AH152:AK152" si="364">90/AH149</f>
        <v>32.402872528067341</v>
      </c>
      <c r="AI152" s="141">
        <f t="shared" si="364"/>
        <v>32.402872528067341</v>
      </c>
      <c r="AJ152" s="141">
        <f t="shared" si="364"/>
        <v>32.402872528067341</v>
      </c>
      <c r="AK152" s="141">
        <f t="shared" si="364"/>
        <v>32.402872528067341</v>
      </c>
      <c r="AL152" s="325"/>
      <c r="AM152" s="114">
        <f t="shared" ref="AM152:AP152" si="365">90/AM149</f>
        <v>32.402872528067341</v>
      </c>
      <c r="AN152" s="141">
        <f t="shared" si="365"/>
        <v>32.402872528067341</v>
      </c>
      <c r="AO152" s="141">
        <f t="shared" si="365"/>
        <v>32.402872528067341</v>
      </c>
      <c r="AP152" s="141">
        <f t="shared" si="365"/>
        <v>32.402872528067341</v>
      </c>
      <c r="AQ152" s="325"/>
    </row>
    <row r="153" spans="1:43" s="40" customFormat="1" x14ac:dyDescent="0.3">
      <c r="B153" s="471" t="s">
        <v>249</v>
      </c>
      <c r="C153" s="472"/>
      <c r="D153" s="141"/>
      <c r="E153" s="141">
        <f>90/E150</f>
        <v>28.100447198468107</v>
      </c>
      <c r="F153" s="141">
        <f t="shared" ref="F153:G153" si="366">90/F150</f>
        <v>27.211295955717169</v>
      </c>
      <c r="G153" s="141">
        <f t="shared" si="366"/>
        <v>25.830865728680191</v>
      </c>
      <c r="H153" s="324"/>
      <c r="I153" s="114">
        <f t="shared" ref="I153:L153" si="367">90/I150</f>
        <v>30.59241443364709</v>
      </c>
      <c r="J153" s="141">
        <f t="shared" si="367"/>
        <v>31.195039333229335</v>
      </c>
      <c r="K153" s="141">
        <f t="shared" si="367"/>
        <v>28.894149554436265</v>
      </c>
      <c r="L153" s="141">
        <f t="shared" si="367"/>
        <v>26.706853555076218</v>
      </c>
      <c r="M153" s="325"/>
      <c r="N153" s="114">
        <f t="shared" ref="N153:Q153" si="368">90/N150</f>
        <v>27.214840356693319</v>
      </c>
      <c r="O153" s="141">
        <f t="shared" si="368"/>
        <v>26.246284057127792</v>
      </c>
      <c r="P153" s="141">
        <f t="shared" si="368"/>
        <v>25.871650817055986</v>
      </c>
      <c r="Q153" s="141">
        <f t="shared" si="368"/>
        <v>25.871650817055986</v>
      </c>
      <c r="R153" s="325"/>
      <c r="S153" s="114">
        <f t="shared" ref="S153:V153" si="369">90/S150</f>
        <v>25.871650817055986</v>
      </c>
      <c r="T153" s="141">
        <f t="shared" si="369"/>
        <v>25.871650817055986</v>
      </c>
      <c r="U153" s="141">
        <f t="shared" si="369"/>
        <v>25.871650817055986</v>
      </c>
      <c r="V153" s="141">
        <f t="shared" si="369"/>
        <v>25.871650817055986</v>
      </c>
      <c r="W153" s="325"/>
      <c r="X153" s="114">
        <f t="shared" ref="X153:AA153" si="370">90/X150</f>
        <v>25.871650817055986</v>
      </c>
      <c r="Y153" s="141">
        <f t="shared" si="370"/>
        <v>25.871650817055986</v>
      </c>
      <c r="Z153" s="141">
        <f t="shared" si="370"/>
        <v>25.871650817055986</v>
      </c>
      <c r="AA153" s="141">
        <f t="shared" si="370"/>
        <v>25.871650817055986</v>
      </c>
      <c r="AB153" s="325"/>
      <c r="AC153" s="114">
        <f t="shared" ref="AC153:AF153" si="371">90/AC150</f>
        <v>25.871650817055986</v>
      </c>
      <c r="AD153" s="141">
        <f t="shared" si="371"/>
        <v>25.871650817055986</v>
      </c>
      <c r="AE153" s="141">
        <f t="shared" si="371"/>
        <v>25.871650817055986</v>
      </c>
      <c r="AF153" s="141">
        <f t="shared" si="371"/>
        <v>25.871650817055986</v>
      </c>
      <c r="AG153" s="325"/>
      <c r="AH153" s="114">
        <f t="shared" ref="AH153:AK153" si="372">90/AH150</f>
        <v>25.871650817055986</v>
      </c>
      <c r="AI153" s="141">
        <f t="shared" si="372"/>
        <v>25.871650817055986</v>
      </c>
      <c r="AJ153" s="141">
        <f t="shared" si="372"/>
        <v>25.871650817055986</v>
      </c>
      <c r="AK153" s="141">
        <f t="shared" si="372"/>
        <v>25.871650817055986</v>
      </c>
      <c r="AL153" s="325"/>
      <c r="AM153" s="114">
        <f t="shared" ref="AM153:AP153" si="373">90/AM150</f>
        <v>25.871650817055986</v>
      </c>
      <c r="AN153" s="141">
        <f t="shared" si="373"/>
        <v>25.871650817055986</v>
      </c>
      <c r="AO153" s="141">
        <f t="shared" si="373"/>
        <v>25.871650817055986</v>
      </c>
      <c r="AP153" s="141">
        <f t="shared" si="373"/>
        <v>25.871650817055986</v>
      </c>
      <c r="AQ153" s="325"/>
    </row>
    <row r="154" spans="1:43" s="40" customFormat="1" x14ac:dyDescent="0.3">
      <c r="B154" s="512" t="s">
        <v>236</v>
      </c>
      <c r="C154" s="513"/>
      <c r="D154" s="326"/>
      <c r="E154" s="327"/>
      <c r="F154" s="327"/>
      <c r="G154" s="327"/>
      <c r="H154" s="328"/>
      <c r="I154" s="329"/>
      <c r="J154" s="330"/>
      <c r="K154" s="330"/>
      <c r="L154" s="330"/>
      <c r="M154" s="331"/>
      <c r="N154" s="330"/>
      <c r="O154" s="330"/>
      <c r="P154" s="330"/>
      <c r="Q154" s="330"/>
      <c r="R154" s="331"/>
      <c r="S154" s="330"/>
      <c r="T154" s="330"/>
      <c r="U154" s="330"/>
      <c r="V154" s="330"/>
      <c r="W154" s="331"/>
      <c r="X154" s="330"/>
      <c r="Y154" s="330"/>
      <c r="Z154" s="330"/>
      <c r="AA154" s="330"/>
      <c r="AB154" s="331"/>
      <c r="AC154" s="330"/>
      <c r="AD154" s="330"/>
      <c r="AE154" s="330"/>
      <c r="AF154" s="330"/>
      <c r="AG154" s="331"/>
      <c r="AH154" s="330"/>
      <c r="AI154" s="330"/>
      <c r="AJ154" s="330"/>
      <c r="AK154" s="330"/>
      <c r="AL154" s="331"/>
      <c r="AM154" s="330"/>
      <c r="AN154" s="330"/>
      <c r="AO154" s="330"/>
      <c r="AP154" s="330"/>
      <c r="AQ154" s="331"/>
    </row>
    <row r="155" spans="1:43" s="40" customFormat="1" x14ac:dyDescent="0.3">
      <c r="B155" s="17"/>
      <c r="C155" s="90"/>
      <c r="D155" s="1"/>
      <c r="E155" s="1"/>
      <c r="F155" s="1"/>
      <c r="G155" s="1"/>
      <c r="H155" s="1"/>
      <c r="I155" s="1"/>
      <c r="J155" s="1"/>
      <c r="K155" s="1"/>
      <c r="L155" s="1"/>
      <c r="M155" s="1"/>
      <c r="N155" s="1"/>
      <c r="O155" s="1"/>
      <c r="P155" s="203"/>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row>
    <row r="156" spans="1:43" s="40" customFormat="1" ht="15.6" x14ac:dyDescent="0.3">
      <c r="B156" s="467" t="s">
        <v>52</v>
      </c>
      <c r="C156" s="468"/>
      <c r="D156" s="1"/>
      <c r="E156" s="1"/>
      <c r="F156" s="1"/>
      <c r="G156" s="1"/>
      <c r="H156" s="1"/>
      <c r="I156" s="8"/>
      <c r="J156" s="1"/>
      <c r="K156" s="2"/>
      <c r="L156" s="2"/>
      <c r="M156" s="91"/>
      <c r="P156" s="177"/>
    </row>
    <row r="157" spans="1:43" s="40" customFormat="1" outlineLevel="1" x14ac:dyDescent="0.3">
      <c r="B157" s="469" t="s">
        <v>118</v>
      </c>
      <c r="C157" s="470"/>
      <c r="D157" s="42" t="s">
        <v>3</v>
      </c>
      <c r="E157" s="42" t="s">
        <v>2</v>
      </c>
      <c r="F157" s="42" t="s">
        <v>1</v>
      </c>
      <c r="G157" s="42" t="s">
        <v>4</v>
      </c>
      <c r="H157" s="246" t="s">
        <v>4</v>
      </c>
      <c r="I157" s="42" t="s">
        <v>5</v>
      </c>
      <c r="J157" s="42" t="s">
        <v>6</v>
      </c>
      <c r="K157" s="42" t="s">
        <v>7</v>
      </c>
      <c r="L157" s="42" t="s">
        <v>9</v>
      </c>
      <c r="M157" s="42" t="s">
        <v>9</v>
      </c>
      <c r="N157" s="229" t="s">
        <v>10</v>
      </c>
      <c r="O157" s="42" t="s">
        <v>11</v>
      </c>
      <c r="P157" s="135" t="s">
        <v>12</v>
      </c>
      <c r="Q157" s="44" t="s">
        <v>8</v>
      </c>
      <c r="R157" s="237" t="s">
        <v>8</v>
      </c>
      <c r="S157" s="44" t="s">
        <v>13</v>
      </c>
      <c r="T157" s="44" t="s">
        <v>14</v>
      </c>
      <c r="U157" s="44" t="s">
        <v>15</v>
      </c>
      <c r="V157" s="44" t="s">
        <v>16</v>
      </c>
      <c r="W157" s="237" t="s">
        <v>16</v>
      </c>
      <c r="X157" s="238" t="s">
        <v>197</v>
      </c>
      <c r="Y157" s="44" t="s">
        <v>198</v>
      </c>
      <c r="Z157" s="44" t="s">
        <v>199</v>
      </c>
      <c r="AA157" s="46" t="s">
        <v>200</v>
      </c>
      <c r="AB157" s="237" t="s">
        <v>200</v>
      </c>
      <c r="AC157" s="238" t="s">
        <v>201</v>
      </c>
      <c r="AD157" s="44" t="s">
        <v>202</v>
      </c>
      <c r="AE157" s="44" t="s">
        <v>203</v>
      </c>
      <c r="AF157" s="46" t="s">
        <v>204</v>
      </c>
      <c r="AG157" s="237" t="s">
        <v>204</v>
      </c>
      <c r="AH157" s="238" t="s">
        <v>205</v>
      </c>
      <c r="AI157" s="44" t="s">
        <v>206</v>
      </c>
      <c r="AJ157" s="44" t="s">
        <v>207</v>
      </c>
      <c r="AK157" s="46" t="s">
        <v>208</v>
      </c>
      <c r="AL157" s="237" t="s">
        <v>208</v>
      </c>
      <c r="AM157" s="238" t="s">
        <v>295</v>
      </c>
      <c r="AN157" s="44" t="s">
        <v>297</v>
      </c>
      <c r="AO157" s="44" t="s">
        <v>299</v>
      </c>
      <c r="AP157" s="46" t="s">
        <v>301</v>
      </c>
      <c r="AQ157" s="237" t="s">
        <v>301</v>
      </c>
    </row>
    <row r="158" spans="1:43" s="40" customFormat="1" ht="16.2" outlineLevel="1" x14ac:dyDescent="0.45">
      <c r="B158" s="475"/>
      <c r="C158" s="476"/>
      <c r="D158" s="43" t="s">
        <v>23</v>
      </c>
      <c r="E158" s="43" t="s">
        <v>24</v>
      </c>
      <c r="F158" s="43" t="s">
        <v>25</v>
      </c>
      <c r="G158" s="43" t="s">
        <v>26</v>
      </c>
      <c r="H158" s="247" t="s">
        <v>18</v>
      </c>
      <c r="I158" s="43" t="s">
        <v>27</v>
      </c>
      <c r="J158" s="43" t="s">
        <v>28</v>
      </c>
      <c r="K158" s="43" t="s">
        <v>37</v>
      </c>
      <c r="L158" s="43" t="s">
        <v>41</v>
      </c>
      <c r="M158" s="43" t="s">
        <v>42</v>
      </c>
      <c r="N158" s="239" t="s">
        <v>54</v>
      </c>
      <c r="O158" s="243" t="s">
        <v>55</v>
      </c>
      <c r="P158" s="240" t="s">
        <v>76</v>
      </c>
      <c r="Q158" s="241" t="s">
        <v>32</v>
      </c>
      <c r="R158" s="242" t="s">
        <v>19</v>
      </c>
      <c r="S158" s="241" t="s">
        <v>33</v>
      </c>
      <c r="T158" s="241" t="s">
        <v>34</v>
      </c>
      <c r="U158" s="241" t="s">
        <v>35</v>
      </c>
      <c r="V158" s="241" t="s">
        <v>36</v>
      </c>
      <c r="W158" s="242" t="s">
        <v>20</v>
      </c>
      <c r="X158" s="244" t="s">
        <v>209</v>
      </c>
      <c r="Y158" s="241" t="s">
        <v>210</v>
      </c>
      <c r="Z158" s="241" t="s">
        <v>211</v>
      </c>
      <c r="AA158" s="245" t="s">
        <v>212</v>
      </c>
      <c r="AB158" s="242" t="s">
        <v>213</v>
      </c>
      <c r="AC158" s="244" t="s">
        <v>214</v>
      </c>
      <c r="AD158" s="241" t="s">
        <v>215</v>
      </c>
      <c r="AE158" s="241" t="s">
        <v>216</v>
      </c>
      <c r="AF158" s="245" t="s">
        <v>217</v>
      </c>
      <c r="AG158" s="242" t="s">
        <v>218</v>
      </c>
      <c r="AH158" s="244" t="s">
        <v>219</v>
      </c>
      <c r="AI158" s="241" t="s">
        <v>220</v>
      </c>
      <c r="AJ158" s="241" t="s">
        <v>221</v>
      </c>
      <c r="AK158" s="245" t="s">
        <v>222</v>
      </c>
      <c r="AL158" s="242" t="s">
        <v>223</v>
      </c>
      <c r="AM158" s="244" t="s">
        <v>296</v>
      </c>
      <c r="AN158" s="241" t="s">
        <v>298</v>
      </c>
      <c r="AO158" s="241" t="s">
        <v>300</v>
      </c>
      <c r="AP158" s="245" t="s">
        <v>302</v>
      </c>
      <c r="AQ158" s="242" t="s">
        <v>303</v>
      </c>
    </row>
    <row r="159" spans="1:43" s="40" customFormat="1" outlineLevel="1" x14ac:dyDescent="0.3">
      <c r="B159" s="465" t="s">
        <v>131</v>
      </c>
      <c r="C159" s="466"/>
      <c r="D159" s="92"/>
      <c r="E159" s="93"/>
      <c r="F159" s="93"/>
      <c r="G159" s="94"/>
      <c r="H159" s="95"/>
      <c r="I159" s="96"/>
      <c r="J159" s="89"/>
      <c r="K159" s="87"/>
      <c r="L159" s="87"/>
      <c r="M159" s="88"/>
      <c r="N159" s="248"/>
      <c r="O159" s="181"/>
      <c r="P159" s="177"/>
      <c r="Q159" s="177"/>
      <c r="R159" s="222"/>
      <c r="S159" s="177"/>
      <c r="T159" s="177"/>
      <c r="U159" s="177"/>
      <c r="V159" s="177"/>
      <c r="W159" s="222"/>
      <c r="X159" s="177"/>
      <c r="Y159" s="177"/>
      <c r="Z159" s="177"/>
      <c r="AA159" s="177"/>
      <c r="AB159" s="222"/>
      <c r="AC159" s="177"/>
      <c r="AD159" s="177"/>
      <c r="AE159" s="177"/>
      <c r="AF159" s="177"/>
      <c r="AG159" s="222"/>
      <c r="AH159" s="177"/>
      <c r="AI159" s="177"/>
      <c r="AJ159" s="177"/>
      <c r="AK159" s="177"/>
      <c r="AL159" s="222"/>
      <c r="AM159" s="177"/>
      <c r="AN159" s="177"/>
      <c r="AO159" s="177"/>
      <c r="AP159" s="177"/>
      <c r="AQ159" s="222"/>
    </row>
    <row r="160" spans="1:43" s="40" customFormat="1" outlineLevel="1" x14ac:dyDescent="0.3">
      <c r="B160" s="451" t="s">
        <v>53</v>
      </c>
      <c r="C160" s="452"/>
      <c r="D160" s="92">
        <f t="shared" ref="D160:AQ160" si="374">D33</f>
        <v>61153</v>
      </c>
      <c r="E160" s="97">
        <f t="shared" si="374"/>
        <v>64096</v>
      </c>
      <c r="F160" s="97">
        <f t="shared" si="374"/>
        <v>66650</v>
      </c>
      <c r="G160" s="147">
        <f t="shared" si="374"/>
        <v>66727</v>
      </c>
      <c r="H160" s="95">
        <f t="shared" si="374"/>
        <v>258626</v>
      </c>
      <c r="I160" s="92">
        <f t="shared" si="374"/>
        <v>31042</v>
      </c>
      <c r="J160" s="97">
        <f t="shared" si="374"/>
        <v>34702</v>
      </c>
      <c r="K160" s="97">
        <f t="shared" si="374"/>
        <v>33594</v>
      </c>
      <c r="L160" s="147">
        <f t="shared" si="374"/>
        <v>15594</v>
      </c>
      <c r="M160" s="146">
        <f t="shared" si="374"/>
        <v>114932</v>
      </c>
      <c r="N160" s="92">
        <f t="shared" si="374"/>
        <v>15117</v>
      </c>
      <c r="O160" s="97">
        <f t="shared" si="374"/>
        <v>16535</v>
      </c>
      <c r="P160" s="97">
        <f t="shared" si="374"/>
        <v>16838</v>
      </c>
      <c r="Q160" s="97">
        <f t="shared" si="374"/>
        <v>18299.671589333335</v>
      </c>
      <c r="R160" s="146">
        <f t="shared" si="374"/>
        <v>66789.671589333419</v>
      </c>
      <c r="S160" s="92">
        <f t="shared" si="374"/>
        <v>19431.717516799999</v>
      </c>
      <c r="T160" s="97">
        <f t="shared" si="374"/>
        <v>21258.391048639998</v>
      </c>
      <c r="U160" s="97">
        <f t="shared" si="374"/>
        <v>25270.302660992005</v>
      </c>
      <c r="V160" s="97">
        <f t="shared" si="374"/>
        <v>29357.697076157601</v>
      </c>
      <c r="W160" s="146">
        <f t="shared" si="374"/>
        <v>95318.108302589579</v>
      </c>
      <c r="X160" s="92">
        <f t="shared" si="374"/>
        <v>33575.549896995719</v>
      </c>
      <c r="Y160" s="97">
        <f t="shared" si="374"/>
        <v>35278.105849883621</v>
      </c>
      <c r="Z160" s="97">
        <f t="shared" si="374"/>
        <v>37067.31741560802</v>
      </c>
      <c r="AA160" s="97">
        <f t="shared" si="374"/>
        <v>38947.60140464631</v>
      </c>
      <c r="AB160" s="146">
        <f t="shared" si="374"/>
        <v>144868.57456713353</v>
      </c>
      <c r="AC160" s="92">
        <f t="shared" si="374"/>
        <v>46782.753440275046</v>
      </c>
      <c r="AD160" s="97">
        <f t="shared" si="374"/>
        <v>49174.821965935866</v>
      </c>
      <c r="AE160" s="97">
        <f t="shared" si="374"/>
        <v>51689.616864830321</v>
      </c>
      <c r="AF160" s="97">
        <f t="shared" si="374"/>
        <v>54333.446217702367</v>
      </c>
      <c r="AG160" s="146">
        <f t="shared" si="374"/>
        <v>201980.6384887434</v>
      </c>
      <c r="AH160" s="92">
        <f t="shared" si="374"/>
        <v>60451.115750576995</v>
      </c>
      <c r="AI160" s="97">
        <f t="shared" si="374"/>
        <v>63554.817542866847</v>
      </c>
      <c r="AJ160" s="97">
        <f t="shared" si="374"/>
        <v>66818.379205033038</v>
      </c>
      <c r="AK160" s="97">
        <f t="shared" si="374"/>
        <v>70250.050843483798</v>
      </c>
      <c r="AL160" s="146">
        <f t="shared" si="374"/>
        <v>261074.36334196085</v>
      </c>
      <c r="AM160" s="92">
        <f t="shared" si="374"/>
        <v>73858.509211158045</v>
      </c>
      <c r="AN160" s="97">
        <f t="shared" si="374"/>
        <v>77652.879817618523</v>
      </c>
      <c r="AO160" s="97">
        <f t="shared" si="374"/>
        <v>81642.76018742664</v>
      </c>
      <c r="AP160" s="97">
        <f t="shared" si="374"/>
        <v>85838.244326566171</v>
      </c>
      <c r="AQ160" s="146">
        <f t="shared" si="374"/>
        <v>318992.39354276925</v>
      </c>
    </row>
    <row r="161" spans="2:43" s="40" customFormat="1" ht="29.55" customHeight="1" outlineLevel="1" x14ac:dyDescent="0.3">
      <c r="B161" s="473" t="s">
        <v>71</v>
      </c>
      <c r="C161" s="474"/>
      <c r="D161" s="92"/>
      <c r="E161" s="97"/>
      <c r="F161" s="97"/>
      <c r="G161" s="147"/>
      <c r="H161" s="95"/>
      <c r="I161" s="92"/>
      <c r="J161" s="97"/>
      <c r="K161" s="97"/>
      <c r="L161" s="97"/>
      <c r="M161" s="146"/>
      <c r="N161" s="248"/>
      <c r="O161" s="181"/>
      <c r="P161" s="177"/>
      <c r="Q161" s="177"/>
      <c r="R161" s="222"/>
      <c r="S161" s="203"/>
      <c r="T161" s="177"/>
      <c r="U161" s="177"/>
      <c r="V161" s="177"/>
      <c r="W161" s="222"/>
      <c r="X161" s="203"/>
      <c r="Y161" s="177"/>
      <c r="Z161" s="177"/>
      <c r="AA161" s="177"/>
      <c r="AB161" s="222"/>
      <c r="AC161" s="203"/>
      <c r="AD161" s="177"/>
      <c r="AE161" s="177"/>
      <c r="AF161" s="177"/>
      <c r="AG161" s="222"/>
      <c r="AH161" s="203"/>
      <c r="AI161" s="177"/>
      <c r="AJ161" s="177"/>
      <c r="AK161" s="177"/>
      <c r="AL161" s="222"/>
      <c r="AM161" s="203"/>
      <c r="AN161" s="177"/>
      <c r="AO161" s="177"/>
      <c r="AP161" s="177"/>
      <c r="AQ161" s="222"/>
    </row>
    <row r="162" spans="2:43" s="40" customFormat="1" outlineLevel="1" x14ac:dyDescent="0.3">
      <c r="B162" s="185" t="s">
        <v>125</v>
      </c>
      <c r="C162" s="186"/>
      <c r="D162" s="92">
        <v>5279</v>
      </c>
      <c r="E162" s="97">
        <f>10646-D162</f>
        <v>5367</v>
      </c>
      <c r="F162" s="97">
        <f>15497-E162-D162</f>
        <v>4851</v>
      </c>
      <c r="G162" s="97">
        <f>20470-F162-E162-D162</f>
        <v>4973</v>
      </c>
      <c r="H162" s="95">
        <f>SUM(D162:G162)</f>
        <v>20470</v>
      </c>
      <c r="I162" s="92">
        <v>5208</v>
      </c>
      <c r="J162" s="97">
        <f>10477-I162</f>
        <v>5269</v>
      </c>
      <c r="K162" s="97">
        <f>15964-J162-I162</f>
        <v>5487</v>
      </c>
      <c r="L162" s="97">
        <f>21279-K162-J162-I162</f>
        <v>5315</v>
      </c>
      <c r="M162" s="146">
        <f>SUM(I162:L162)</f>
        <v>21279</v>
      </c>
      <c r="N162" s="248">
        <v>5462</v>
      </c>
      <c r="O162" s="181">
        <f>11087-N162</f>
        <v>5625</v>
      </c>
      <c r="P162" s="181">
        <f>16762-O162-N162</f>
        <v>5675</v>
      </c>
      <c r="Q162" s="203">
        <f>Q16*Q102</f>
        <v>5799.4032000000007</v>
      </c>
      <c r="R162" s="202">
        <f t="shared" ref="R162:R169" si="375">SUM(N162:Q162)</f>
        <v>22561.403200000001</v>
      </c>
      <c r="S162" s="203">
        <f t="shared" ref="S162:AK162" si="376">S16*S102</f>
        <v>4463.374296</v>
      </c>
      <c r="T162" s="203">
        <f t="shared" si="376"/>
        <v>4686.5430107999991</v>
      </c>
      <c r="U162" s="203">
        <f t="shared" si="376"/>
        <v>4920.8701613399999</v>
      </c>
      <c r="V162" s="203">
        <f t="shared" si="376"/>
        <v>5166.9136694070003</v>
      </c>
      <c r="W162" s="202">
        <f>SUM(S162:V162)</f>
        <v>19237.701137546999</v>
      </c>
      <c r="X162" s="203">
        <f t="shared" si="376"/>
        <v>3621.5414064383408</v>
      </c>
      <c r="Y162" s="203">
        <f t="shared" si="376"/>
        <v>3807.5789156956366</v>
      </c>
      <c r="Z162" s="203">
        <f t="shared" si="376"/>
        <v>4003.1911245572433</v>
      </c>
      <c r="AA162" s="203">
        <f t="shared" si="376"/>
        <v>4208.871773331156</v>
      </c>
      <c r="AB162" s="202">
        <f>SUM(X162:AA162)</f>
        <v>15641.183220022376</v>
      </c>
      <c r="AC162" s="203">
        <f t="shared" si="376"/>
        <v>4425.1401146337976</v>
      </c>
      <c r="AD162" s="203">
        <f t="shared" si="376"/>
        <v>4652.5422343965547</v>
      </c>
      <c r="AE162" s="203">
        <f t="shared" si="376"/>
        <v>4891.652441419159</v>
      </c>
      <c r="AF162" s="203">
        <f t="shared" si="376"/>
        <v>5143.0747290345462</v>
      </c>
      <c r="AG162" s="202">
        <f>SUM(AC162:AF162)</f>
        <v>19112.409519484056</v>
      </c>
      <c r="AH162" s="203">
        <f t="shared" si="376"/>
        <v>5407.4443126356464</v>
      </c>
      <c r="AI162" s="203">
        <f t="shared" si="376"/>
        <v>5685.4292470100172</v>
      </c>
      <c r="AJ162" s="203">
        <f t="shared" si="376"/>
        <v>5977.7321276339489</v>
      </c>
      <c r="AK162" s="203">
        <f t="shared" si="376"/>
        <v>6285.0918802941151</v>
      </c>
      <c r="AL162" s="202">
        <f>SUM(AH162:AK162)</f>
        <v>23355.69756757373</v>
      </c>
      <c r="AM162" s="203">
        <f t="shared" ref="AM162:AP162" si="377">AM16*AM102</f>
        <v>6608.2856436326065</v>
      </c>
      <c r="AN162" s="203">
        <f t="shared" si="377"/>
        <v>6948.1307494508301</v>
      </c>
      <c r="AO162" s="203">
        <f t="shared" si="377"/>
        <v>7305.4868058599777</v>
      </c>
      <c r="AP162" s="203">
        <f t="shared" si="377"/>
        <v>7681.2578886310957</v>
      </c>
      <c r="AQ162" s="202">
        <f>SUM(AM162:AP162)</f>
        <v>28543.16108757451</v>
      </c>
    </row>
    <row r="163" spans="2:43" s="40" customFormat="1" outlineLevel="1" x14ac:dyDescent="0.3">
      <c r="B163" s="451" t="s">
        <v>72</v>
      </c>
      <c r="C163" s="452"/>
      <c r="D163" s="92">
        <v>6633</v>
      </c>
      <c r="E163" s="97">
        <f>12951-D163</f>
        <v>6318</v>
      </c>
      <c r="F163" s="97">
        <f>19796-E163-D163</f>
        <v>6845</v>
      </c>
      <c r="G163" s="97">
        <f>26696-F163-E163-D163</f>
        <v>6900</v>
      </c>
      <c r="H163" s="95">
        <f>SUM(D163:G163)</f>
        <v>26696</v>
      </c>
      <c r="I163" s="92">
        <v>6566</v>
      </c>
      <c r="J163" s="97">
        <f>13496-I163</f>
        <v>6930</v>
      </c>
      <c r="K163" s="97">
        <f>20406-J163-I163</f>
        <v>6910</v>
      </c>
      <c r="L163" s="97">
        <f>27457-K163-J163-I163</f>
        <v>7051</v>
      </c>
      <c r="M163" s="146">
        <f>SUM(I163:L163)</f>
        <v>27457</v>
      </c>
      <c r="N163" s="92">
        <v>6847</v>
      </c>
      <c r="O163" s="97">
        <f>13598-N163</f>
        <v>6751</v>
      </c>
      <c r="P163" s="97">
        <f>20322-O163-N163</f>
        <v>6724</v>
      </c>
      <c r="Q163" s="181">
        <f>AVERAGE(O115,P115)*Q211+AVERAGE(O116,P116)*Q212</f>
        <v>6853.94</v>
      </c>
      <c r="R163" s="146">
        <f t="shared" si="375"/>
        <v>27175.94</v>
      </c>
      <c r="S163" s="181">
        <f>AVERAGE(Q115,P115)*S211+AVERAGE(P116,Q116)*S212</f>
        <v>6653.4393499999996</v>
      </c>
      <c r="T163" s="181">
        <f>AVERAGE(S115,Q115)*T211+AVERAGE(S116,Q116)*T212</f>
        <v>6443.5888377499996</v>
      </c>
      <c r="U163" s="181">
        <f>AVERAGE(S115,T115)*U211+AVERAGE(S116,T116)*U212</f>
        <v>6243.9560363412502</v>
      </c>
      <c r="V163" s="181">
        <f>AVERAGE(T115,U115)*V211+AVERAGE(T116,U116)*V212</f>
        <v>6054.4420490261191</v>
      </c>
      <c r="W163" s="146">
        <f>SUM(S163:V163)</f>
        <v>25395.426273117366</v>
      </c>
      <c r="X163" s="181">
        <f>AVERAGE(V115,U115)*X211+AVERAGE(U116,V116)*X212</f>
        <v>5874.5400560508633</v>
      </c>
      <c r="Y163" s="181">
        <f>AVERAGE(X115,V115)*Y211+AVERAGE(X116,V116)*Y212</f>
        <v>5706.8066366459052</v>
      </c>
      <c r="Z163" s="181">
        <f>AVERAGE(X115,Y115)*Z211+AVERAGE(X116,Y116)*Z212</f>
        <v>5553.8994616266455</v>
      </c>
      <c r="AA163" s="181">
        <f>AVERAGE(Y115,Z115)*AA211+AVERAGE(Y116,Z116)*AA212</f>
        <v>5415.4582927127894</v>
      </c>
      <c r="AB163" s="146">
        <f>SUM(X163:AA163)</f>
        <v>22550.704447036202</v>
      </c>
      <c r="AC163" s="181">
        <f>AVERAGE(AA115,Z115)*AC211+AVERAGE(Z116,AA116)*AC212</f>
        <v>5291.0810285138496</v>
      </c>
      <c r="AD163" s="181">
        <f>AVERAGE(AC115,AA115)*AD211+AVERAGE(AC116,AA116)*AD212</f>
        <v>5180.4009806794547</v>
      </c>
      <c r="AE163" s="181">
        <f>AVERAGE(AC115,AD115)*AE211+AVERAGE(AC116,AD116)*AE212</f>
        <v>5083.0878560245219</v>
      </c>
      <c r="AF163" s="181">
        <f>AVERAGE(AD115,AE115)*AF211+AVERAGE(AD116,AE116)*AF212</f>
        <v>4998.8468231776587</v>
      </c>
      <c r="AG163" s="146">
        <f>SUM(AC163:AF163)</f>
        <v>20553.416688395482</v>
      </c>
      <c r="AH163" s="181">
        <f>AVERAGE(AF115,AE115)*AH211+AVERAGE(AE116,AF116)*AH212</f>
        <v>4927.4176210406076</v>
      </c>
      <c r="AI163" s="181">
        <f>AVERAGE(AH115,AF115)*AI211+AVERAGE(AH116,AF116)*AI212</f>
        <v>4868.5737580531768</v>
      </c>
      <c r="AJ163" s="181">
        <f>AVERAGE(AH115,AI115)*AJ211+AVERAGE(AH116,AI116)*AJ212</f>
        <v>4822.1218012086165</v>
      </c>
      <c r="AK163" s="181">
        <f>AVERAGE(AI115,AJ115)*AK211+AVERAGE(AI116,AJ116)*AK212</f>
        <v>4787.9007526789355</v>
      </c>
      <c r="AL163" s="146">
        <f>SUM(AH163:AK163)</f>
        <v>19406.013932981336</v>
      </c>
      <c r="AM163" s="181">
        <f>AVERAGE(AK115,AJ115)*AM211+AVERAGE(AJ116,AK116)*AM212</f>
        <v>4765.7815121081794</v>
      </c>
      <c r="AN163" s="181">
        <f>AVERAGE(AM115,AK115)*AN211+AVERAGE(AM116,AK116)*AN212</f>
        <v>4755.6664228583395</v>
      </c>
      <c r="AO163" s="181">
        <f>AVERAGE(AM115,AN115)*AO211+AVERAGE(AM116,AN116)*AO212</f>
        <v>4757.4889007147722</v>
      </c>
      <c r="AP163" s="181">
        <f>AVERAGE(AN115,AO115)*AP211+AVERAGE(AN116,AO116)*AP212</f>
        <v>4771.2131437756198</v>
      </c>
      <c r="AQ163" s="146">
        <f>SUM(AM163:AP163)</f>
        <v>19050.14997945691</v>
      </c>
    </row>
    <row r="164" spans="2:43" s="40" customFormat="1" outlineLevel="1" x14ac:dyDescent="0.3">
      <c r="B164" s="142" t="s">
        <v>126</v>
      </c>
      <c r="C164" s="143"/>
      <c r="D164" s="92">
        <v>0</v>
      </c>
      <c r="E164" s="97">
        <f>0-D164</f>
        <v>0</v>
      </c>
      <c r="F164" s="97">
        <f>0-E164-D164</f>
        <v>0</v>
      </c>
      <c r="G164" s="97">
        <f>0-F164-E164-D164</f>
        <v>0</v>
      </c>
      <c r="H164" s="95">
        <f>SUM(D164:G164)</f>
        <v>0</v>
      </c>
      <c r="I164" s="92">
        <v>0</v>
      </c>
      <c r="J164" s="97">
        <f>0-I164</f>
        <v>0</v>
      </c>
      <c r="K164" s="97">
        <f>0-J164-I164</f>
        <v>0</v>
      </c>
      <c r="L164" s="97">
        <f>0-K164-J164-I164</f>
        <v>0</v>
      </c>
      <c r="M164" s="146">
        <f>SUM(I164:L164)</f>
        <v>0</v>
      </c>
      <c r="N164" s="92">
        <v>0</v>
      </c>
      <c r="O164" s="97">
        <f>0-N164</f>
        <v>0</v>
      </c>
      <c r="P164" s="181">
        <f>0-O164-N164</f>
        <v>0</v>
      </c>
      <c r="Q164" s="181"/>
      <c r="R164" s="146">
        <f t="shared" si="375"/>
        <v>0</v>
      </c>
      <c r="S164" s="203"/>
      <c r="T164" s="177"/>
      <c r="U164" s="177"/>
      <c r="V164" s="177"/>
      <c r="W164" s="222"/>
      <c r="X164" s="203"/>
      <c r="Y164" s="177"/>
      <c r="Z164" s="177"/>
      <c r="AA164" s="177"/>
      <c r="AB164" s="222"/>
      <c r="AC164" s="203"/>
      <c r="AD164" s="177"/>
      <c r="AE164" s="177"/>
      <c r="AF164" s="177"/>
      <c r="AG164" s="222"/>
      <c r="AH164" s="203"/>
      <c r="AI164" s="177"/>
      <c r="AJ164" s="177"/>
      <c r="AK164" s="177"/>
      <c r="AL164" s="222"/>
      <c r="AM164" s="203"/>
      <c r="AN164" s="177"/>
      <c r="AO164" s="177"/>
      <c r="AP164" s="177"/>
      <c r="AQ164" s="222"/>
    </row>
    <row r="165" spans="2:43" s="40" customFormat="1" outlineLevel="1" x14ac:dyDescent="0.3">
      <c r="B165" s="211" t="s">
        <v>156</v>
      </c>
      <c r="C165" s="212"/>
      <c r="D165" s="92"/>
      <c r="E165" s="97"/>
      <c r="F165" s="97">
        <v>341</v>
      </c>
      <c r="G165" s="97">
        <f>445-F165-E165-D165</f>
        <v>104</v>
      </c>
      <c r="H165" s="95">
        <f>SUM(D165:G165)</f>
        <v>445</v>
      </c>
      <c r="I165" s="92"/>
      <c r="J165" s="97"/>
      <c r="K165" s="97"/>
      <c r="L165" s="97">
        <f>702-K165-J165-I165</f>
        <v>702</v>
      </c>
      <c r="M165" s="146">
        <f>SUM(I165:L165)</f>
        <v>702</v>
      </c>
      <c r="N165" s="92"/>
      <c r="O165" s="97"/>
      <c r="P165" s="181"/>
      <c r="Q165" s="181"/>
      <c r="R165" s="146">
        <f t="shared" si="375"/>
        <v>0</v>
      </c>
      <c r="S165" s="203"/>
      <c r="T165" s="177"/>
      <c r="U165" s="177"/>
      <c r="V165" s="177"/>
      <c r="W165" s="222"/>
      <c r="X165" s="203"/>
      <c r="Y165" s="177"/>
      <c r="Z165" s="177"/>
      <c r="AA165" s="177"/>
      <c r="AB165" s="222"/>
      <c r="AC165" s="203"/>
      <c r="AD165" s="177"/>
      <c r="AE165" s="177"/>
      <c r="AF165" s="177"/>
      <c r="AG165" s="222"/>
      <c r="AH165" s="203"/>
      <c r="AI165" s="177"/>
      <c r="AJ165" s="177"/>
      <c r="AK165" s="177"/>
      <c r="AL165" s="222"/>
      <c r="AM165" s="203"/>
      <c r="AN165" s="177"/>
      <c r="AO165" s="177"/>
      <c r="AP165" s="177"/>
      <c r="AQ165" s="222"/>
    </row>
    <row r="166" spans="2:43" s="40" customFormat="1" outlineLevel="1" x14ac:dyDescent="0.3">
      <c r="B166" s="73" t="s">
        <v>127</v>
      </c>
      <c r="C166" s="74"/>
      <c r="D166" s="92">
        <v>-401</v>
      </c>
      <c r="E166" s="93">
        <f>-1497-D166</f>
        <v>-1096</v>
      </c>
      <c r="F166" s="93">
        <f>-724-E166-D166</f>
        <v>773</v>
      </c>
      <c r="G166" s="97">
        <f>-1581-F166-E166-D166</f>
        <v>-857</v>
      </c>
      <c r="H166" s="95">
        <f>SUM(D166:G166)</f>
        <v>-1581</v>
      </c>
      <c r="I166" s="148">
        <v>-816</v>
      </c>
      <c r="J166" s="93">
        <f>-657-I166</f>
        <v>159</v>
      </c>
      <c r="K166" s="93">
        <f>2190-J166-I166</f>
        <v>2847</v>
      </c>
      <c r="L166" s="97">
        <f>909-K166-J166-I166</f>
        <v>-1281</v>
      </c>
      <c r="M166" s="146">
        <f>SUM(I166:L166)</f>
        <v>909</v>
      </c>
      <c r="N166" s="248">
        <v>-568</v>
      </c>
      <c r="O166" s="181">
        <f>-497-N166</f>
        <v>71</v>
      </c>
      <c r="P166" s="181">
        <f>-505-O166-N166</f>
        <v>-8</v>
      </c>
      <c r="Q166" s="181"/>
      <c r="R166" s="146">
        <f t="shared" si="375"/>
        <v>-505</v>
      </c>
      <c r="S166" s="203"/>
      <c r="T166" s="177"/>
      <c r="U166" s="177"/>
      <c r="V166" s="177"/>
      <c r="W166" s="222"/>
      <c r="X166" s="203"/>
      <c r="Y166" s="177"/>
      <c r="Z166" s="177"/>
      <c r="AA166" s="177"/>
      <c r="AB166" s="222"/>
      <c r="AC166" s="203"/>
      <c r="AD166" s="177"/>
      <c r="AE166" s="177"/>
      <c r="AF166" s="177"/>
      <c r="AG166" s="222"/>
      <c r="AH166" s="203"/>
      <c r="AI166" s="177"/>
      <c r="AJ166" s="177"/>
      <c r="AK166" s="177"/>
      <c r="AL166" s="222"/>
      <c r="AM166" s="203"/>
      <c r="AN166" s="177"/>
      <c r="AO166" s="177"/>
      <c r="AP166" s="177"/>
      <c r="AQ166" s="222"/>
    </row>
    <row r="167" spans="2:43" s="40" customFormat="1" outlineLevel="1" x14ac:dyDescent="0.3">
      <c r="B167" s="98" t="s">
        <v>128</v>
      </c>
      <c r="C167" s="99"/>
      <c r="D167" s="92">
        <v>-2818</v>
      </c>
      <c r="E167" s="97">
        <f>-4436-D167</f>
        <v>-1618</v>
      </c>
      <c r="F167" s="97">
        <f>-190-E167-D167</f>
        <v>4246</v>
      </c>
      <c r="G167" s="97">
        <f>4682-F167-E167-D167</f>
        <v>4872</v>
      </c>
      <c r="H167" s="95">
        <f t="shared" ref="H167" si="378">SUM(D167:G167)</f>
        <v>4682</v>
      </c>
      <c r="I167" s="92">
        <v>1996</v>
      </c>
      <c r="J167" s="97">
        <f>2534-I167</f>
        <v>538</v>
      </c>
      <c r="K167" s="97">
        <f>-3445-J167-I167</f>
        <v>-5979</v>
      </c>
      <c r="L167" s="97">
        <f>-107-K167-J167-I167</f>
        <v>3338</v>
      </c>
      <c r="M167" s="146">
        <f t="shared" ref="M167:M168" si="379">SUM(I167:L167)</f>
        <v>-107</v>
      </c>
      <c r="N167" s="92">
        <v>-923</v>
      </c>
      <c r="O167" s="97">
        <f>-1256-N167</f>
        <v>-333</v>
      </c>
      <c r="P167" s="181">
        <f>-3910-O167-N167</f>
        <v>-2654</v>
      </c>
      <c r="Q167" s="181"/>
      <c r="R167" s="146">
        <f t="shared" si="375"/>
        <v>-3910</v>
      </c>
      <c r="S167" s="203"/>
      <c r="T167" s="177"/>
      <c r="U167" s="177"/>
      <c r="V167" s="177"/>
      <c r="W167" s="222"/>
      <c r="X167" s="203"/>
      <c r="Y167" s="177"/>
      <c r="Z167" s="177"/>
      <c r="AA167" s="177"/>
      <c r="AB167" s="222"/>
      <c r="AC167" s="203"/>
      <c r="AD167" s="177"/>
      <c r="AE167" s="177"/>
      <c r="AF167" s="177"/>
      <c r="AG167" s="222"/>
      <c r="AH167" s="203"/>
      <c r="AI167" s="177"/>
      <c r="AJ167" s="177"/>
      <c r="AK167" s="177"/>
      <c r="AL167" s="222"/>
      <c r="AM167" s="203"/>
      <c r="AN167" s="177"/>
      <c r="AO167" s="177"/>
      <c r="AP167" s="177"/>
      <c r="AQ167" s="222"/>
    </row>
    <row r="168" spans="2:43" s="40" customFormat="1" outlineLevel="1" x14ac:dyDescent="0.3">
      <c r="B168" s="211" t="s">
        <v>158</v>
      </c>
      <c r="C168" s="212"/>
      <c r="D168" s="92"/>
      <c r="E168" s="97"/>
      <c r="F168" s="97"/>
      <c r="G168" s="97"/>
      <c r="H168" s="95"/>
      <c r="I168" s="92">
        <v>0</v>
      </c>
      <c r="J168" s="97">
        <v>0</v>
      </c>
      <c r="K168" s="97">
        <v>0</v>
      </c>
      <c r="L168" s="97">
        <f>5199-K168-J168-I168</f>
        <v>5199</v>
      </c>
      <c r="M168" s="146">
        <f t="shared" si="379"/>
        <v>5199</v>
      </c>
      <c r="N168" s="92">
        <v>0</v>
      </c>
      <c r="O168" s="97">
        <v>0</v>
      </c>
      <c r="P168" s="181">
        <v>0</v>
      </c>
      <c r="Q168" s="181"/>
      <c r="R168" s="146">
        <f t="shared" si="375"/>
        <v>0</v>
      </c>
      <c r="S168" s="203"/>
      <c r="T168" s="177"/>
      <c r="U168" s="177"/>
      <c r="V168" s="177"/>
      <c r="W168" s="222"/>
      <c r="X168" s="203"/>
      <c r="Y168" s="177"/>
      <c r="Z168" s="177"/>
      <c r="AA168" s="177"/>
      <c r="AB168" s="222"/>
      <c r="AC168" s="203"/>
      <c r="AD168" s="177"/>
      <c r="AE168" s="177"/>
      <c r="AF168" s="177"/>
      <c r="AG168" s="222"/>
      <c r="AH168" s="203"/>
      <c r="AI168" s="177"/>
      <c r="AJ168" s="177"/>
      <c r="AK168" s="177"/>
      <c r="AL168" s="222"/>
      <c r="AM168" s="203"/>
      <c r="AN168" s="177"/>
      <c r="AO168" s="177"/>
      <c r="AP168" s="177"/>
      <c r="AQ168" s="222"/>
    </row>
    <row r="169" spans="2:43" s="40" customFormat="1" ht="15.6" customHeight="1" outlineLevel="1" x14ac:dyDescent="0.3">
      <c r="B169" s="455" t="s">
        <v>129</v>
      </c>
      <c r="C169" s="456"/>
      <c r="D169" s="92">
        <v>-163</v>
      </c>
      <c r="E169" s="93">
        <f>878-D169</f>
        <v>1041</v>
      </c>
      <c r="F169" s="93">
        <f>728-E169-D169</f>
        <v>-150</v>
      </c>
      <c r="G169" s="97">
        <f>777-F169-E169-D169</f>
        <v>49</v>
      </c>
      <c r="H169" s="95">
        <f>SUM(D169:G169)</f>
        <v>777</v>
      </c>
      <c r="I169" s="148">
        <v>1499</v>
      </c>
      <c r="J169" s="93">
        <f>1415-I169</f>
        <v>-84</v>
      </c>
      <c r="K169" s="93">
        <f>1259-J169-I169</f>
        <v>-156</v>
      </c>
      <c r="L169" s="97">
        <f>1732-K169-J169-I169</f>
        <v>473</v>
      </c>
      <c r="M169" s="146">
        <f>SUM(I169:L169)</f>
        <v>1732</v>
      </c>
      <c r="N169" s="92">
        <v>-1334</v>
      </c>
      <c r="O169" s="181">
        <f>-1670-N169</f>
        <v>-336</v>
      </c>
      <c r="P169" s="181">
        <f>-1226-O169-N169</f>
        <v>444</v>
      </c>
      <c r="Q169" s="181"/>
      <c r="R169" s="146">
        <f t="shared" si="375"/>
        <v>-1226</v>
      </c>
      <c r="S169" s="203"/>
      <c r="T169" s="177"/>
      <c r="U169" s="177"/>
      <c r="V169" s="177"/>
      <c r="W169" s="222"/>
      <c r="X169" s="203"/>
      <c r="Y169" s="177"/>
      <c r="Z169" s="177"/>
      <c r="AA169" s="177"/>
      <c r="AB169" s="222"/>
      <c r="AC169" s="203"/>
      <c r="AD169" s="177"/>
      <c r="AE169" s="177"/>
      <c r="AF169" s="177"/>
      <c r="AG169" s="222"/>
      <c r="AH169" s="203"/>
      <c r="AI169" s="177"/>
      <c r="AJ169" s="177"/>
      <c r="AK169" s="177"/>
      <c r="AL169" s="222"/>
      <c r="AM169" s="203"/>
      <c r="AN169" s="177"/>
      <c r="AO169" s="177"/>
      <c r="AP169" s="177"/>
      <c r="AQ169" s="222"/>
    </row>
    <row r="170" spans="2:43" s="40" customFormat="1" outlineLevel="1" x14ac:dyDescent="0.3">
      <c r="B170" s="465" t="s">
        <v>73</v>
      </c>
      <c r="C170" s="466"/>
      <c r="D170" s="92"/>
      <c r="E170" s="93"/>
      <c r="F170" s="93"/>
      <c r="G170" s="94"/>
      <c r="H170" s="95"/>
      <c r="I170" s="148"/>
      <c r="J170" s="93"/>
      <c r="K170" s="93"/>
      <c r="L170" s="97"/>
      <c r="M170" s="146"/>
      <c r="N170" s="248"/>
      <c r="O170" s="181"/>
      <c r="P170" s="181"/>
      <c r="Q170" s="181"/>
      <c r="R170" s="146"/>
      <c r="S170" s="203"/>
      <c r="T170" s="177"/>
      <c r="U170" s="177"/>
      <c r="V170" s="177"/>
      <c r="W170" s="222"/>
      <c r="X170" s="203"/>
      <c r="Y170" s="177"/>
      <c r="Z170" s="177"/>
      <c r="AA170" s="177"/>
      <c r="AB170" s="222"/>
      <c r="AC170" s="203"/>
      <c r="AD170" s="177"/>
      <c r="AE170" s="177"/>
      <c r="AF170" s="177"/>
      <c r="AG170" s="222"/>
      <c r="AH170" s="203"/>
      <c r="AI170" s="177"/>
      <c r="AJ170" s="177"/>
      <c r="AK170" s="177"/>
      <c r="AL170" s="222"/>
      <c r="AM170" s="203"/>
      <c r="AN170" s="177"/>
      <c r="AO170" s="177"/>
      <c r="AP170" s="177"/>
      <c r="AQ170" s="222"/>
    </row>
    <row r="171" spans="2:43" s="40" customFormat="1" outlineLevel="1" x14ac:dyDescent="0.3">
      <c r="B171" s="451" t="s">
        <v>134</v>
      </c>
      <c r="C171" s="452"/>
      <c r="D171" s="92">
        <v>-7098</v>
      </c>
      <c r="E171" s="97">
        <f>261-D171</f>
        <v>7359</v>
      </c>
      <c r="F171" s="97">
        <f>-959-E171-D171</f>
        <v>-1220</v>
      </c>
      <c r="G171" s="97">
        <f>3486-F171-E171-D171</f>
        <v>4445</v>
      </c>
      <c r="H171" s="95">
        <f t="shared" ref="H171:H178" si="380">SUM(D171:G171)</f>
        <v>3486</v>
      </c>
      <c r="I171" s="92">
        <v>36884</v>
      </c>
      <c r="J171" s="97">
        <f>41359-I171</f>
        <v>4475</v>
      </c>
      <c r="K171" s="97">
        <f>43775-J171-I171</f>
        <v>2416</v>
      </c>
      <c r="L171" s="97">
        <f>49261-K171-J171-I171</f>
        <v>5486</v>
      </c>
      <c r="M171" s="95">
        <f t="shared" ref="M171:M176" si="381">SUM(I171:L171)</f>
        <v>49261</v>
      </c>
      <c r="N171" s="92">
        <v>23895</v>
      </c>
      <c r="O171" s="181">
        <f>34700-N171</f>
        <v>10805</v>
      </c>
      <c r="P171" s="181">
        <f>37610-O171-N171</f>
        <v>2910</v>
      </c>
      <c r="Q171" s="181">
        <f>-(Q109-P109)</f>
        <v>-5537.9607462905406</v>
      </c>
      <c r="R171" s="95">
        <f t="shared" ref="R171:R178" si="382">SUM(N171:Q171)</f>
        <v>32072.039253709459</v>
      </c>
      <c r="S171" s="181">
        <f>-(S109-Q109)</f>
        <v>-286.60306398937246</v>
      </c>
      <c r="T171" s="181">
        <f t="shared" ref="T171:V173" si="383">-(T109-S109)</f>
        <v>-11133.523163839156</v>
      </c>
      <c r="U171" s="181">
        <f t="shared" si="383"/>
        <v>-857.60937538082362</v>
      </c>
      <c r="V171" s="181">
        <f t="shared" si="383"/>
        <v>-11733.07979080017</v>
      </c>
      <c r="W171" s="95">
        <f t="shared" ref="W171:W177" si="384">SUM(S171:V171)</f>
        <v>-24010.815394009522</v>
      </c>
      <c r="X171" s="181">
        <f>-(X109-V109)</f>
        <v>-1848.0518254564377</v>
      </c>
      <c r="Y171" s="181">
        <f t="shared" ref="Y171:AA173" si="385">-(Y109-X109)</f>
        <v>-12431.986311160086</v>
      </c>
      <c r="Z171" s="181">
        <f t="shared" si="385"/>
        <v>-2582.9954185095849</v>
      </c>
      <c r="AA171" s="181">
        <f t="shared" si="385"/>
        <v>-13204.828876608051</v>
      </c>
      <c r="AB171" s="95">
        <f t="shared" ref="AB171:AB177" si="386">SUM(X171:AA171)</f>
        <v>-30067.86243173416</v>
      </c>
      <c r="AC171" s="181">
        <f>-(AC109-AA109)</f>
        <v>-3395.6952535730088</v>
      </c>
      <c r="AD171" s="181">
        <f t="shared" ref="AD171:AF173" si="387">-(AD109-AC109)</f>
        <v>-14059.445677541546</v>
      </c>
      <c r="AE171" s="181">
        <f t="shared" si="387"/>
        <v>-4294.3953772465466</v>
      </c>
      <c r="AF171" s="181">
        <f t="shared" si="387"/>
        <v>-15004.507676640118</v>
      </c>
      <c r="AG171" s="95">
        <f t="shared" ref="AG171:AG177" si="388">SUM(AC171:AF171)</f>
        <v>-36754.043985001219</v>
      </c>
      <c r="AH171" s="181">
        <f>-(AH109-AF109)</f>
        <v>-5288.2158233499504</v>
      </c>
      <c r="AI171" s="181">
        <f t="shared" ref="AI171:AK173" si="389">-(AI109-AH109)</f>
        <v>-16049.60728618619</v>
      </c>
      <c r="AJ171" s="181">
        <f t="shared" si="389"/>
        <v>-6387.2459022733383</v>
      </c>
      <c r="AK171" s="181">
        <f t="shared" si="389"/>
        <v>-17205.35650984518</v>
      </c>
      <c r="AL171" s="95">
        <f t="shared" ref="AL171:AL177" si="390">SUM(AH171:AK171)</f>
        <v>-44930.425521654659</v>
      </c>
      <c r="AM171" s="181">
        <f>-(AM109-AK109)</f>
        <v>-7602.6474481485202</v>
      </c>
      <c r="AN171" s="181">
        <f t="shared" ref="AN171:AN173" si="391">-(AN109-AM109)</f>
        <v>-18483.495561403775</v>
      </c>
      <c r="AO171" s="181">
        <f t="shared" ref="AO171:AO173" si="392">-(AO109-AN109)</f>
        <v>-8946.7690892362734</v>
      </c>
      <c r="AP171" s="181">
        <f t="shared" ref="AP171:AP173" si="393">-(AP109-AO109)</f>
        <v>-19897.013081529527</v>
      </c>
      <c r="AQ171" s="95">
        <f t="shared" ref="AQ171:AQ177" si="394">SUM(AM171:AP171)</f>
        <v>-54929.925180318096</v>
      </c>
    </row>
    <row r="172" spans="2:43" s="40" customFormat="1" outlineLevel="1" x14ac:dyDescent="0.3">
      <c r="B172" s="471" t="s">
        <v>93</v>
      </c>
      <c r="C172" s="472"/>
      <c r="D172" s="92">
        <v>-4157</v>
      </c>
      <c r="E172" s="97">
        <f>-4824-D172</f>
        <v>-667</v>
      </c>
      <c r="F172" s="97">
        <f>-3053-E172-D172</f>
        <v>1771</v>
      </c>
      <c r="G172" s="97">
        <f>2894-F172-E172-D172</f>
        <v>5947</v>
      </c>
      <c r="H172" s="95">
        <f t="shared" si="380"/>
        <v>2894</v>
      </c>
      <c r="I172" s="92">
        <v>-5937</v>
      </c>
      <c r="J172" s="97">
        <f>-4045-I172</f>
        <v>1892</v>
      </c>
      <c r="K172" s="97">
        <f>-138-J172-I172</f>
        <v>3907</v>
      </c>
      <c r="L172" s="97">
        <f>3049-K172-J172-I172</f>
        <v>3187</v>
      </c>
      <c r="M172" s="95">
        <f t="shared" si="381"/>
        <v>3049</v>
      </c>
      <c r="N172" s="249">
        <v>-916</v>
      </c>
      <c r="O172" s="181">
        <f>805-N172</f>
        <v>1721</v>
      </c>
      <c r="P172" s="181">
        <f>2995-O172-N172</f>
        <v>2190</v>
      </c>
      <c r="Q172" s="181">
        <f>-(Q110-P110)</f>
        <v>-1532.9141771000432</v>
      </c>
      <c r="R172" s="95">
        <f t="shared" si="382"/>
        <v>1462.0858228999568</v>
      </c>
      <c r="S172" s="181">
        <f>-(S110-Q110)</f>
        <v>4895.1017737027432</v>
      </c>
      <c r="T172" s="181">
        <f t="shared" si="383"/>
        <v>-8537.5381027276017</v>
      </c>
      <c r="U172" s="181">
        <f t="shared" si="383"/>
        <v>4712.9799572514894</v>
      </c>
      <c r="V172" s="181">
        <f t="shared" si="383"/>
        <v>-8728.7660100014327</v>
      </c>
      <c r="W172" s="95">
        <f t="shared" si="384"/>
        <v>-7658.2223817748018</v>
      </c>
      <c r="X172" s="181">
        <f>-(X110-V110)</f>
        <v>4397.0794593066821</v>
      </c>
      <c r="Y172" s="181">
        <f t="shared" si="385"/>
        <v>-8951.68145327807</v>
      </c>
      <c r="Z172" s="181">
        <f t="shared" si="385"/>
        <v>4162.6700325003912</v>
      </c>
      <c r="AA172" s="181">
        <f t="shared" si="385"/>
        <v>-9198.1787144155678</v>
      </c>
      <c r="AB172" s="95">
        <f t="shared" si="386"/>
        <v>-9590.1106758865644</v>
      </c>
      <c r="AC172" s="181">
        <f>-(AC110-AA110)</f>
        <v>11869.418732201462</v>
      </c>
      <c r="AD172" s="181">
        <f t="shared" si="387"/>
        <v>-17027.356061700921</v>
      </c>
      <c r="AE172" s="181">
        <f t="shared" si="387"/>
        <v>11603.855770881637</v>
      </c>
      <c r="AF172" s="181">
        <f t="shared" si="387"/>
        <v>-17306.618806303159</v>
      </c>
      <c r="AG172" s="95">
        <f t="shared" si="388"/>
        <v>-10860.70036492098</v>
      </c>
      <c r="AH172" s="181">
        <f>-(AH110-AF110)</f>
        <v>13257.037605728721</v>
      </c>
      <c r="AI172" s="181">
        <f t="shared" si="389"/>
        <v>-19462.211432193901</v>
      </c>
      <c r="AJ172" s="181">
        <f t="shared" si="389"/>
        <v>12937.432712332375</v>
      </c>
      <c r="AK172" s="181">
        <f t="shared" si="389"/>
        <v>-19798.310611374065</v>
      </c>
      <c r="AL172" s="95">
        <f t="shared" si="390"/>
        <v>-13066.05172550687</v>
      </c>
      <c r="AM172" s="181">
        <f>-(AM110-AK110)</f>
        <v>12583.986260817881</v>
      </c>
      <c r="AN172" s="181">
        <f t="shared" si="391"/>
        <v>-20170.001526075182</v>
      </c>
      <c r="AO172" s="181">
        <f t="shared" si="392"/>
        <v>12193.107192037132</v>
      </c>
      <c r="AP172" s="181">
        <f t="shared" si="393"/>
        <v>-20581.061355098413</v>
      </c>
      <c r="AQ172" s="95">
        <f t="shared" si="394"/>
        <v>-15973.969428318582</v>
      </c>
    </row>
    <row r="173" spans="2:43" s="40" customFormat="1" outlineLevel="1" x14ac:dyDescent="0.3">
      <c r="B173" s="471" t="s">
        <v>130</v>
      </c>
      <c r="C173" s="472"/>
      <c r="D173" s="92">
        <v>-5109</v>
      </c>
      <c r="E173" s="97">
        <f>-10887-D173</f>
        <v>-5778</v>
      </c>
      <c r="F173" s="97">
        <f>-7041-E173-D173</f>
        <v>3846</v>
      </c>
      <c r="G173" s="97">
        <f>-10088-F173-E173-D173</f>
        <v>-3047</v>
      </c>
      <c r="H173" s="95">
        <f t="shared" si="380"/>
        <v>-10088</v>
      </c>
      <c r="I173" s="92">
        <v>8137</v>
      </c>
      <c r="J173" s="97">
        <f>-3078-I173</f>
        <v>-11215</v>
      </c>
      <c r="K173" s="97">
        <f>8039-J173-I173</f>
        <v>11117</v>
      </c>
      <c r="L173" s="97">
        <f>7744-K173-J173-I173</f>
        <v>-295</v>
      </c>
      <c r="M173" s="95">
        <f t="shared" si="381"/>
        <v>7744</v>
      </c>
      <c r="N173" s="249">
        <v>-254</v>
      </c>
      <c r="O173" s="181">
        <f>-2344-N173</f>
        <v>-2090</v>
      </c>
      <c r="P173" s="181">
        <f>4029-O173-N173</f>
        <v>6373</v>
      </c>
      <c r="Q173" s="181">
        <f>-(Q111-P111)</f>
        <v>0</v>
      </c>
      <c r="R173" s="95">
        <f t="shared" si="382"/>
        <v>4029</v>
      </c>
      <c r="S173" s="181">
        <f>-(S111-Q111)</f>
        <v>0</v>
      </c>
      <c r="T173" s="181">
        <f t="shared" si="383"/>
        <v>0</v>
      </c>
      <c r="U173" s="181">
        <f t="shared" si="383"/>
        <v>0</v>
      </c>
      <c r="V173" s="181">
        <f t="shared" si="383"/>
        <v>0</v>
      </c>
      <c r="W173" s="95">
        <f t="shared" si="384"/>
        <v>0</v>
      </c>
      <c r="X173" s="181">
        <f>-(X111-V111)</f>
        <v>0</v>
      </c>
      <c r="Y173" s="181">
        <f t="shared" si="385"/>
        <v>0</v>
      </c>
      <c r="Z173" s="181">
        <f t="shared" si="385"/>
        <v>0</v>
      </c>
      <c r="AA173" s="181">
        <f t="shared" si="385"/>
        <v>0</v>
      </c>
      <c r="AB173" s="95">
        <f t="shared" si="386"/>
        <v>0</v>
      </c>
      <c r="AC173" s="181">
        <f>-(AC111-AA111)</f>
        <v>0</v>
      </c>
      <c r="AD173" s="181">
        <f t="shared" si="387"/>
        <v>0</v>
      </c>
      <c r="AE173" s="181">
        <f t="shared" si="387"/>
        <v>0</v>
      </c>
      <c r="AF173" s="181">
        <f t="shared" si="387"/>
        <v>0</v>
      </c>
      <c r="AG173" s="95">
        <f t="shared" si="388"/>
        <v>0</v>
      </c>
      <c r="AH173" s="181">
        <f>-(AH111-AF111)</f>
        <v>0</v>
      </c>
      <c r="AI173" s="181">
        <f t="shared" si="389"/>
        <v>0</v>
      </c>
      <c r="AJ173" s="181">
        <f t="shared" si="389"/>
        <v>0</v>
      </c>
      <c r="AK173" s="181">
        <f t="shared" si="389"/>
        <v>0</v>
      </c>
      <c r="AL173" s="95">
        <f t="shared" si="390"/>
        <v>0</v>
      </c>
      <c r="AM173" s="181">
        <f>-(AM111-AK111)</f>
        <v>0</v>
      </c>
      <c r="AN173" s="181">
        <f t="shared" si="391"/>
        <v>0</v>
      </c>
      <c r="AO173" s="181">
        <f t="shared" si="392"/>
        <v>0</v>
      </c>
      <c r="AP173" s="181">
        <f t="shared" si="393"/>
        <v>0</v>
      </c>
      <c r="AQ173" s="95">
        <f t="shared" si="394"/>
        <v>0</v>
      </c>
    </row>
    <row r="174" spans="2:43" s="40" customFormat="1" outlineLevel="1" x14ac:dyDescent="0.3">
      <c r="B174" s="188" t="s">
        <v>132</v>
      </c>
      <c r="C174" s="189"/>
      <c r="D174" s="92">
        <v>639</v>
      </c>
      <c r="E174" s="97">
        <f>1219-D174</f>
        <v>580</v>
      </c>
      <c r="F174" s="97">
        <f>1529-E174-D174</f>
        <v>310</v>
      </c>
      <c r="G174" s="97">
        <f>680-F174-E174-D174</f>
        <v>-849</v>
      </c>
      <c r="H174" s="95">
        <f t="shared" si="380"/>
        <v>680</v>
      </c>
      <c r="I174" s="92">
        <v>1043</v>
      </c>
      <c r="J174" s="97">
        <f>1752-I174</f>
        <v>709</v>
      </c>
      <c r="K174" s="97">
        <f>2061-J174-I174</f>
        <v>309</v>
      </c>
      <c r="L174" s="97">
        <f>2652-K174-J174-I174</f>
        <v>591</v>
      </c>
      <c r="M174" s="95">
        <f t="shared" si="381"/>
        <v>2652</v>
      </c>
      <c r="N174" s="249">
        <v>1109</v>
      </c>
      <c r="O174" s="181">
        <f>733-N174</f>
        <v>-376</v>
      </c>
      <c r="P174" s="181">
        <f>-128-O174-N174</f>
        <v>-861</v>
      </c>
      <c r="Q174" s="181">
        <f>-(Q113-P113)</f>
        <v>0</v>
      </c>
      <c r="R174" s="95">
        <f t="shared" si="382"/>
        <v>-128</v>
      </c>
      <c r="S174" s="181">
        <f>-(S113-Q113)</f>
        <v>0</v>
      </c>
      <c r="T174" s="181">
        <f>-(T113-S113)</f>
        <v>0</v>
      </c>
      <c r="U174" s="181">
        <f>-(U113-T113)</f>
        <v>0</v>
      </c>
      <c r="V174" s="181">
        <f>-(V113-U113)</f>
        <v>0</v>
      </c>
      <c r="W174" s="95">
        <f t="shared" si="384"/>
        <v>0</v>
      </c>
      <c r="X174" s="181">
        <f>-(X113-V113)</f>
        <v>0</v>
      </c>
      <c r="Y174" s="181">
        <f>-(Y113-X113)</f>
        <v>0</v>
      </c>
      <c r="Z174" s="181">
        <f>-(Z113-Y113)</f>
        <v>0</v>
      </c>
      <c r="AA174" s="181">
        <f>-(AA113-Z113)</f>
        <v>0</v>
      </c>
      <c r="AB174" s="95">
        <f t="shared" si="386"/>
        <v>0</v>
      </c>
      <c r="AC174" s="181">
        <f>-(AC113-AA113)</f>
        <v>0</v>
      </c>
      <c r="AD174" s="181">
        <f>-(AD113-AC113)</f>
        <v>0</v>
      </c>
      <c r="AE174" s="181">
        <f>-(AE113-AD113)</f>
        <v>0</v>
      </c>
      <c r="AF174" s="181">
        <f>-(AF113-AE113)</f>
        <v>0</v>
      </c>
      <c r="AG174" s="95">
        <f t="shared" si="388"/>
        <v>0</v>
      </c>
      <c r="AH174" s="181">
        <f>-(AH113-AF113)</f>
        <v>0</v>
      </c>
      <c r="AI174" s="181">
        <f>-(AI113-AH113)</f>
        <v>0</v>
      </c>
      <c r="AJ174" s="181">
        <f>-(AJ113-AI113)</f>
        <v>0</v>
      </c>
      <c r="AK174" s="181">
        <f>-(AK113-AJ113)</f>
        <v>0</v>
      </c>
      <c r="AL174" s="95">
        <f t="shared" si="390"/>
        <v>0</v>
      </c>
      <c r="AM174" s="181">
        <f>-(AM113-AK113)</f>
        <v>0</v>
      </c>
      <c r="AN174" s="181">
        <f>-(AN113-AM113)</f>
        <v>0</v>
      </c>
      <c r="AO174" s="181">
        <f>-(AO113-AN113)</f>
        <v>0</v>
      </c>
      <c r="AP174" s="181">
        <f>-(AP113-AO113)</f>
        <v>0</v>
      </c>
      <c r="AQ174" s="95">
        <f t="shared" si="394"/>
        <v>0</v>
      </c>
    </row>
    <row r="175" spans="2:43" s="40" customFormat="1" outlineLevel="1" x14ac:dyDescent="0.3">
      <c r="B175" s="188" t="s">
        <v>51</v>
      </c>
      <c r="C175" s="189"/>
      <c r="D175" s="92">
        <v>915</v>
      </c>
      <c r="E175" s="97">
        <f>1464-D175</f>
        <v>549</v>
      </c>
      <c r="F175" s="97">
        <f>-2171-E175-D175</f>
        <v>-3635</v>
      </c>
      <c r="G175" s="97">
        <f>-3021-F175-E175-D175</f>
        <v>-850</v>
      </c>
      <c r="H175" s="95">
        <f t="shared" si="380"/>
        <v>-3021</v>
      </c>
      <c r="I175" s="92">
        <v>1635</v>
      </c>
      <c r="J175" s="97">
        <f>-4594-I175</f>
        <v>-6229</v>
      </c>
      <c r="K175" s="97">
        <f>-10864-J175-I175</f>
        <v>-6270</v>
      </c>
      <c r="L175" s="97">
        <f>-13353-K175-J175-I175</f>
        <v>-2489</v>
      </c>
      <c r="M175" s="95">
        <f t="shared" si="381"/>
        <v>-13353</v>
      </c>
      <c r="N175" s="249">
        <v>1819</v>
      </c>
      <c r="O175" s="181">
        <f>-3826-N175</f>
        <v>-5645</v>
      </c>
      <c r="P175" s="181">
        <f>-3023-O175-N175</f>
        <v>803</v>
      </c>
      <c r="Q175" s="181">
        <f>Q122-P122</f>
        <v>-3552.3898819258393</v>
      </c>
      <c r="R175" s="95">
        <f t="shared" si="382"/>
        <v>-6575.3898819258393</v>
      </c>
      <c r="S175" s="181">
        <f>S122-Q122</f>
        <v>867.89506112267554</v>
      </c>
      <c r="T175" s="181">
        <f>T122-S122</f>
        <v>2040.3607037408729</v>
      </c>
      <c r="U175" s="181">
        <f>U122-T122</f>
        <v>1013.3078493658613</v>
      </c>
      <c r="V175" s="181">
        <f t="shared" ref="V175" si="395">V122-U122</f>
        <v>2193.0441313962219</v>
      </c>
      <c r="W175" s="95">
        <f t="shared" si="384"/>
        <v>6114.6077456256317</v>
      </c>
      <c r="X175" s="181">
        <f>X122-V122</f>
        <v>1265.5344804672641</v>
      </c>
      <c r="Y175" s="181">
        <f>Y122-X122</f>
        <v>2371.0280587528541</v>
      </c>
      <c r="Z175" s="181">
        <f>Z122-Y122</f>
        <v>1452.6956290137605</v>
      </c>
      <c r="AA175" s="181">
        <f t="shared" ref="AA175" si="396">AA122-Z122</f>
        <v>2567.8405809138494</v>
      </c>
      <c r="AB175" s="95">
        <f t="shared" si="386"/>
        <v>7657.0987491477281</v>
      </c>
      <c r="AC175" s="181">
        <f>AC122-AA122</f>
        <v>-4700.657322048166</v>
      </c>
      <c r="AD175" s="181">
        <f>AD122-AC122</f>
        <v>8818.9450883404643</v>
      </c>
      <c r="AE175" s="181">
        <f>AE122-AD122</f>
        <v>-4488.6220403225161</v>
      </c>
      <c r="AF175" s="181">
        <f t="shared" ref="AF175" si="397">AF122-AE122</f>
        <v>9041.9187832900061</v>
      </c>
      <c r="AG175" s="95">
        <f t="shared" si="388"/>
        <v>8671.5845092597883</v>
      </c>
      <c r="AH175" s="181">
        <f>AH122-AF122</f>
        <v>-5808.5835076651274</v>
      </c>
      <c r="AI175" s="181">
        <f>AI122-AH122</f>
        <v>10763.023591901001</v>
      </c>
      <c r="AJ175" s="181">
        <f>AJ122-AI122</f>
        <v>-5553.3991503458528</v>
      </c>
      <c r="AK175" s="181">
        <f t="shared" ref="AK175" si="398">AK122-AJ122</f>
        <v>11031.377596507082</v>
      </c>
      <c r="AL175" s="95">
        <f t="shared" si="390"/>
        <v>10432.418530397103</v>
      </c>
      <c r="AM175" s="181">
        <f>AM122-AK122</f>
        <v>-5271.1944424703252</v>
      </c>
      <c r="AN175" s="181">
        <f>AN122-AM122</f>
        <v>11328.149357982555</v>
      </c>
      <c r="AO175" s="181">
        <f>AO122-AN122</f>
        <v>-4959.1021497135225</v>
      </c>
      <c r="AP175" s="181">
        <f t="shared" ref="AP175:AP176" si="399">AP122-AO122</f>
        <v>11656.354715461144</v>
      </c>
      <c r="AQ175" s="95">
        <f t="shared" si="394"/>
        <v>12754.207481259851</v>
      </c>
    </row>
    <row r="176" spans="2:43" s="40" customFormat="1" outlineLevel="1" x14ac:dyDescent="0.3">
      <c r="B176" s="188" t="s">
        <v>67</v>
      </c>
      <c r="C176" s="189"/>
      <c r="D176" s="92">
        <v>3076</v>
      </c>
      <c r="E176" s="97">
        <f>-3256-D176</f>
        <v>-6332</v>
      </c>
      <c r="F176" s="97">
        <f>-10604-E176-D176</f>
        <v>-7348</v>
      </c>
      <c r="G176" s="97">
        <f>-2611-F176-E176-D176</f>
        <v>7993</v>
      </c>
      <c r="H176" s="95">
        <f t="shared" si="380"/>
        <v>-2611</v>
      </c>
      <c r="I176" s="92">
        <v>-10515</v>
      </c>
      <c r="J176" s="97">
        <f>-100-I176</f>
        <v>10415</v>
      </c>
      <c r="K176" s="97">
        <f>-8582-J176-I176</f>
        <v>-8482</v>
      </c>
      <c r="L176" s="97">
        <f>-9723-K176-J176-I176</f>
        <v>-1141</v>
      </c>
      <c r="M176" s="95">
        <f t="shared" si="381"/>
        <v>-9723</v>
      </c>
      <c r="N176" s="249">
        <v>-3222</v>
      </c>
      <c r="O176" s="181">
        <f>-6079-N176</f>
        <v>-2857</v>
      </c>
      <c r="P176" s="181">
        <f>-13017-O176-N176</f>
        <v>-6938</v>
      </c>
      <c r="Q176" s="181">
        <f>Q123-P123</f>
        <v>0</v>
      </c>
      <c r="R176" s="95">
        <f t="shared" si="382"/>
        <v>-13017</v>
      </c>
      <c r="S176" s="181">
        <f>S123-Q123</f>
        <v>0</v>
      </c>
      <c r="T176" s="181">
        <f t="shared" ref="T176:V176" si="400">T123-S123</f>
        <v>0</v>
      </c>
      <c r="U176" s="181">
        <f t="shared" si="400"/>
        <v>0</v>
      </c>
      <c r="V176" s="181">
        <f t="shared" si="400"/>
        <v>0</v>
      </c>
      <c r="W176" s="95">
        <f t="shared" si="384"/>
        <v>0</v>
      </c>
      <c r="X176" s="181">
        <f>X123-V123</f>
        <v>0</v>
      </c>
      <c r="Y176" s="181">
        <f t="shared" ref="Y176:AA176" si="401">Y123-X123</f>
        <v>0</v>
      </c>
      <c r="Z176" s="181">
        <f t="shared" si="401"/>
        <v>0</v>
      </c>
      <c r="AA176" s="181">
        <f t="shared" si="401"/>
        <v>0</v>
      </c>
      <c r="AB176" s="95">
        <f t="shared" si="386"/>
        <v>0</v>
      </c>
      <c r="AC176" s="181">
        <f>AC123-AA123</f>
        <v>0</v>
      </c>
      <c r="AD176" s="181">
        <f t="shared" ref="AD176:AF176" si="402">AD123-AC123</f>
        <v>0</v>
      </c>
      <c r="AE176" s="181">
        <f t="shared" si="402"/>
        <v>0</v>
      </c>
      <c r="AF176" s="181">
        <f t="shared" si="402"/>
        <v>0</v>
      </c>
      <c r="AG176" s="95">
        <f t="shared" si="388"/>
        <v>0</v>
      </c>
      <c r="AH176" s="181">
        <f>AH123-AF123</f>
        <v>0</v>
      </c>
      <c r="AI176" s="181">
        <f t="shared" ref="AI176:AK176" si="403">AI123-AH123</f>
        <v>0</v>
      </c>
      <c r="AJ176" s="181">
        <f t="shared" si="403"/>
        <v>0</v>
      </c>
      <c r="AK176" s="181">
        <f t="shared" si="403"/>
        <v>0</v>
      </c>
      <c r="AL176" s="95">
        <f t="shared" si="390"/>
        <v>0</v>
      </c>
      <c r="AM176" s="181">
        <f>AM123-AK123</f>
        <v>0</v>
      </c>
      <c r="AN176" s="181">
        <f t="shared" ref="AN176" si="404">AN123-AM123</f>
        <v>0</v>
      </c>
      <c r="AO176" s="181">
        <f t="shared" ref="AO176" si="405">AO123-AN123</f>
        <v>0</v>
      </c>
      <c r="AP176" s="181">
        <f t="shared" si="399"/>
        <v>0</v>
      </c>
      <c r="AQ176" s="95">
        <f t="shared" si="394"/>
        <v>0</v>
      </c>
    </row>
    <row r="177" spans="1:43" s="40" customFormat="1" outlineLevel="1" x14ac:dyDescent="0.3">
      <c r="B177" s="188" t="s">
        <v>151</v>
      </c>
      <c r="C177" s="189"/>
      <c r="D177" s="92">
        <v>6594</v>
      </c>
      <c r="E177" s="97">
        <f>957-D177</f>
        <v>-5637</v>
      </c>
      <c r="F177" s="97">
        <f>158-E177-D177</f>
        <v>-799</v>
      </c>
      <c r="G177" s="97">
        <f>0-F177-E177-D177</f>
        <v>-158</v>
      </c>
      <c r="H177" s="95">
        <f>SUM(D177:G177)</f>
        <v>0</v>
      </c>
      <c r="I177" s="92">
        <v>3768</v>
      </c>
      <c r="J177" s="97">
        <f>3749-I177</f>
        <v>-19</v>
      </c>
      <c r="K177" s="97">
        <f>2909-J177-I177</f>
        <v>-840</v>
      </c>
      <c r="L177" s="97">
        <f>3092-K177-J177-I177</f>
        <v>183</v>
      </c>
      <c r="M177" s="95">
        <f>SUM(I177:L177)</f>
        <v>3092</v>
      </c>
      <c r="N177" s="249">
        <v>170</v>
      </c>
      <c r="O177" s="181">
        <f>-2987-N177</f>
        <v>-3157</v>
      </c>
      <c r="P177" s="181">
        <f>-1111-O177-N177</f>
        <v>1876</v>
      </c>
      <c r="Q177" s="181">
        <f>Q125-P125</f>
        <v>0</v>
      </c>
      <c r="R177" s="95">
        <f t="shared" si="382"/>
        <v>-1111</v>
      </c>
      <c r="S177" s="181">
        <f>S125-Q125</f>
        <v>0</v>
      </c>
      <c r="T177" s="181">
        <f t="shared" ref="T177:V177" si="406">T125-S125</f>
        <v>0</v>
      </c>
      <c r="U177" s="181">
        <f t="shared" si="406"/>
        <v>0</v>
      </c>
      <c r="V177" s="181">
        <f t="shared" si="406"/>
        <v>0</v>
      </c>
      <c r="W177" s="95">
        <f t="shared" si="384"/>
        <v>0</v>
      </c>
      <c r="X177" s="181">
        <f>X125-V125</f>
        <v>0</v>
      </c>
      <c r="Y177" s="181">
        <f t="shared" ref="Y177:AA177" si="407">Y125-X125</f>
        <v>0</v>
      </c>
      <c r="Z177" s="181">
        <f t="shared" si="407"/>
        <v>0</v>
      </c>
      <c r="AA177" s="181">
        <f t="shared" si="407"/>
        <v>0</v>
      </c>
      <c r="AB177" s="95">
        <f t="shared" si="386"/>
        <v>0</v>
      </c>
      <c r="AC177" s="181">
        <f>AC125-AA125</f>
        <v>0</v>
      </c>
      <c r="AD177" s="181">
        <f t="shared" ref="AD177:AF177" si="408">AD125-AC125</f>
        <v>0</v>
      </c>
      <c r="AE177" s="181">
        <f t="shared" si="408"/>
        <v>0</v>
      </c>
      <c r="AF177" s="181">
        <f t="shared" si="408"/>
        <v>0</v>
      </c>
      <c r="AG177" s="95">
        <f t="shared" si="388"/>
        <v>0</v>
      </c>
      <c r="AH177" s="181">
        <f>AH125-AF125</f>
        <v>0</v>
      </c>
      <c r="AI177" s="181">
        <f t="shared" ref="AI177:AK177" si="409">AI125-AH125</f>
        <v>0</v>
      </c>
      <c r="AJ177" s="181">
        <f t="shared" si="409"/>
        <v>0</v>
      </c>
      <c r="AK177" s="181">
        <f t="shared" si="409"/>
        <v>0</v>
      </c>
      <c r="AL177" s="95">
        <f t="shared" si="390"/>
        <v>0</v>
      </c>
      <c r="AM177" s="181">
        <f>AM125-AK125</f>
        <v>0</v>
      </c>
      <c r="AN177" s="181">
        <f t="shared" ref="AN177" si="410">AN125-AM125</f>
        <v>0</v>
      </c>
      <c r="AO177" s="181">
        <f t="shared" ref="AO177" si="411">AO125-AN125</f>
        <v>0</v>
      </c>
      <c r="AP177" s="181">
        <f t="shared" ref="AP177" si="412">AP125-AO125</f>
        <v>0</v>
      </c>
      <c r="AQ177" s="95">
        <f t="shared" si="394"/>
        <v>0</v>
      </c>
    </row>
    <row r="178" spans="1:43" s="40" customFormat="1" outlineLevel="1" x14ac:dyDescent="0.3">
      <c r="B178" s="471" t="s">
        <v>133</v>
      </c>
      <c r="C178" s="472"/>
      <c r="D178" s="92">
        <v>1081</v>
      </c>
      <c r="E178" s="97">
        <f>2508-D178</f>
        <v>1427</v>
      </c>
      <c r="F178" s="97">
        <f>453-E178-D178</f>
        <v>-2055</v>
      </c>
      <c r="G178" s="97">
        <f>1994-F178-E178-D178</f>
        <v>1541</v>
      </c>
      <c r="H178" s="146">
        <f t="shared" si="380"/>
        <v>1994</v>
      </c>
      <c r="I178" s="92">
        <v>-932</v>
      </c>
      <c r="J178" s="97">
        <f>-1760-I178</f>
        <v>-828</v>
      </c>
      <c r="K178" s="97">
        <f>-3142-J178-I178</f>
        <v>-1382</v>
      </c>
      <c r="L178" s="97">
        <f>4275-K178-J178-I178</f>
        <v>7417</v>
      </c>
      <c r="M178" s="146">
        <f t="shared" ref="M178" si="413">SUM(I178:L178)</f>
        <v>4275</v>
      </c>
      <c r="N178" s="92">
        <v>-1105</v>
      </c>
      <c r="O178" s="182">
        <f>-102-N178</f>
        <v>1003</v>
      </c>
      <c r="P178" s="182">
        <f>1396-O178-N178</f>
        <v>1498</v>
      </c>
      <c r="Q178" s="181"/>
      <c r="R178" s="146">
        <f t="shared" si="382"/>
        <v>1396</v>
      </c>
      <c r="S178" s="203"/>
      <c r="T178" s="177"/>
      <c r="U178" s="177"/>
      <c r="V178" s="177"/>
      <c r="W178" s="222"/>
      <c r="X178" s="203"/>
      <c r="Y178" s="177"/>
      <c r="Z178" s="177"/>
      <c r="AA178" s="177"/>
      <c r="AB178" s="222"/>
      <c r="AC178" s="203"/>
      <c r="AD178" s="177"/>
      <c r="AE178" s="177"/>
      <c r="AF178" s="177"/>
      <c r="AG178" s="222"/>
      <c r="AH178" s="203"/>
      <c r="AI178" s="177"/>
      <c r="AJ178" s="177"/>
      <c r="AK178" s="177"/>
      <c r="AL178" s="222"/>
      <c r="AM178" s="203"/>
      <c r="AN178" s="177"/>
      <c r="AO178" s="177"/>
      <c r="AP178" s="177"/>
      <c r="AQ178" s="222"/>
    </row>
    <row r="179" spans="1:43" s="40" customFormat="1" outlineLevel="1" x14ac:dyDescent="0.3">
      <c r="B179" s="495" t="s">
        <v>74</v>
      </c>
      <c r="C179" s="481"/>
      <c r="D179" s="196">
        <f t="shared" ref="D179:I179" si="414">SUM(D171:D178)+SUM(D162:D169)+D160</f>
        <v>65624</v>
      </c>
      <c r="E179" s="197">
        <f>SUM(E171:E178)+SUM(E162:E169)+E160</f>
        <v>65609</v>
      </c>
      <c r="F179" s="197">
        <f>SUM(F171:F178)+SUM(F162:F169)+F160</f>
        <v>74426</v>
      </c>
      <c r="G179" s="198">
        <f>SUM(G171:G178)+SUM(G162:G169)+G160</f>
        <v>97790</v>
      </c>
      <c r="H179" s="199">
        <f t="shared" si="414"/>
        <v>303449</v>
      </c>
      <c r="I179" s="196">
        <f t="shared" si="414"/>
        <v>79578</v>
      </c>
      <c r="J179" s="197">
        <f>SUM(J171:J178)+SUM(J162:J169)+J160</f>
        <v>46714</v>
      </c>
      <c r="K179" s="197">
        <f t="shared" ref="K179" si="415">SUM(K171:K178)+SUM(K162:K169)+K160</f>
        <v>43478</v>
      </c>
      <c r="L179" s="197">
        <f t="shared" ref="L179:R179" si="416">SUM(L171:L178)+SUM(L162:L169)+L160</f>
        <v>49330</v>
      </c>
      <c r="M179" s="199">
        <f t="shared" si="416"/>
        <v>219100</v>
      </c>
      <c r="N179" s="196">
        <f t="shared" si="416"/>
        <v>46097</v>
      </c>
      <c r="O179" s="197">
        <f t="shared" si="416"/>
        <v>27717</v>
      </c>
      <c r="P179" s="197">
        <f t="shared" si="416"/>
        <v>34870</v>
      </c>
      <c r="Q179" s="197">
        <f t="shared" si="416"/>
        <v>20329.749984016911</v>
      </c>
      <c r="R179" s="199">
        <f t="shared" si="416"/>
        <v>129013.74998401699</v>
      </c>
      <c r="S179" s="197">
        <f t="shared" ref="S179:V179" si="417">SUM(S171:S178)+SUM(S162:S169)+S160</f>
        <v>36024.924933636044</v>
      </c>
      <c r="T179" s="197">
        <f t="shared" si="417"/>
        <v>14757.822334364111</v>
      </c>
      <c r="U179" s="197">
        <f t="shared" si="417"/>
        <v>41303.807289909782</v>
      </c>
      <c r="V179" s="197">
        <f t="shared" si="417"/>
        <v>22310.251125185339</v>
      </c>
      <c r="W179" s="199">
        <f>SUM(W171:W178)+SUM(W162:W169)+W160</f>
        <v>114396.80568309526</v>
      </c>
      <c r="X179" s="197">
        <f t="shared" ref="X179:AA179" si="418">SUM(X171:X178)+SUM(X162:X169)+X160</f>
        <v>46886.193473802428</v>
      </c>
      <c r="Y179" s="197">
        <f t="shared" si="418"/>
        <v>25779.851696539859</v>
      </c>
      <c r="Z179" s="197">
        <f t="shared" si="418"/>
        <v>49656.778244796478</v>
      </c>
      <c r="AA179" s="197">
        <f t="shared" si="418"/>
        <v>28736.764460580485</v>
      </c>
      <c r="AB179" s="199">
        <f>SUM(AB171:AB178)+SUM(AB162:AB169)+AB160</f>
        <v>151059.58787571912</v>
      </c>
      <c r="AC179" s="197">
        <f t="shared" ref="AC179:AF179" si="419">SUM(AC171:AC178)+SUM(AC162:AC169)+AC160</f>
        <v>60272.04074000298</v>
      </c>
      <c r="AD179" s="197">
        <f t="shared" si="419"/>
        <v>36739.908530109875</v>
      </c>
      <c r="AE179" s="197">
        <f t="shared" si="419"/>
        <v>64485.195515586573</v>
      </c>
      <c r="AF179" s="197">
        <f t="shared" si="419"/>
        <v>41206.1600702613</v>
      </c>
      <c r="AG179" s="199">
        <f>SUM(AG171:AG178)+SUM(AG162:AG169)+AG160</f>
        <v>202703.30485596054</v>
      </c>
      <c r="AH179" s="197">
        <f t="shared" ref="AH179:AK179" si="420">SUM(AH171:AH178)+SUM(AH162:AH169)+AH160</f>
        <v>72946.215958966888</v>
      </c>
      <c r="AI179" s="197">
        <f t="shared" si="420"/>
        <v>49360.025421450948</v>
      </c>
      <c r="AJ179" s="197">
        <f t="shared" si="420"/>
        <v>78615.020793588788</v>
      </c>
      <c r="AK179" s="197">
        <f t="shared" si="420"/>
        <v>55350.753951744686</v>
      </c>
      <c r="AL179" s="199">
        <f>SUM(AL171:AL178)+SUM(AL162:AL169)+AL160</f>
        <v>256272.01612575148</v>
      </c>
      <c r="AM179" s="197">
        <f t="shared" ref="AM179:AP179" si="421">SUM(AM171:AM178)+SUM(AM162:AM169)+AM160</f>
        <v>84942.720737097872</v>
      </c>
      <c r="AN179" s="197">
        <f t="shared" si="421"/>
        <v>62031.329260431288</v>
      </c>
      <c r="AO179" s="197">
        <f t="shared" si="421"/>
        <v>91992.971847088731</v>
      </c>
      <c r="AP179" s="197">
        <f t="shared" si="421"/>
        <v>69468.995637806089</v>
      </c>
      <c r="AQ179" s="199">
        <f>SUM(AQ171:AQ178)+SUM(AQ162:AQ169)+AQ160</f>
        <v>308436.01748242386</v>
      </c>
    </row>
    <row r="180" spans="1:43" s="40" customFormat="1" outlineLevel="1" x14ac:dyDescent="0.3">
      <c r="B180" s="190" t="s">
        <v>135</v>
      </c>
      <c r="C180" s="191"/>
      <c r="D180" s="149"/>
      <c r="E180" s="119"/>
      <c r="F180" s="119"/>
      <c r="G180" s="150"/>
      <c r="H180" s="151"/>
      <c r="I180" s="149"/>
      <c r="J180" s="119"/>
      <c r="K180" s="119"/>
      <c r="L180" s="119"/>
      <c r="M180" s="151"/>
      <c r="N180" s="149"/>
      <c r="O180" s="119"/>
      <c r="P180" s="119"/>
      <c r="Q180" s="177"/>
      <c r="R180" s="151"/>
      <c r="S180" s="203"/>
      <c r="T180" s="177"/>
      <c r="U180" s="177"/>
      <c r="V180" s="177"/>
      <c r="W180" s="403"/>
      <c r="X180" s="203"/>
      <c r="Y180" s="177"/>
      <c r="Z180" s="177"/>
      <c r="AA180" s="177"/>
      <c r="AB180" s="222"/>
      <c r="AC180" s="203"/>
      <c r="AD180" s="177"/>
      <c r="AE180" s="177"/>
      <c r="AF180" s="177"/>
      <c r="AG180" s="222"/>
      <c r="AH180" s="203"/>
      <c r="AI180" s="177"/>
      <c r="AJ180" s="177"/>
      <c r="AK180" s="177"/>
      <c r="AL180" s="222"/>
      <c r="AM180" s="203"/>
      <c r="AN180" s="177"/>
      <c r="AO180" s="177"/>
      <c r="AP180" s="177"/>
      <c r="AQ180" s="222"/>
    </row>
    <row r="181" spans="1:43" s="40" customFormat="1" outlineLevel="1" x14ac:dyDescent="0.3">
      <c r="B181" s="161" t="s">
        <v>136</v>
      </c>
      <c r="C181" s="162"/>
      <c r="D181" s="117">
        <v>-7668</v>
      </c>
      <c r="E181" s="114">
        <f>-19787-D181</f>
        <v>-12119</v>
      </c>
      <c r="F181" s="114">
        <f>-27624-E181-D181</f>
        <v>-7837</v>
      </c>
      <c r="G181" s="115">
        <f>-36586-F181-E181-D181</f>
        <v>-8962</v>
      </c>
      <c r="H181" s="116">
        <f>SUM(D181:G181)</f>
        <v>-36586</v>
      </c>
      <c r="I181" s="117">
        <v>-6869</v>
      </c>
      <c r="J181" s="114">
        <f>-12310-I181</f>
        <v>-5441</v>
      </c>
      <c r="K181" s="114">
        <f>-18276-J181-I181</f>
        <v>-5966</v>
      </c>
      <c r="L181" s="114">
        <f>-22797-K181-J181-I181</f>
        <v>-4521</v>
      </c>
      <c r="M181" s="116">
        <f>SUM(I181:L181)</f>
        <v>-22797</v>
      </c>
      <c r="N181" s="117">
        <v>-2858</v>
      </c>
      <c r="O181" s="114">
        <f>-5302-N181</f>
        <v>-2444</v>
      </c>
      <c r="P181" s="181">
        <f>-7740-O181-N181</f>
        <v>-2438</v>
      </c>
      <c r="Q181" s="181">
        <f>P181*(1+Q215)</f>
        <v>-2438</v>
      </c>
      <c r="R181" s="116">
        <f>SUM(N181:Q181)</f>
        <v>-10178</v>
      </c>
      <c r="S181" s="181">
        <f>Q181*(1+S215)</f>
        <v>-2438</v>
      </c>
      <c r="T181" s="181">
        <f>S181*(1+T215)</f>
        <v>-2438</v>
      </c>
      <c r="U181" s="181">
        <f>T181*(1+U215)</f>
        <v>-2438</v>
      </c>
      <c r="V181" s="181">
        <f>U181*(1+V215)</f>
        <v>-2438</v>
      </c>
      <c r="W181" s="146">
        <f>SUM(S181:V181)</f>
        <v>-9752</v>
      </c>
      <c r="X181" s="181">
        <f>V181*(1+X215)</f>
        <v>-2559.9</v>
      </c>
      <c r="Y181" s="181">
        <f>X181*(1+Y215)</f>
        <v>-2687.8950000000004</v>
      </c>
      <c r="Z181" s="181">
        <f>Y181*(1+Z215)</f>
        <v>-2822.2897500000004</v>
      </c>
      <c r="AA181" s="181">
        <f>Z181*(1+AA215)</f>
        <v>-2963.4042375000004</v>
      </c>
      <c r="AB181" s="146">
        <f>SUM(X181:AA181)</f>
        <v>-11033.488987500001</v>
      </c>
      <c r="AC181" s="181">
        <f>AA181*(1+AC215)</f>
        <v>-3111.5744493750003</v>
      </c>
      <c r="AD181" s="181">
        <f>AC181*(1+AD215)</f>
        <v>-3267.1531718437504</v>
      </c>
      <c r="AE181" s="181">
        <f>AD181*(1+AE215)</f>
        <v>-3430.5108304359383</v>
      </c>
      <c r="AF181" s="181">
        <f>AE181*(1+AF215)</f>
        <v>-3602.0363719577354</v>
      </c>
      <c r="AG181" s="146">
        <f>SUM(AC181:AF181)</f>
        <v>-13411.274823612424</v>
      </c>
      <c r="AH181" s="181">
        <f>AF181*(1+AH215)</f>
        <v>-3782.1381905556223</v>
      </c>
      <c r="AI181" s="181">
        <f>AH181*(1+AI215)</f>
        <v>-3971.2451000834035</v>
      </c>
      <c r="AJ181" s="181">
        <f>AI181*(1+AJ215)</f>
        <v>-4169.8073550875743</v>
      </c>
      <c r="AK181" s="181">
        <f>AJ181*(1+AK215)</f>
        <v>-4378.2977228419531</v>
      </c>
      <c r="AL181" s="146">
        <f>SUM(AH181:AK181)</f>
        <v>-16301.488368568553</v>
      </c>
      <c r="AM181" s="181">
        <f>AK181*(1+AM215)</f>
        <v>-4597.2126089840513</v>
      </c>
      <c r="AN181" s="181">
        <f>AM181*(1+AN215)</f>
        <v>-4827.0732394332545</v>
      </c>
      <c r="AO181" s="181">
        <f>AN181*(1+AO215)</f>
        <v>-5068.4269014049178</v>
      </c>
      <c r="AP181" s="181">
        <f>AO181*(1+AP215)</f>
        <v>-5321.8482464751642</v>
      </c>
      <c r="AQ181" s="146">
        <f>SUM(AM181:AP181)</f>
        <v>-19814.560996297387</v>
      </c>
    </row>
    <row r="182" spans="1:43" s="40" customFormat="1" outlineLevel="1" x14ac:dyDescent="0.3">
      <c r="B182" s="161" t="s">
        <v>137</v>
      </c>
      <c r="C182" s="162"/>
      <c r="D182" s="117">
        <v>0</v>
      </c>
      <c r="E182" s="114">
        <f>-304-D182</f>
        <v>-304</v>
      </c>
      <c r="F182" s="114">
        <f>-753-E182-D182</f>
        <v>-449</v>
      </c>
      <c r="G182" s="115">
        <f>-854-F182-E182-D182</f>
        <v>-101</v>
      </c>
      <c r="H182" s="116">
        <f>SUM(D182:G182)</f>
        <v>-854</v>
      </c>
      <c r="I182" s="117">
        <v>-186</v>
      </c>
      <c r="J182" s="114">
        <f>-512-I182</f>
        <v>-326</v>
      </c>
      <c r="K182" s="114">
        <f>-1502-J182-I182</f>
        <v>-990</v>
      </c>
      <c r="L182" s="114">
        <f>-1460-K182-J182-I182</f>
        <v>42</v>
      </c>
      <c r="M182" s="116">
        <f>SUM(I182:L182)</f>
        <v>-1460</v>
      </c>
      <c r="N182" s="117">
        <v>-36</v>
      </c>
      <c r="O182" s="114">
        <f>-99-N182</f>
        <v>-63</v>
      </c>
      <c r="P182" s="181">
        <f>-205-O182-N182</f>
        <v>-106</v>
      </c>
      <c r="Q182" s="181"/>
      <c r="R182" s="116">
        <f>SUM(N182:Q182)</f>
        <v>-205</v>
      </c>
      <c r="S182" s="203"/>
      <c r="T182" s="177"/>
      <c r="U182" s="177"/>
      <c r="V182" s="177"/>
      <c r="W182" s="222"/>
      <c r="X182" s="203"/>
      <c r="Y182" s="177"/>
      <c r="Z182" s="177"/>
      <c r="AA182" s="177"/>
      <c r="AB182" s="222"/>
      <c r="AC182" s="203"/>
      <c r="AD182" s="177"/>
      <c r="AE182" s="177"/>
      <c r="AF182" s="177"/>
      <c r="AG182" s="222"/>
      <c r="AH182" s="203"/>
      <c r="AI182" s="177"/>
      <c r="AJ182" s="177"/>
      <c r="AK182" s="177"/>
      <c r="AL182" s="222"/>
      <c r="AM182" s="203"/>
      <c r="AN182" s="177"/>
      <c r="AO182" s="177"/>
      <c r="AP182" s="177"/>
      <c r="AQ182" s="222"/>
    </row>
    <row r="183" spans="1:43" s="40" customFormat="1" outlineLevel="1" x14ac:dyDescent="0.3">
      <c r="B183" s="161" t="s">
        <v>138</v>
      </c>
      <c r="C183" s="162"/>
      <c r="D183" s="114">
        <v>-1200</v>
      </c>
      <c r="E183" s="114">
        <f>-1200-D183</f>
        <v>0</v>
      </c>
      <c r="F183" s="114">
        <f>-1200-E183-D183</f>
        <v>0</v>
      </c>
      <c r="G183" s="114">
        <f>-1200-F183-E183-D183</f>
        <v>0</v>
      </c>
      <c r="H183" s="116">
        <f>SUM(D183:G183)</f>
        <v>-1200</v>
      </c>
      <c r="I183" s="114">
        <v>0</v>
      </c>
      <c r="J183" s="114">
        <f>-13824-I183</f>
        <v>-13824</v>
      </c>
      <c r="K183" s="114">
        <f>-13824-J183-I183</f>
        <v>0</v>
      </c>
      <c r="L183" s="114">
        <f>-13774-K183-J183-I183</f>
        <v>50</v>
      </c>
      <c r="M183" s="116">
        <f>SUM(I183:L183)</f>
        <v>-13774</v>
      </c>
      <c r="N183" s="117">
        <v>0</v>
      </c>
      <c r="O183" s="114">
        <f>0-N183</f>
        <v>0</v>
      </c>
      <c r="P183" s="182">
        <f>-1242-O183-N183</f>
        <v>-1242</v>
      </c>
      <c r="Q183" s="181"/>
      <c r="R183" s="116">
        <f>SUM(N183:Q183)</f>
        <v>-1242</v>
      </c>
      <c r="S183" s="203"/>
      <c r="T183" s="177"/>
      <c r="U183" s="177"/>
      <c r="V183" s="177"/>
      <c r="W183" s="222"/>
      <c r="X183" s="203"/>
      <c r="Y183" s="177"/>
      <c r="Z183" s="177"/>
      <c r="AA183" s="177"/>
      <c r="AB183" s="222"/>
      <c r="AC183" s="203"/>
      <c r="AD183" s="177"/>
      <c r="AE183" s="177"/>
      <c r="AF183" s="177"/>
      <c r="AG183" s="222"/>
      <c r="AH183" s="203"/>
      <c r="AI183" s="177"/>
      <c r="AJ183" s="177"/>
      <c r="AK183" s="177"/>
      <c r="AL183" s="222"/>
      <c r="AM183" s="203"/>
      <c r="AN183" s="177"/>
      <c r="AO183" s="177"/>
      <c r="AP183" s="177"/>
      <c r="AQ183" s="222"/>
    </row>
    <row r="184" spans="1:43" s="40" customFormat="1" outlineLevel="1" x14ac:dyDescent="0.3">
      <c r="B184" s="161" t="s">
        <v>139</v>
      </c>
      <c r="C184" s="162"/>
      <c r="D184" s="114">
        <v>227</v>
      </c>
      <c r="E184" s="114">
        <f>604-D184</f>
        <v>377</v>
      </c>
      <c r="F184" s="114">
        <f>1098-E184-D184</f>
        <v>494</v>
      </c>
      <c r="G184" s="114">
        <f>884-F184-E184-D184</f>
        <v>-214</v>
      </c>
      <c r="H184" s="116">
        <f>SUM(D184:G184)</f>
        <v>884</v>
      </c>
      <c r="I184" s="114">
        <v>726</v>
      </c>
      <c r="J184" s="114">
        <f>833-I184</f>
        <v>107</v>
      </c>
      <c r="K184" s="114">
        <f>1193-J184-I184</f>
        <v>360</v>
      </c>
      <c r="L184" s="114">
        <f>1320-K184-J184-I184</f>
        <v>127</v>
      </c>
      <c r="M184" s="116">
        <f>SUM(I184:L184)</f>
        <v>1320</v>
      </c>
      <c r="N184" s="117">
        <v>408</v>
      </c>
      <c r="O184" s="114">
        <f>539-N184</f>
        <v>131</v>
      </c>
      <c r="P184" s="182">
        <f>705-O184-N184</f>
        <v>166</v>
      </c>
      <c r="Q184" s="181"/>
      <c r="R184" s="116">
        <f>SUM(N184:Q184)</f>
        <v>705</v>
      </c>
      <c r="S184" s="203"/>
      <c r="T184" s="177"/>
      <c r="U184" s="177"/>
      <c r="V184" s="177"/>
      <c r="W184" s="222"/>
      <c r="X184" s="203"/>
      <c r="Y184" s="177"/>
      <c r="Z184" s="177"/>
      <c r="AA184" s="177"/>
      <c r="AB184" s="222"/>
      <c r="AC184" s="203"/>
      <c r="AD184" s="177"/>
      <c r="AE184" s="177"/>
      <c r="AF184" s="177"/>
      <c r="AG184" s="222"/>
      <c r="AH184" s="203"/>
      <c r="AI184" s="177"/>
      <c r="AJ184" s="177"/>
      <c r="AK184" s="177"/>
      <c r="AL184" s="222"/>
      <c r="AM184" s="203"/>
      <c r="AN184" s="177"/>
      <c r="AO184" s="177"/>
      <c r="AP184" s="177"/>
      <c r="AQ184" s="222"/>
    </row>
    <row r="185" spans="1:43" s="40" customFormat="1" outlineLevel="1" x14ac:dyDescent="0.3">
      <c r="B185" s="161" t="s">
        <v>140</v>
      </c>
      <c r="C185" s="162"/>
      <c r="D185" s="114">
        <v>-1834</v>
      </c>
      <c r="E185" s="114">
        <f>-2866-D185</f>
        <v>-1032</v>
      </c>
      <c r="F185" s="114">
        <f>-3482-E185-D185</f>
        <v>-616</v>
      </c>
      <c r="G185" s="114">
        <f>-4310-F185-E185-D185</f>
        <v>-828</v>
      </c>
      <c r="H185" s="116">
        <f>SUM(D185:G185)</f>
        <v>-4310</v>
      </c>
      <c r="I185" s="114">
        <v>-647</v>
      </c>
      <c r="J185" s="114">
        <f>-1564-I185</f>
        <v>-917</v>
      </c>
      <c r="K185" s="114">
        <f>-2210-J185-I185</f>
        <v>-646</v>
      </c>
      <c r="L185" s="114">
        <f>-2943-K185-J185-I185</f>
        <v>-733</v>
      </c>
      <c r="M185" s="116">
        <f>SUM(I185:L185)</f>
        <v>-2943</v>
      </c>
      <c r="N185" s="117">
        <v>-532</v>
      </c>
      <c r="O185" s="114">
        <f>-970-N185</f>
        <v>-438</v>
      </c>
      <c r="P185" s="182">
        <f>-2015-O185-N185</f>
        <v>-1045</v>
      </c>
      <c r="Q185" s="181"/>
      <c r="R185" s="116">
        <f>SUM(N185:Q185)</f>
        <v>-2015</v>
      </c>
      <c r="S185" s="203"/>
      <c r="T185" s="177"/>
      <c r="U185" s="177"/>
      <c r="V185" s="177"/>
      <c r="W185" s="222"/>
      <c r="X185" s="203"/>
      <c r="Y185" s="177"/>
      <c r="Z185" s="177"/>
      <c r="AA185" s="177"/>
      <c r="AB185" s="222"/>
      <c r="AC185" s="203"/>
      <c r="AD185" s="177"/>
      <c r="AE185" s="177"/>
      <c r="AF185" s="177"/>
      <c r="AG185" s="222"/>
      <c r="AH185" s="203"/>
      <c r="AI185" s="177"/>
      <c r="AJ185" s="177"/>
      <c r="AK185" s="177"/>
      <c r="AL185" s="222"/>
      <c r="AM185" s="203"/>
      <c r="AN185" s="177"/>
      <c r="AO185" s="177"/>
      <c r="AP185" s="177"/>
      <c r="AQ185" s="222"/>
    </row>
    <row r="186" spans="1:43" s="40" customFormat="1" ht="16.2" outlineLevel="1" x14ac:dyDescent="0.45">
      <c r="B186" s="495" t="s">
        <v>141</v>
      </c>
      <c r="C186" s="481"/>
      <c r="D186" s="205">
        <f>SUM(D181:D185)</f>
        <v>-10475</v>
      </c>
      <c r="E186" s="206">
        <f t="shared" ref="E186:I186" si="422">SUM(E181:E185)</f>
        <v>-13078</v>
      </c>
      <c r="F186" s="206">
        <f t="shared" si="422"/>
        <v>-8408</v>
      </c>
      <c r="G186" s="207">
        <f>SUM(G181:G185)</f>
        <v>-10105</v>
      </c>
      <c r="H186" s="208">
        <f>SUM(H181:H185)</f>
        <v>-42066</v>
      </c>
      <c r="I186" s="205">
        <f t="shared" si="422"/>
        <v>-6976</v>
      </c>
      <c r="J186" s="206">
        <f t="shared" ref="J186:M186" si="423">SUM(J181:J185)</f>
        <v>-20401</v>
      </c>
      <c r="K186" s="206">
        <f t="shared" si="423"/>
        <v>-7242</v>
      </c>
      <c r="L186" s="206">
        <f t="shared" si="423"/>
        <v>-5035</v>
      </c>
      <c r="M186" s="208">
        <f t="shared" si="423"/>
        <v>-39654</v>
      </c>
      <c r="N186" s="250">
        <f t="shared" ref="N186:T186" si="424">SUM(N181:N185)</f>
        <v>-3018</v>
      </c>
      <c r="O186" s="209">
        <f t="shared" si="424"/>
        <v>-2814</v>
      </c>
      <c r="P186" s="209">
        <f t="shared" si="424"/>
        <v>-4665</v>
      </c>
      <c r="Q186" s="209">
        <f t="shared" si="424"/>
        <v>-2438</v>
      </c>
      <c r="R186" s="208">
        <f t="shared" si="424"/>
        <v>-12935</v>
      </c>
      <c r="S186" s="250">
        <f t="shared" si="424"/>
        <v>-2438</v>
      </c>
      <c r="T186" s="209">
        <f t="shared" si="424"/>
        <v>-2438</v>
      </c>
      <c r="U186" s="209">
        <f t="shared" ref="U186" si="425">SUM(U181:U185)</f>
        <v>-2438</v>
      </c>
      <c r="V186" s="209">
        <f>SUM(V181:V185)</f>
        <v>-2438</v>
      </c>
      <c r="W186" s="208">
        <f t="shared" ref="W186" si="426">SUM(W181:W185)</f>
        <v>-9752</v>
      </c>
      <c r="X186" s="250">
        <f>SUM(X181:X185)</f>
        <v>-2559.9</v>
      </c>
      <c r="Y186" s="209">
        <f>SUM(Y181:Y185)</f>
        <v>-2687.8950000000004</v>
      </c>
      <c r="Z186" s="209">
        <f t="shared" ref="Z186" si="427">SUM(Z181:Z185)</f>
        <v>-2822.2897500000004</v>
      </c>
      <c r="AA186" s="209">
        <f>SUM(AA181:AA185)</f>
        <v>-2963.4042375000004</v>
      </c>
      <c r="AB186" s="208">
        <f t="shared" ref="AB186" si="428">SUM(AB181:AB185)</f>
        <v>-11033.488987500001</v>
      </c>
      <c r="AC186" s="250">
        <f>SUM(AC181:AC185)</f>
        <v>-3111.5744493750003</v>
      </c>
      <c r="AD186" s="209">
        <f>SUM(AD181:AD185)</f>
        <v>-3267.1531718437504</v>
      </c>
      <c r="AE186" s="209">
        <f t="shared" ref="AE186" si="429">SUM(AE181:AE185)</f>
        <v>-3430.5108304359383</v>
      </c>
      <c r="AF186" s="209">
        <f>SUM(AF181:AF185)</f>
        <v>-3602.0363719577354</v>
      </c>
      <c r="AG186" s="208">
        <f t="shared" ref="AG186" si="430">SUM(AG181:AG185)</f>
        <v>-13411.274823612424</v>
      </c>
      <c r="AH186" s="250">
        <f>SUM(AH181:AH185)</f>
        <v>-3782.1381905556223</v>
      </c>
      <c r="AI186" s="209">
        <f>SUM(AI181:AI185)</f>
        <v>-3971.2451000834035</v>
      </c>
      <c r="AJ186" s="209">
        <f t="shared" ref="AJ186" si="431">SUM(AJ181:AJ185)</f>
        <v>-4169.8073550875743</v>
      </c>
      <c r="AK186" s="209">
        <f>SUM(AK181:AK185)</f>
        <v>-4378.2977228419531</v>
      </c>
      <c r="AL186" s="208">
        <f t="shared" ref="AL186" si="432">SUM(AL181:AL185)</f>
        <v>-16301.488368568553</v>
      </c>
      <c r="AM186" s="250">
        <f>SUM(AM181:AM185)</f>
        <v>-4597.2126089840513</v>
      </c>
      <c r="AN186" s="209">
        <f>SUM(AN181:AN185)</f>
        <v>-4827.0732394332545</v>
      </c>
      <c r="AO186" s="209">
        <f t="shared" ref="AO186" si="433">SUM(AO181:AO185)</f>
        <v>-5068.4269014049178</v>
      </c>
      <c r="AP186" s="209">
        <f>SUM(AP181:AP185)</f>
        <v>-5321.8482464751642</v>
      </c>
      <c r="AQ186" s="208">
        <f t="shared" ref="AQ186" si="434">SUM(AQ181:AQ185)</f>
        <v>-19814.560996297387</v>
      </c>
    </row>
    <row r="187" spans="1:43" s="40" customFormat="1" outlineLevel="1" x14ac:dyDescent="0.3">
      <c r="B187" s="190" t="s">
        <v>142</v>
      </c>
      <c r="C187" s="187"/>
      <c r="D187" s="200"/>
      <c r="E187" s="201"/>
      <c r="F187" s="201"/>
      <c r="G187" s="201"/>
      <c r="H187" s="202"/>
      <c r="I187" s="200"/>
      <c r="J187" s="201"/>
      <c r="K187" s="201"/>
      <c r="L187" s="201"/>
      <c r="M187" s="202"/>
      <c r="N187" s="251"/>
      <c r="O187" s="203"/>
      <c r="P187" s="203"/>
      <c r="Q187" s="177"/>
      <c r="R187" s="202"/>
      <c r="S187" s="203"/>
      <c r="T187" s="177"/>
      <c r="U187" s="177"/>
      <c r="V187" s="177"/>
      <c r="W187" s="222"/>
      <c r="X187" s="203"/>
      <c r="Y187" s="177"/>
      <c r="Z187" s="177"/>
      <c r="AA187" s="177"/>
      <c r="AB187" s="222"/>
      <c r="AC187" s="203"/>
      <c r="AD187" s="177"/>
      <c r="AE187" s="177"/>
      <c r="AF187" s="177"/>
      <c r="AG187" s="222"/>
      <c r="AH187" s="203"/>
      <c r="AI187" s="177"/>
      <c r="AJ187" s="177"/>
      <c r="AK187" s="177"/>
      <c r="AL187" s="222"/>
      <c r="AM187" s="203"/>
      <c r="AN187" s="177"/>
      <c r="AO187" s="177"/>
      <c r="AP187" s="177"/>
      <c r="AQ187" s="222"/>
    </row>
    <row r="188" spans="1:43" s="40" customFormat="1" outlineLevel="1" x14ac:dyDescent="0.3">
      <c r="B188" s="471" t="s">
        <v>152</v>
      </c>
      <c r="C188" s="472"/>
      <c r="D188" s="92">
        <v>-28011</v>
      </c>
      <c r="E188" s="97">
        <f>-37041-D188</f>
        <v>-9030</v>
      </c>
      <c r="F188" s="97">
        <f>-57157-E188-D188</f>
        <v>-20116</v>
      </c>
      <c r="G188" s="97">
        <f>-128162-F188-E188-D188</f>
        <v>-71005</v>
      </c>
      <c r="H188" s="146">
        <f t="shared" ref="H188:H195" si="435">SUM(D188:G188)</f>
        <v>-128162</v>
      </c>
      <c r="I188" s="92">
        <v>-18000</v>
      </c>
      <c r="J188" s="97">
        <f>-27000-I188</f>
        <v>-9000</v>
      </c>
      <c r="K188" s="97">
        <f>-49693-J188-I188</f>
        <v>-22693</v>
      </c>
      <c r="L188" s="97">
        <f>-139656-K188-J188-I188</f>
        <v>-89963</v>
      </c>
      <c r="M188" s="146">
        <f t="shared" ref="M188:M195" si="436">SUM(I188:L188)</f>
        <v>-139656</v>
      </c>
      <c r="N188" s="248">
        <v>-37838</v>
      </c>
      <c r="O188" s="181">
        <f>-258676-N188</f>
        <v>-220838</v>
      </c>
      <c r="P188" s="181">
        <f>-290226-O188-N188</f>
        <v>-31550</v>
      </c>
      <c r="Q188" s="177"/>
      <c r="R188" s="146">
        <f t="shared" ref="R188:R196" si="437">SUM(N188:Q188)</f>
        <v>-290226</v>
      </c>
      <c r="S188" s="203"/>
      <c r="T188" s="177"/>
      <c r="U188" s="177"/>
      <c r="V188" s="177"/>
      <c r="W188" s="222"/>
      <c r="X188" s="203"/>
      <c r="Y188" s="177"/>
      <c r="Z188" s="177"/>
      <c r="AA188" s="177"/>
      <c r="AB188" s="222"/>
      <c r="AC188" s="203"/>
      <c r="AD188" s="177"/>
      <c r="AE188" s="177"/>
      <c r="AF188" s="177"/>
      <c r="AG188" s="222"/>
      <c r="AH188" s="203"/>
      <c r="AI188" s="177"/>
      <c r="AJ188" s="177"/>
      <c r="AK188" s="177"/>
      <c r="AL188" s="222"/>
      <c r="AM188" s="203"/>
      <c r="AN188" s="177"/>
      <c r="AO188" s="177"/>
      <c r="AP188" s="177"/>
      <c r="AQ188" s="222"/>
    </row>
    <row r="189" spans="1:43" s="40" customFormat="1" outlineLevel="1" x14ac:dyDescent="0.3">
      <c r="B189" s="144" t="s">
        <v>153</v>
      </c>
      <c r="C189" s="145"/>
      <c r="D189" s="92">
        <v>40000</v>
      </c>
      <c r="E189" s="97">
        <f>103000-D189</f>
        <v>63000</v>
      </c>
      <c r="F189" s="97">
        <f>160000-E189-D189</f>
        <v>57000</v>
      </c>
      <c r="G189" s="97">
        <f>217000-F189-E189-D189</f>
        <v>57000</v>
      </c>
      <c r="H189" s="146">
        <f t="shared" si="435"/>
        <v>217000</v>
      </c>
      <c r="I189" s="92">
        <v>35000</v>
      </c>
      <c r="J189" s="97">
        <f>91000-I189</f>
        <v>56000</v>
      </c>
      <c r="K189" s="97">
        <f>120000-J189-I189</f>
        <v>29000</v>
      </c>
      <c r="L189" s="97">
        <f>215000-K189-J189-I189</f>
        <v>95000</v>
      </c>
      <c r="M189" s="146">
        <f t="shared" si="436"/>
        <v>215000</v>
      </c>
      <c r="N189" s="248">
        <v>13000</v>
      </c>
      <c r="O189" s="181">
        <f>34000-N189</f>
        <v>21000</v>
      </c>
      <c r="P189" s="181">
        <f>63000-O189-N189</f>
        <v>29000</v>
      </c>
      <c r="Q189" s="177"/>
      <c r="R189" s="146">
        <f t="shared" si="437"/>
        <v>63000</v>
      </c>
      <c r="S189" s="203"/>
      <c r="T189" s="177"/>
      <c r="U189" s="177"/>
      <c r="V189" s="177"/>
      <c r="W189" s="222"/>
      <c r="X189" s="203"/>
      <c r="Y189" s="177"/>
      <c r="Z189" s="177"/>
      <c r="AA189" s="177"/>
      <c r="AB189" s="222"/>
      <c r="AC189" s="203"/>
      <c r="AD189" s="177"/>
      <c r="AE189" s="177"/>
      <c r="AF189" s="177"/>
      <c r="AG189" s="222"/>
      <c r="AH189" s="203"/>
      <c r="AI189" s="177"/>
      <c r="AJ189" s="177"/>
      <c r="AK189" s="177"/>
      <c r="AL189" s="222"/>
      <c r="AM189" s="203"/>
      <c r="AN189" s="177"/>
      <c r="AO189" s="177"/>
      <c r="AP189" s="177"/>
      <c r="AQ189" s="222"/>
    </row>
    <row r="190" spans="1:43" s="40" customFormat="1" outlineLevel="1" x14ac:dyDescent="0.3">
      <c r="B190" s="471" t="s">
        <v>143</v>
      </c>
      <c r="C190" s="472"/>
      <c r="D190" s="92">
        <v>0</v>
      </c>
      <c r="E190" s="97">
        <v>0</v>
      </c>
      <c r="F190" s="97">
        <f>0-E190-D190</f>
        <v>0</v>
      </c>
      <c r="G190" s="97">
        <f>0-F190-E190-D190</f>
        <v>0</v>
      </c>
      <c r="H190" s="146">
        <f t="shared" si="435"/>
        <v>0</v>
      </c>
      <c r="I190" s="92">
        <v>-68</v>
      </c>
      <c r="J190" s="97">
        <f>0-I190</f>
        <v>68</v>
      </c>
      <c r="K190" s="97">
        <f>0-J190-I190</f>
        <v>0</v>
      </c>
      <c r="L190" s="97">
        <f>0-K190-J190-I190</f>
        <v>0</v>
      </c>
      <c r="M190" s="146">
        <f t="shared" si="436"/>
        <v>0</v>
      </c>
      <c r="N190" s="248">
        <v>0</v>
      </c>
      <c r="O190" s="181">
        <f>0-N190</f>
        <v>0</v>
      </c>
      <c r="P190" s="181">
        <f>0-O190-N190</f>
        <v>0</v>
      </c>
      <c r="Q190" s="177"/>
      <c r="R190" s="146">
        <f t="shared" si="437"/>
        <v>0</v>
      </c>
      <c r="S190" s="203"/>
      <c r="T190" s="177"/>
      <c r="U190" s="177"/>
      <c r="V190" s="177"/>
      <c r="W190" s="222"/>
      <c r="X190" s="203"/>
      <c r="Y190" s="177"/>
      <c r="Z190" s="177"/>
      <c r="AA190" s="177"/>
      <c r="AB190" s="222"/>
      <c r="AC190" s="203"/>
      <c r="AD190" s="177"/>
      <c r="AE190" s="177"/>
      <c r="AF190" s="177"/>
      <c r="AG190" s="222"/>
      <c r="AH190" s="203"/>
      <c r="AI190" s="177"/>
      <c r="AJ190" s="177"/>
      <c r="AK190" s="177"/>
      <c r="AL190" s="222"/>
      <c r="AM190" s="203"/>
      <c r="AN190" s="177"/>
      <c r="AO190" s="177"/>
      <c r="AP190" s="177"/>
      <c r="AQ190" s="222"/>
    </row>
    <row r="191" spans="1:43" s="41" customFormat="1" outlineLevel="1" x14ac:dyDescent="0.3">
      <c r="A191" s="40"/>
      <c r="B191" s="188" t="s">
        <v>144</v>
      </c>
      <c r="C191" s="189"/>
      <c r="D191" s="117">
        <v>329</v>
      </c>
      <c r="E191" s="114">
        <f>1449-D191</f>
        <v>1120</v>
      </c>
      <c r="F191" s="114">
        <f>2680-E191-D191</f>
        <v>1231</v>
      </c>
      <c r="G191" s="114">
        <f>3020-F191-E191-D191</f>
        <v>340</v>
      </c>
      <c r="H191" s="116">
        <f t="shared" si="435"/>
        <v>3020</v>
      </c>
      <c r="I191" s="117">
        <v>-174</v>
      </c>
      <c r="J191" s="114">
        <f>-315-I191</f>
        <v>-141</v>
      </c>
      <c r="K191" s="114">
        <f>180-J191-I191</f>
        <v>495</v>
      </c>
      <c r="L191" s="114">
        <f>-175-K191-J191-I191</f>
        <v>-355</v>
      </c>
      <c r="M191" s="116">
        <f t="shared" si="436"/>
        <v>-175</v>
      </c>
      <c r="N191" s="252">
        <v>-68</v>
      </c>
      <c r="O191" s="204">
        <f>-284-N191</f>
        <v>-216</v>
      </c>
      <c r="P191" s="204">
        <f>-187-O191-N191</f>
        <v>97</v>
      </c>
      <c r="Q191" s="235"/>
      <c r="R191" s="116">
        <f t="shared" si="437"/>
        <v>-187</v>
      </c>
      <c r="S191" s="203"/>
      <c r="T191" s="235"/>
      <c r="U191" s="235"/>
      <c r="V191" s="235"/>
      <c r="W191" s="223"/>
      <c r="X191" s="203"/>
      <c r="Y191" s="235"/>
      <c r="Z191" s="235"/>
      <c r="AA191" s="235"/>
      <c r="AB191" s="223"/>
      <c r="AC191" s="203"/>
      <c r="AD191" s="235"/>
      <c r="AE191" s="235"/>
      <c r="AF191" s="235"/>
      <c r="AG191" s="223"/>
      <c r="AH191" s="203"/>
      <c r="AI191" s="235"/>
      <c r="AJ191" s="235"/>
      <c r="AK191" s="235"/>
      <c r="AL191" s="223"/>
      <c r="AM191" s="203"/>
      <c r="AN191" s="235"/>
      <c r="AO191" s="235"/>
      <c r="AP191" s="235"/>
      <c r="AQ191" s="223"/>
    </row>
    <row r="192" spans="1:43" s="41" customFormat="1" outlineLevel="1" x14ac:dyDescent="0.3">
      <c r="A192" s="40"/>
      <c r="B192" s="193" t="s">
        <v>155</v>
      </c>
      <c r="C192" s="194"/>
      <c r="D192" s="117">
        <v>0</v>
      </c>
      <c r="E192" s="114">
        <f>-3-D192</f>
        <v>-3</v>
      </c>
      <c r="F192" s="114">
        <f>-1054-E192-D192</f>
        <v>-1051</v>
      </c>
      <c r="G192" s="114">
        <f>-1128-F192-E192-D192</f>
        <v>-74</v>
      </c>
      <c r="H192" s="116">
        <f t="shared" si="435"/>
        <v>-1128</v>
      </c>
      <c r="I192" s="117">
        <v>0</v>
      </c>
      <c r="J192" s="114">
        <f>-279-I192</f>
        <v>-279</v>
      </c>
      <c r="K192" s="114">
        <f>-339-J192-I192</f>
        <v>-60</v>
      </c>
      <c r="L192" s="114">
        <f>-387-K192-J192-I192</f>
        <v>-48</v>
      </c>
      <c r="M192" s="116">
        <f t="shared" si="436"/>
        <v>-387</v>
      </c>
      <c r="N192" s="252">
        <v>0</v>
      </c>
      <c r="O192" s="204">
        <f>0-N192</f>
        <v>0</v>
      </c>
      <c r="P192" s="204">
        <f>0-O192-N192</f>
        <v>0</v>
      </c>
      <c r="Q192" s="235"/>
      <c r="R192" s="116">
        <f t="shared" si="437"/>
        <v>0</v>
      </c>
      <c r="S192" s="203"/>
      <c r="T192" s="235"/>
      <c r="U192" s="235"/>
      <c r="V192" s="235"/>
      <c r="W192" s="223"/>
      <c r="X192" s="203"/>
      <c r="Y192" s="235"/>
      <c r="Z192" s="235"/>
      <c r="AA192" s="235"/>
      <c r="AB192" s="223"/>
      <c r="AC192" s="203"/>
      <c r="AD192" s="235"/>
      <c r="AE192" s="235"/>
      <c r="AF192" s="235"/>
      <c r="AG192" s="223"/>
      <c r="AH192" s="203"/>
      <c r="AI192" s="235"/>
      <c r="AJ192" s="235"/>
      <c r="AK192" s="235"/>
      <c r="AL192" s="223"/>
      <c r="AM192" s="203"/>
      <c r="AN192" s="235"/>
      <c r="AO192" s="235"/>
      <c r="AP192" s="235"/>
      <c r="AQ192" s="223"/>
    </row>
    <row r="193" spans="1:43" s="41" customFormat="1" outlineLevel="1" x14ac:dyDescent="0.3">
      <c r="A193" s="40"/>
      <c r="B193" s="193" t="s">
        <v>154</v>
      </c>
      <c r="C193" s="194"/>
      <c r="D193" s="117">
        <v>0</v>
      </c>
      <c r="E193" s="114">
        <f>-394-D193</f>
        <v>-394</v>
      </c>
      <c r="F193" s="114">
        <f>-393-E193-D193</f>
        <v>1</v>
      </c>
      <c r="G193" s="114">
        <f>-394-F193-E193</f>
        <v>-1</v>
      </c>
      <c r="H193" s="116">
        <f t="shared" si="435"/>
        <v>-394</v>
      </c>
      <c r="I193" s="117">
        <v>0</v>
      </c>
      <c r="J193" s="114">
        <f>0-I193</f>
        <v>0</v>
      </c>
      <c r="K193" s="114">
        <f>0-J193-I193</f>
        <v>0</v>
      </c>
      <c r="L193" s="114">
        <f>-1140-K193-J193</f>
        <v>-1140</v>
      </c>
      <c r="M193" s="116">
        <f t="shared" si="436"/>
        <v>-1140</v>
      </c>
      <c r="N193" s="252">
        <v>0</v>
      </c>
      <c r="O193" s="204">
        <f>-211-N193</f>
        <v>-211</v>
      </c>
      <c r="P193" s="204">
        <f>-211-O193-N193</f>
        <v>0</v>
      </c>
      <c r="Q193" s="235"/>
      <c r="R193" s="116">
        <f t="shared" si="437"/>
        <v>-211</v>
      </c>
      <c r="S193" s="203"/>
      <c r="T193" s="235"/>
      <c r="U193" s="235"/>
      <c r="V193" s="235"/>
      <c r="W193" s="223"/>
      <c r="X193" s="203"/>
      <c r="Y193" s="235"/>
      <c r="Z193" s="235"/>
      <c r="AA193" s="235"/>
      <c r="AB193" s="223"/>
      <c r="AC193" s="203"/>
      <c r="AD193" s="235"/>
      <c r="AE193" s="235"/>
      <c r="AF193" s="235"/>
      <c r="AG193" s="223"/>
      <c r="AH193" s="203"/>
      <c r="AI193" s="235"/>
      <c r="AJ193" s="235"/>
      <c r="AK193" s="235"/>
      <c r="AL193" s="223"/>
      <c r="AM193" s="203"/>
      <c r="AN193" s="235"/>
      <c r="AO193" s="235"/>
      <c r="AP193" s="235"/>
      <c r="AQ193" s="223"/>
    </row>
    <row r="194" spans="1:43" s="257" customFormat="1" outlineLevel="1" x14ac:dyDescent="0.3">
      <c r="A194" s="40"/>
      <c r="B194" s="471" t="s">
        <v>75</v>
      </c>
      <c r="C194" s="472"/>
      <c r="D194" s="92">
        <v>-22491</v>
      </c>
      <c r="E194" s="97">
        <f>-44937-D194</f>
        <v>-22446</v>
      </c>
      <c r="F194" s="97">
        <f>-67153-E194-D194</f>
        <v>-22216</v>
      </c>
      <c r="G194" s="97">
        <f>-89089-F194-E194-D194</f>
        <v>-21936</v>
      </c>
      <c r="H194" s="146">
        <f t="shared" si="435"/>
        <v>-89089</v>
      </c>
      <c r="I194" s="92">
        <v>-23940</v>
      </c>
      <c r="J194" s="97">
        <f>-47508-I194</f>
        <v>-23568</v>
      </c>
      <c r="K194" s="97">
        <f>-70933-J194-I194</f>
        <v>-23425</v>
      </c>
      <c r="L194" s="97">
        <f>-94235-K194-J194-I194</f>
        <v>-23302</v>
      </c>
      <c r="M194" s="146">
        <f t="shared" si="436"/>
        <v>-94235</v>
      </c>
      <c r="N194" s="248">
        <v>-23306</v>
      </c>
      <c r="O194" s="181">
        <f>-46626-N194</f>
        <v>-23320</v>
      </c>
      <c r="P194" s="181">
        <f>-70883-O194-N194</f>
        <v>-24257</v>
      </c>
      <c r="Q194" s="203">
        <f>-(Q47*Q46)</f>
        <v>-24863.520000000004</v>
      </c>
      <c r="R194" s="202">
        <f>SUM(N194:Q194)</f>
        <v>-95746.52</v>
      </c>
      <c r="S194" s="203">
        <f>-(S47*S46)</f>
        <v>-24739.202400000002</v>
      </c>
      <c r="T194" s="203">
        <f>-(T47*T46)</f>
        <v>-24615.506388000005</v>
      </c>
      <c r="U194" s="203">
        <f>-(U47*U46)</f>
        <v>-24492.428856060003</v>
      </c>
      <c r="V194" s="203">
        <f>-(V47*V46)</f>
        <v>-24369.966711779703</v>
      </c>
      <c r="W194" s="202">
        <f>SUM(S194:V194)</f>
        <v>-98217.104355839721</v>
      </c>
      <c r="X194" s="203">
        <f>-(X47*X46)</f>
        <v>-24248.116878220804</v>
      </c>
      <c r="Y194" s="203">
        <f>-(Y47*Y46)</f>
        <v>-24126.876293829704</v>
      </c>
      <c r="Z194" s="203">
        <f>-(Z47*Z46)</f>
        <v>-24006.241912360554</v>
      </c>
      <c r="AA194" s="203">
        <f>-(AA47*AA46)</f>
        <v>-23886.210702798751</v>
      </c>
      <c r="AB194" s="202">
        <f>SUM(X194:AA194)</f>
        <v>-96267.445787209814</v>
      </c>
      <c r="AC194" s="203">
        <f>-(AC47*AC46)</f>
        <v>-23766.779649284756</v>
      </c>
      <c r="AD194" s="203">
        <f>-(AD47*AD46)</f>
        <v>-23647.945751038329</v>
      </c>
      <c r="AE194" s="203">
        <f>-(AE47*AE46)</f>
        <v>-23529.706022283139</v>
      </c>
      <c r="AF194" s="203">
        <f>-(AF47*AF46)</f>
        <v>-23412.057492171723</v>
      </c>
      <c r="AG194" s="202">
        <f>SUM(AC194:AF194)</f>
        <v>-94356.488914777947</v>
      </c>
      <c r="AH194" s="203">
        <f>-(AH47*AH46)</f>
        <v>-23294.997204710864</v>
      </c>
      <c r="AI194" s="203">
        <f>-(AI47*AI46)</f>
        <v>-23178.522218687311</v>
      </c>
      <c r="AJ194" s="203">
        <f>-(AJ47*AJ46)</f>
        <v>-23062.629607593874</v>
      </c>
      <c r="AK194" s="203">
        <f>-(AK47*AK46)</f>
        <v>-22947.316459555903</v>
      </c>
      <c r="AL194" s="202">
        <f>SUM(AH194:AK194)</f>
        <v>-92483.465490547955</v>
      </c>
      <c r="AM194" s="203">
        <f>-(AM47*AM46)</f>
        <v>-22832.579877258122</v>
      </c>
      <c r="AN194" s="203">
        <f>-(AN47*AN46)</f>
        <v>-22718.416977871831</v>
      </c>
      <c r="AO194" s="203">
        <f>-(AO47*AO46)</f>
        <v>-22604.824892982473</v>
      </c>
      <c r="AP194" s="203">
        <f>-(AP47*AP46)</f>
        <v>-22491.800768517558</v>
      </c>
      <c r="AQ194" s="202">
        <f>SUM(AM194:AP194)</f>
        <v>-90647.622516629985</v>
      </c>
    </row>
    <row r="195" spans="1:43" s="40" customFormat="1" outlineLevel="1" x14ac:dyDescent="0.3">
      <c r="B195" s="100" t="s">
        <v>145</v>
      </c>
      <c r="C195" s="101"/>
      <c r="D195" s="92">
        <v>-46811</v>
      </c>
      <c r="E195" s="97">
        <f>-125294-D195</f>
        <v>-78483</v>
      </c>
      <c r="F195" s="97">
        <f>-210402-E195-D195</f>
        <v>-85108</v>
      </c>
      <c r="G195" s="97">
        <f>-264368-F195-E195-D195</f>
        <v>-53966</v>
      </c>
      <c r="H195" s="146">
        <f t="shared" si="435"/>
        <v>-264368</v>
      </c>
      <c r="I195" s="92">
        <v>-69633</v>
      </c>
      <c r="J195" s="97">
        <f>-115583-I195</f>
        <v>-45950</v>
      </c>
      <c r="K195" s="97">
        <f>-139255-J195-I195</f>
        <v>-23672</v>
      </c>
      <c r="L195" s="97">
        <f>-159709-K195-J195-I195</f>
        <v>-20454</v>
      </c>
      <c r="M195" s="146">
        <f t="shared" si="436"/>
        <v>-159709</v>
      </c>
      <c r="N195" s="248">
        <v>-696</v>
      </c>
      <c r="O195" s="181">
        <f>-1112-N195</f>
        <v>-416</v>
      </c>
      <c r="P195" s="181">
        <f>-2157-O195-N195</f>
        <v>-1045</v>
      </c>
      <c r="Q195" s="177"/>
      <c r="R195" s="146">
        <f t="shared" si="437"/>
        <v>-2157</v>
      </c>
      <c r="S195" s="203"/>
      <c r="T195" s="177"/>
      <c r="U195" s="177"/>
      <c r="V195" s="177"/>
      <c r="W195" s="222"/>
      <c r="X195" s="203"/>
      <c r="Y195" s="177"/>
      <c r="Z195" s="177"/>
      <c r="AA195" s="177"/>
      <c r="AB195" s="222"/>
      <c r="AC195" s="203"/>
      <c r="AD195" s="177"/>
      <c r="AE195" s="177"/>
      <c r="AF195" s="177"/>
      <c r="AG195" s="222"/>
      <c r="AH195" s="203"/>
      <c r="AI195" s="177"/>
      <c r="AJ195" s="177"/>
      <c r="AK195" s="177"/>
      <c r="AL195" s="222"/>
      <c r="AM195" s="203"/>
      <c r="AN195" s="177"/>
      <c r="AO195" s="177"/>
      <c r="AP195" s="177"/>
      <c r="AQ195" s="222"/>
    </row>
    <row r="196" spans="1:43" s="40" customFormat="1" outlineLevel="1" x14ac:dyDescent="0.3">
      <c r="B196" s="220" t="s">
        <v>160</v>
      </c>
      <c r="C196" s="221"/>
      <c r="D196" s="92">
        <v>0</v>
      </c>
      <c r="E196" s="97">
        <v>0</v>
      </c>
      <c r="F196" s="97">
        <v>0</v>
      </c>
      <c r="G196" s="97">
        <v>0</v>
      </c>
      <c r="H196" s="146">
        <v>0</v>
      </c>
      <c r="I196" s="92">
        <v>0</v>
      </c>
      <c r="J196" s="97">
        <v>0</v>
      </c>
      <c r="K196" s="97">
        <v>0</v>
      </c>
      <c r="L196" s="97">
        <v>0</v>
      </c>
      <c r="M196" s="146">
        <v>0</v>
      </c>
      <c r="N196" s="248">
        <v>0</v>
      </c>
      <c r="O196" s="181">
        <f>197211-N196</f>
        <v>197211</v>
      </c>
      <c r="P196" s="181">
        <f>197202-N196-O196</f>
        <v>-9</v>
      </c>
      <c r="Q196" s="177"/>
      <c r="R196" s="146">
        <f t="shared" si="437"/>
        <v>197202</v>
      </c>
      <c r="S196" s="203"/>
      <c r="T196" s="177"/>
      <c r="U196" s="177"/>
      <c r="V196" s="177"/>
      <c r="W196" s="222"/>
      <c r="X196" s="203"/>
      <c r="Y196" s="177"/>
      <c r="Z196" s="177"/>
      <c r="AA196" s="177"/>
      <c r="AB196" s="222"/>
      <c r="AC196" s="203"/>
      <c r="AD196" s="177"/>
      <c r="AE196" s="177"/>
      <c r="AF196" s="177"/>
      <c r="AG196" s="222"/>
      <c r="AH196" s="203"/>
      <c r="AI196" s="177"/>
      <c r="AJ196" s="177"/>
      <c r="AK196" s="177"/>
      <c r="AL196" s="222"/>
      <c r="AM196" s="203"/>
      <c r="AN196" s="177"/>
      <c r="AO196" s="177"/>
      <c r="AP196" s="177"/>
      <c r="AQ196" s="222"/>
    </row>
    <row r="197" spans="1:43" s="40" customFormat="1" ht="16.2" outlineLevel="1" x14ac:dyDescent="0.45">
      <c r="B197" s="495" t="s">
        <v>146</v>
      </c>
      <c r="C197" s="481"/>
      <c r="D197" s="130">
        <f>SUM(D188:D196)</f>
        <v>-56984</v>
      </c>
      <c r="E197" s="127">
        <f t="shared" ref="E197:F197" si="438">SUM(E188:E196)</f>
        <v>-46236</v>
      </c>
      <c r="F197" s="127">
        <f t="shared" si="438"/>
        <v>-70259</v>
      </c>
      <c r="G197" s="127">
        <f>SUM(G188:G196)</f>
        <v>-89642</v>
      </c>
      <c r="H197" s="132">
        <f t="shared" ref="H197:P197" si="439">SUM(H188:H196)</f>
        <v>-263121</v>
      </c>
      <c r="I197" s="130">
        <f>SUM(I188:I196)</f>
        <v>-76815</v>
      </c>
      <c r="J197" s="127">
        <f t="shared" si="439"/>
        <v>-22870</v>
      </c>
      <c r="K197" s="127">
        <f t="shared" si="439"/>
        <v>-40355</v>
      </c>
      <c r="L197" s="127">
        <f t="shared" si="439"/>
        <v>-40262</v>
      </c>
      <c r="M197" s="132">
        <f t="shared" si="439"/>
        <v>-180302</v>
      </c>
      <c r="N197" s="253">
        <f>SUM(N188:N196)</f>
        <v>-48908</v>
      </c>
      <c r="O197" s="210">
        <f t="shared" si="439"/>
        <v>-26790</v>
      </c>
      <c r="P197" s="210">
        <f t="shared" si="439"/>
        <v>-27764</v>
      </c>
      <c r="Q197" s="127">
        <f>SUM(Q188:Q196)</f>
        <v>-24863.520000000004</v>
      </c>
      <c r="R197" s="132">
        <f>SUM(R188:R196)</f>
        <v>-128325.52000000002</v>
      </c>
      <c r="S197" s="253">
        <f>SUM(S188:S196)</f>
        <v>-24739.202400000002</v>
      </c>
      <c r="T197" s="210">
        <f t="shared" ref="T197:U197" si="440">SUM(T188:T196)</f>
        <v>-24615.506388000005</v>
      </c>
      <c r="U197" s="210">
        <f t="shared" si="440"/>
        <v>-24492.428856060003</v>
      </c>
      <c r="V197" s="127">
        <f>SUM(V188:V196)</f>
        <v>-24369.966711779703</v>
      </c>
      <c r="W197" s="132">
        <f t="shared" ref="W197" si="441">SUM(W188:W196)</f>
        <v>-98217.104355839721</v>
      </c>
      <c r="X197" s="253">
        <f>SUM(X188:X196)</f>
        <v>-24248.116878220804</v>
      </c>
      <c r="Y197" s="210">
        <f t="shared" ref="Y197:Z197" si="442">SUM(Y188:Y196)</f>
        <v>-24126.876293829704</v>
      </c>
      <c r="Z197" s="210">
        <f t="shared" si="442"/>
        <v>-24006.241912360554</v>
      </c>
      <c r="AA197" s="127">
        <f>SUM(AA188:AA196)</f>
        <v>-23886.210702798751</v>
      </c>
      <c r="AB197" s="132">
        <f t="shared" ref="AB197" si="443">SUM(AB188:AB196)</f>
        <v>-96267.445787209814</v>
      </c>
      <c r="AC197" s="253">
        <f>SUM(AC188:AC196)</f>
        <v>-23766.779649284756</v>
      </c>
      <c r="AD197" s="210">
        <f t="shared" ref="AD197:AE197" si="444">SUM(AD188:AD196)</f>
        <v>-23647.945751038329</v>
      </c>
      <c r="AE197" s="210">
        <f t="shared" si="444"/>
        <v>-23529.706022283139</v>
      </c>
      <c r="AF197" s="127">
        <f>SUM(AF188:AF196)</f>
        <v>-23412.057492171723</v>
      </c>
      <c r="AG197" s="132">
        <f t="shared" ref="AG197" si="445">SUM(AG188:AG196)</f>
        <v>-94356.488914777947</v>
      </c>
      <c r="AH197" s="253">
        <f>SUM(AH188:AH196)</f>
        <v>-23294.997204710864</v>
      </c>
      <c r="AI197" s="210">
        <f t="shared" ref="AI197:AJ197" si="446">SUM(AI188:AI196)</f>
        <v>-23178.522218687311</v>
      </c>
      <c r="AJ197" s="210">
        <f t="shared" si="446"/>
        <v>-23062.629607593874</v>
      </c>
      <c r="AK197" s="127">
        <f>SUM(AK188:AK196)</f>
        <v>-22947.316459555903</v>
      </c>
      <c r="AL197" s="132">
        <f t="shared" ref="AL197" si="447">SUM(AL188:AL196)</f>
        <v>-92483.465490547955</v>
      </c>
      <c r="AM197" s="253">
        <f>SUM(AM188:AM196)</f>
        <v>-22832.579877258122</v>
      </c>
      <c r="AN197" s="210">
        <f t="shared" ref="AN197:AO197" si="448">SUM(AN188:AN196)</f>
        <v>-22718.416977871831</v>
      </c>
      <c r="AO197" s="210">
        <f t="shared" si="448"/>
        <v>-22604.824892982473</v>
      </c>
      <c r="AP197" s="127">
        <f>SUM(AP188:AP196)</f>
        <v>-22491.800768517558</v>
      </c>
      <c r="AQ197" s="132">
        <f t="shared" ref="AQ197" si="449">SUM(AQ188:AQ196)</f>
        <v>-90647.622516629985</v>
      </c>
    </row>
    <row r="198" spans="1:43" s="40" customFormat="1" ht="14.55" customHeight="1" outlineLevel="1" x14ac:dyDescent="0.3">
      <c r="B198" s="504" t="s">
        <v>147</v>
      </c>
      <c r="C198" s="505"/>
      <c r="D198" s="149">
        <f t="shared" ref="D198:I198" si="450">D179+D186+D197</f>
        <v>-1835</v>
      </c>
      <c r="E198" s="119">
        <f>E179+E186+E197</f>
        <v>6295</v>
      </c>
      <c r="F198" s="119">
        <f>F179+F186+F197</f>
        <v>-4241</v>
      </c>
      <c r="G198" s="119">
        <f>G179+G186+G197</f>
        <v>-1957</v>
      </c>
      <c r="H198" s="151">
        <f t="shared" si="450"/>
        <v>-1738</v>
      </c>
      <c r="I198" s="149">
        <f t="shared" si="450"/>
        <v>-4213</v>
      </c>
      <c r="J198" s="119">
        <f t="shared" ref="J198:O198" si="451">J179+J186+J197</f>
        <v>3443</v>
      </c>
      <c r="K198" s="119">
        <f t="shared" si="451"/>
        <v>-4119</v>
      </c>
      <c r="L198" s="119">
        <f t="shared" si="451"/>
        <v>4033</v>
      </c>
      <c r="M198" s="151">
        <f>M179+M186+M197</f>
        <v>-856</v>
      </c>
      <c r="N198" s="149">
        <f>N179+N186+N197</f>
        <v>-5829</v>
      </c>
      <c r="O198" s="183">
        <f t="shared" si="451"/>
        <v>-1887</v>
      </c>
      <c r="P198" s="183">
        <f>P179+P186+P197</f>
        <v>2441</v>
      </c>
      <c r="Q198" s="119">
        <f>Q179+Q186+Q197</f>
        <v>-6971.7700159830929</v>
      </c>
      <c r="R198" s="151">
        <f>R179+R186+R197</f>
        <v>-12246.770015983027</v>
      </c>
      <c r="S198" s="149">
        <f>S179+S186+S197</f>
        <v>8847.7225336360425</v>
      </c>
      <c r="T198" s="183">
        <f>T179+T186+T197</f>
        <v>-12295.684053635894</v>
      </c>
      <c r="U198" s="183">
        <f t="shared" ref="U198" si="452">U179+U186+U197</f>
        <v>14373.378433849779</v>
      </c>
      <c r="V198" s="119">
        <f>V179+V186+V197</f>
        <v>-4497.7155865943641</v>
      </c>
      <c r="W198" s="151">
        <f t="shared" ref="W198" si="453">W179+W186+W197</f>
        <v>6427.7013272555341</v>
      </c>
      <c r="X198" s="149">
        <f>X179+X186+X197</f>
        <v>20078.176595581623</v>
      </c>
      <c r="Y198" s="183">
        <f t="shared" ref="Y198:Z198" si="454">Y179+Y186+Y197</f>
        <v>-1034.9195972898451</v>
      </c>
      <c r="Z198" s="183">
        <f t="shared" si="454"/>
        <v>22828.246582435921</v>
      </c>
      <c r="AA198" s="119">
        <f>AA179+AA186+AA197</f>
        <v>1887.149520281735</v>
      </c>
      <c r="AB198" s="151">
        <f t="shared" ref="AB198" si="455">AB179+AB186+AB197</f>
        <v>43758.653101009317</v>
      </c>
      <c r="AC198" s="149">
        <f>AC179+AC186+AC197</f>
        <v>33393.686641343222</v>
      </c>
      <c r="AD198" s="183">
        <f t="shared" ref="AD198:AE198" si="456">AD179+AD186+AD197</f>
        <v>9824.8096072277986</v>
      </c>
      <c r="AE198" s="183">
        <f t="shared" si="456"/>
        <v>37524.978662867492</v>
      </c>
      <c r="AF198" s="119">
        <f>AF179+AF186+AF197</f>
        <v>14192.06620613184</v>
      </c>
      <c r="AG198" s="151">
        <f t="shared" ref="AG198" si="457">AG179+AG186+AG197</f>
        <v>94935.541117570174</v>
      </c>
      <c r="AH198" s="149">
        <f>AH179+AH186+AH197</f>
        <v>45869.080563700409</v>
      </c>
      <c r="AI198" s="183">
        <f t="shared" ref="AI198:AJ198" si="458">AI179+AI186+AI197</f>
        <v>22210.258102680233</v>
      </c>
      <c r="AJ198" s="183">
        <f t="shared" si="458"/>
        <v>51382.583830907344</v>
      </c>
      <c r="AK198" s="119">
        <f>AK179+AK186+AK197</f>
        <v>28025.139769346828</v>
      </c>
      <c r="AL198" s="151">
        <f t="shared" ref="AL198" si="459">AL179+AL186+AL197</f>
        <v>147487.06226663495</v>
      </c>
      <c r="AM198" s="149">
        <f>AM179+AM186+AM197</f>
        <v>57512.928250855708</v>
      </c>
      <c r="AN198" s="183">
        <f t="shared" ref="AN198:AO198" si="460">AN179+AN186+AN197</f>
        <v>34485.839043126209</v>
      </c>
      <c r="AO198" s="183">
        <f t="shared" si="460"/>
        <v>64319.720052701334</v>
      </c>
      <c r="AP198" s="119">
        <f>AP179+AP186+AP197</f>
        <v>41655.346622813362</v>
      </c>
      <c r="AQ198" s="151">
        <f t="shared" ref="AQ198" si="461">AQ179+AQ186+AQ197</f>
        <v>197973.83396949648</v>
      </c>
    </row>
    <row r="199" spans="1:43" s="40" customFormat="1" outlineLevel="1" x14ac:dyDescent="0.3">
      <c r="B199" s="504" t="s">
        <v>148</v>
      </c>
      <c r="C199" s="505"/>
      <c r="D199" s="149">
        <v>25088</v>
      </c>
      <c r="E199" s="119">
        <f>D200</f>
        <v>23253</v>
      </c>
      <c r="F199" s="119">
        <f>E200</f>
        <v>29548</v>
      </c>
      <c r="G199" s="119">
        <f>F200</f>
        <v>25307</v>
      </c>
      <c r="H199" s="151">
        <f>D199</f>
        <v>25088</v>
      </c>
      <c r="I199" s="149">
        <f t="shared" ref="I199" si="462">H108</f>
        <v>23350</v>
      </c>
      <c r="J199" s="119">
        <f>I200</f>
        <v>19137</v>
      </c>
      <c r="K199" s="119">
        <f>J200</f>
        <v>22580</v>
      </c>
      <c r="L199" s="119">
        <f>K200</f>
        <v>18461</v>
      </c>
      <c r="M199" s="151">
        <f>H200</f>
        <v>23350</v>
      </c>
      <c r="N199" s="254">
        <f>M108</f>
        <v>22494</v>
      </c>
      <c r="O199" s="183">
        <f>N200</f>
        <v>16665</v>
      </c>
      <c r="P199" s="183">
        <f>O200</f>
        <v>14778</v>
      </c>
      <c r="Q199" s="119">
        <f>P200</f>
        <v>17219</v>
      </c>
      <c r="R199" s="151">
        <f>M200</f>
        <v>22494</v>
      </c>
      <c r="S199" s="254">
        <f>R108</f>
        <v>10247.229984016907</v>
      </c>
      <c r="T199" s="183">
        <f>S200</f>
        <v>19094.95251765295</v>
      </c>
      <c r="U199" s="183">
        <f>T200</f>
        <v>6799.2684640170555</v>
      </c>
      <c r="V199" s="119">
        <f>U200</f>
        <v>21172.646897866834</v>
      </c>
      <c r="W199" s="151">
        <f>R200</f>
        <v>10247.229984016973</v>
      </c>
      <c r="X199" s="254">
        <f>W108</f>
        <v>16674.93131127247</v>
      </c>
      <c r="Y199" s="183">
        <f>X200</f>
        <v>36753.107906854093</v>
      </c>
      <c r="Z199" s="183">
        <f>Y200</f>
        <v>35718.188309564248</v>
      </c>
      <c r="AA199" s="119">
        <f>Z200</f>
        <v>58546.434892000165</v>
      </c>
      <c r="AB199" s="151">
        <f>W200</f>
        <v>16674.931311272507</v>
      </c>
      <c r="AC199" s="254">
        <f>AB108</f>
        <v>60433.584412281896</v>
      </c>
      <c r="AD199" s="183">
        <f>AC200</f>
        <v>93827.271053625125</v>
      </c>
      <c r="AE199" s="183">
        <f>AD200</f>
        <v>103652.08066085292</v>
      </c>
      <c r="AF199" s="119">
        <f>AE200</f>
        <v>141177.0593237204</v>
      </c>
      <c r="AG199" s="151">
        <f>AB200</f>
        <v>60433.584412281823</v>
      </c>
      <c r="AH199" s="254">
        <f>AG108</f>
        <v>155369.12552985223</v>
      </c>
      <c r="AI199" s="183">
        <f>AH200</f>
        <v>201238.20609355264</v>
      </c>
      <c r="AJ199" s="183">
        <f>AI200</f>
        <v>223448.46419623288</v>
      </c>
      <c r="AK199" s="119">
        <f>AJ200</f>
        <v>274831.0480271402</v>
      </c>
      <c r="AL199" s="151">
        <f>AG200</f>
        <v>155369.125529852</v>
      </c>
      <c r="AM199" s="254">
        <f>AL108</f>
        <v>302856.18779648701</v>
      </c>
      <c r="AN199" s="183">
        <f>AM200</f>
        <v>360369.11604734272</v>
      </c>
      <c r="AO199" s="183">
        <f>AN200</f>
        <v>394854.95509046892</v>
      </c>
      <c r="AP199" s="119">
        <f>AO200</f>
        <v>459174.67514317029</v>
      </c>
      <c r="AQ199" s="151">
        <f>AL200</f>
        <v>302856.18779648695</v>
      </c>
    </row>
    <row r="200" spans="1:43" s="40" customFormat="1" ht="16.2" outlineLevel="1" x14ac:dyDescent="0.45">
      <c r="B200" s="504" t="s">
        <v>149</v>
      </c>
      <c r="C200" s="505"/>
      <c r="D200" s="130">
        <f>D199+D198</f>
        <v>23253</v>
      </c>
      <c r="E200" s="127">
        <f>E199+E198</f>
        <v>29548</v>
      </c>
      <c r="F200" s="127">
        <f>F199+F198</f>
        <v>25307</v>
      </c>
      <c r="G200" s="128">
        <f>G199+G198</f>
        <v>23350</v>
      </c>
      <c r="H200" s="132">
        <f>H199+H198</f>
        <v>23350</v>
      </c>
      <c r="I200" s="130">
        <f t="shared" ref="I200" si="463">I199+I198</f>
        <v>19137</v>
      </c>
      <c r="J200" s="127">
        <f>J199+J198</f>
        <v>22580</v>
      </c>
      <c r="K200" s="127">
        <f>K199+K198</f>
        <v>18461</v>
      </c>
      <c r="L200" s="127">
        <f t="shared" ref="L200" si="464">L199+L198</f>
        <v>22494</v>
      </c>
      <c r="M200" s="132">
        <f t="shared" ref="M200:AL200" si="465">M199+M198</f>
        <v>22494</v>
      </c>
      <c r="N200" s="130">
        <f t="shared" si="465"/>
        <v>16665</v>
      </c>
      <c r="O200" s="210">
        <f t="shared" si="465"/>
        <v>14778</v>
      </c>
      <c r="P200" s="210">
        <f t="shared" si="465"/>
        <v>17219</v>
      </c>
      <c r="Q200" s="128">
        <f t="shared" si="465"/>
        <v>10247.229984016907</v>
      </c>
      <c r="R200" s="132">
        <f t="shared" si="465"/>
        <v>10247.229984016973</v>
      </c>
      <c r="S200" s="130">
        <f t="shared" si="465"/>
        <v>19094.95251765295</v>
      </c>
      <c r="T200" s="210">
        <f t="shared" si="465"/>
        <v>6799.2684640170555</v>
      </c>
      <c r="U200" s="210">
        <f t="shared" si="465"/>
        <v>21172.646897866834</v>
      </c>
      <c r="V200" s="128">
        <f t="shared" si="465"/>
        <v>16674.93131127247</v>
      </c>
      <c r="W200" s="132">
        <f t="shared" si="465"/>
        <v>16674.931311272507</v>
      </c>
      <c r="X200" s="130">
        <f t="shared" si="465"/>
        <v>36753.107906854093</v>
      </c>
      <c r="Y200" s="210">
        <f t="shared" si="465"/>
        <v>35718.188309564248</v>
      </c>
      <c r="Z200" s="210">
        <f t="shared" si="465"/>
        <v>58546.434892000165</v>
      </c>
      <c r="AA200" s="128">
        <f t="shared" si="465"/>
        <v>60433.584412281896</v>
      </c>
      <c r="AB200" s="132">
        <f t="shared" si="465"/>
        <v>60433.584412281823</v>
      </c>
      <c r="AC200" s="130">
        <f t="shared" si="465"/>
        <v>93827.271053625125</v>
      </c>
      <c r="AD200" s="210">
        <f t="shared" si="465"/>
        <v>103652.08066085292</v>
      </c>
      <c r="AE200" s="210">
        <f t="shared" si="465"/>
        <v>141177.0593237204</v>
      </c>
      <c r="AF200" s="128">
        <f t="shared" si="465"/>
        <v>155369.12552985223</v>
      </c>
      <c r="AG200" s="132">
        <f t="shared" si="465"/>
        <v>155369.125529852</v>
      </c>
      <c r="AH200" s="130">
        <f>AH199+AH198</f>
        <v>201238.20609355264</v>
      </c>
      <c r="AI200" s="210">
        <f t="shared" si="465"/>
        <v>223448.46419623288</v>
      </c>
      <c r="AJ200" s="210">
        <f t="shared" si="465"/>
        <v>274831.0480271402</v>
      </c>
      <c r="AK200" s="128">
        <f t="shared" si="465"/>
        <v>302856.18779648701</v>
      </c>
      <c r="AL200" s="132">
        <f t="shared" si="465"/>
        <v>302856.18779648695</v>
      </c>
      <c r="AM200" s="130">
        <f>AM199+AM198</f>
        <v>360369.11604734272</v>
      </c>
      <c r="AN200" s="210">
        <f t="shared" ref="AN200:AQ200" si="466">AN199+AN198</f>
        <v>394854.95509046892</v>
      </c>
      <c r="AO200" s="210">
        <f t="shared" si="466"/>
        <v>459174.67514317029</v>
      </c>
      <c r="AP200" s="128">
        <f t="shared" si="466"/>
        <v>500830.02176598366</v>
      </c>
      <c r="AQ200" s="132">
        <f t="shared" si="466"/>
        <v>500830.02176598343</v>
      </c>
    </row>
    <row r="201" spans="1:43" s="398" customFormat="1" outlineLevel="1" x14ac:dyDescent="0.3">
      <c r="A201" s="47"/>
      <c r="B201" s="311" t="s">
        <v>250</v>
      </c>
      <c r="C201" s="314"/>
      <c r="D201" s="49">
        <f t="shared" ref="D201:AQ201" si="467">(D108-D129)/D46</f>
        <v>-5.6603736001062366</v>
      </c>
      <c r="E201" s="32">
        <f t="shared" si="467"/>
        <v>-6.756891560899577</v>
      </c>
      <c r="F201" s="32">
        <f t="shared" si="467"/>
        <v>-7.7666794348933106</v>
      </c>
      <c r="G201" s="396">
        <f t="shared" si="467"/>
        <v>-7.4585201793721971</v>
      </c>
      <c r="H201" s="30">
        <f t="shared" si="467"/>
        <v>-7.4321578002092652</v>
      </c>
      <c r="I201" s="49">
        <f t="shared" si="467"/>
        <v>-8.1411448028343987</v>
      </c>
      <c r="J201" s="32">
        <f t="shared" si="467"/>
        <v>-9.2862496799273728</v>
      </c>
      <c r="K201" s="32">
        <f t="shared" si="467"/>
        <v>-9.5944476982546565</v>
      </c>
      <c r="L201" s="32">
        <f t="shared" si="467"/>
        <v>-9.5202060221870042</v>
      </c>
      <c r="M201" s="30">
        <f t="shared" si="467"/>
        <v>-9.497391806703682</v>
      </c>
      <c r="N201" s="49">
        <f t="shared" si="467"/>
        <v>-9.1826669802445906</v>
      </c>
      <c r="O201" s="397">
        <f t="shared" si="467"/>
        <v>-4.4468222043443282</v>
      </c>
      <c r="P201" s="397">
        <f t="shared" si="467"/>
        <v>-4.2676895306859208</v>
      </c>
      <c r="Q201" s="397">
        <f t="shared" si="467"/>
        <v>-4.3382302066960223</v>
      </c>
      <c r="R201" s="30">
        <f t="shared" si="467"/>
        <v>-4.4621236305681666</v>
      </c>
      <c r="S201" s="49">
        <f t="shared" si="467"/>
        <v>-4.1633284877159529</v>
      </c>
      <c r="T201" s="397">
        <f t="shared" si="467"/>
        <v>-4.4589800678769853</v>
      </c>
      <c r="U201" s="397">
        <f t="shared" si="467"/>
        <v>-4.1586195801471932</v>
      </c>
      <c r="V201" s="397">
        <f t="shared" si="467"/>
        <v>-4.2810250425320016</v>
      </c>
      <c r="W201" s="30">
        <f t="shared" si="467"/>
        <v>-4.2526813724077588</v>
      </c>
      <c r="X201" s="49">
        <f t="shared" si="467"/>
        <v>-3.8471210411814476</v>
      </c>
      <c r="Y201" s="397">
        <f t="shared" si="467"/>
        <v>-3.8900454947722514</v>
      </c>
      <c r="Z201" s="397">
        <f t="shared" si="467"/>
        <v>-3.3865821691790869</v>
      </c>
      <c r="AA201" s="397">
        <f t="shared" si="467"/>
        <v>-3.3601469723215978</v>
      </c>
      <c r="AB201" s="30">
        <f t="shared" si="467"/>
        <v>-3.3359607746592488</v>
      </c>
      <c r="AC201" s="49">
        <f t="shared" si="467"/>
        <v>-2.604250631926436</v>
      </c>
      <c r="AD201" s="397">
        <f t="shared" si="467"/>
        <v>-2.3888335262292495</v>
      </c>
      <c r="AE201" s="397">
        <f t="shared" si="467"/>
        <v>-1.5237023079676775</v>
      </c>
      <c r="AF201" s="397">
        <f t="shared" si="467"/>
        <v>-1.1979566925273104</v>
      </c>
      <c r="AG201" s="30">
        <f t="shared" si="467"/>
        <v>-1.1893366004514387</v>
      </c>
      <c r="AH201" s="49">
        <f t="shared" si="467"/>
        <v>-0.12099750962734805</v>
      </c>
      <c r="AI201" s="397">
        <f t="shared" si="467"/>
        <v>0.40541865522176812</v>
      </c>
      <c r="AJ201" s="397">
        <f t="shared" si="467"/>
        <v>1.6328331615111049</v>
      </c>
      <c r="AK201" s="397">
        <f t="shared" si="467"/>
        <v>2.31274333892613</v>
      </c>
      <c r="AL201" s="30">
        <f t="shared" si="467"/>
        <v>2.2961042227102544</v>
      </c>
      <c r="AM201" s="49">
        <f t="shared" si="467"/>
        <v>3.7097587868467454</v>
      </c>
      <c r="AN201" s="397">
        <f t="shared" si="467"/>
        <v>4.5632834101396691</v>
      </c>
      <c r="AO201" s="397">
        <f t="shared" si="467"/>
        <v>6.1511832976821585</v>
      </c>
      <c r="AP201" s="397">
        <f t="shared" si="467"/>
        <v>7.2007067659067499</v>
      </c>
      <c r="AQ201" s="30">
        <f t="shared" si="467"/>
        <v>7.1489017910494272</v>
      </c>
    </row>
    <row r="202" spans="1:43" s="40" customFormat="1" outlineLevel="1" x14ac:dyDescent="0.3">
      <c r="B202" s="392" t="s">
        <v>159</v>
      </c>
      <c r="C202" s="316"/>
      <c r="D202" s="117">
        <f>D179+D181</f>
        <v>57956</v>
      </c>
      <c r="E202" s="114">
        <f t="shared" ref="E202:P202" si="468">E179+E181</f>
        <v>53490</v>
      </c>
      <c r="F202" s="114">
        <f t="shared" si="468"/>
        <v>66589</v>
      </c>
      <c r="G202" s="115">
        <f t="shared" si="468"/>
        <v>88828</v>
      </c>
      <c r="H202" s="116">
        <f>H179+H181</f>
        <v>266863</v>
      </c>
      <c r="I202" s="117">
        <f>I179+I181</f>
        <v>72709</v>
      </c>
      <c r="J202" s="114">
        <f t="shared" si="468"/>
        <v>41273</v>
      </c>
      <c r="K202" s="114">
        <f t="shared" si="468"/>
        <v>37512</v>
      </c>
      <c r="L202" s="114">
        <f t="shared" si="468"/>
        <v>44809</v>
      </c>
      <c r="M202" s="116">
        <f>M179+M181</f>
        <v>196303</v>
      </c>
      <c r="N202" s="117">
        <f>N179+N181</f>
        <v>43239</v>
      </c>
      <c r="O202" s="204">
        <f t="shared" si="468"/>
        <v>25273</v>
      </c>
      <c r="P202" s="204">
        <f t="shared" si="468"/>
        <v>32432</v>
      </c>
      <c r="Q202" s="394">
        <f>Q179+Q181</f>
        <v>17891.749984016911</v>
      </c>
      <c r="R202" s="116">
        <f>R179+R181</f>
        <v>118835.74998401699</v>
      </c>
      <c r="S202" s="117">
        <f>S179+S181</f>
        <v>33586.924933636044</v>
      </c>
      <c r="T202" s="204">
        <f t="shared" ref="T202:U202" si="469">T179+T181</f>
        <v>12319.822334364111</v>
      </c>
      <c r="U202" s="204">
        <f t="shared" si="469"/>
        <v>38865.807289909782</v>
      </c>
      <c r="V202" s="394">
        <f>V179+V181</f>
        <v>19872.251125185339</v>
      </c>
      <c r="W202" s="116">
        <f t="shared" ref="W202" si="470">W179+W181</f>
        <v>104644.80568309526</v>
      </c>
      <c r="X202" s="117">
        <f>X179+X181</f>
        <v>44326.293473802427</v>
      </c>
      <c r="Y202" s="204">
        <f t="shared" ref="Y202:Z202" si="471">Y179+Y181</f>
        <v>23091.956696539859</v>
      </c>
      <c r="Z202" s="204">
        <f t="shared" si="471"/>
        <v>46834.488494796475</v>
      </c>
      <c r="AA202" s="394">
        <f>AA179+AA181</f>
        <v>25773.360223080486</v>
      </c>
      <c r="AB202" s="116">
        <f t="shared" ref="AB202" si="472">AB179+AB181</f>
        <v>140026.09888821913</v>
      </c>
      <c r="AC202" s="117">
        <f>AC179+AC181</f>
        <v>57160.466290627977</v>
      </c>
      <c r="AD202" s="204">
        <f t="shared" ref="AD202:AE202" si="473">AD179+AD181</f>
        <v>33472.755358266128</v>
      </c>
      <c r="AE202" s="204">
        <f t="shared" si="473"/>
        <v>61054.684685150634</v>
      </c>
      <c r="AF202" s="394">
        <f>AF179+AF181</f>
        <v>37604.123698303563</v>
      </c>
      <c r="AG202" s="116">
        <f t="shared" ref="AG202" si="474">AG179+AG181</f>
        <v>189292.03003234812</v>
      </c>
      <c r="AH202" s="117">
        <f>AH179+AH181</f>
        <v>69164.077768411269</v>
      </c>
      <c r="AI202" s="204">
        <f t="shared" ref="AI202:AJ202" si="475">AI179+AI181</f>
        <v>45388.780321367543</v>
      </c>
      <c r="AJ202" s="204">
        <f t="shared" si="475"/>
        <v>74445.213438501218</v>
      </c>
      <c r="AK202" s="394">
        <f>AK179+AK181</f>
        <v>50972.456228902731</v>
      </c>
      <c r="AL202" s="116">
        <f t="shared" ref="AL202" si="476">AL179+AL181</f>
        <v>239970.52775718292</v>
      </c>
      <c r="AM202" s="117">
        <f>AM179+AM181</f>
        <v>80345.508128113826</v>
      </c>
      <c r="AN202" s="204">
        <f t="shared" ref="AN202:AO202" si="477">AN179+AN181</f>
        <v>57204.256020998037</v>
      </c>
      <c r="AO202" s="204">
        <f t="shared" si="477"/>
        <v>86924.544945683811</v>
      </c>
      <c r="AP202" s="394">
        <f>AP179+AP181</f>
        <v>64147.147391330924</v>
      </c>
      <c r="AQ202" s="116">
        <f t="shared" ref="AQ202" si="478">AQ179+AQ181</f>
        <v>288621.45648612647</v>
      </c>
    </row>
    <row r="203" spans="1:43" s="40" customFormat="1" ht="16.2" outlineLevel="1" x14ac:dyDescent="0.45">
      <c r="B203" s="392" t="s">
        <v>251</v>
      </c>
      <c r="C203" s="316"/>
      <c r="D203" s="130"/>
      <c r="E203" s="127"/>
      <c r="F203" s="127"/>
      <c r="G203" s="128"/>
      <c r="H203" s="132"/>
      <c r="I203" s="130"/>
      <c r="J203" s="127"/>
      <c r="K203" s="127"/>
      <c r="L203" s="127"/>
      <c r="M203" s="132"/>
      <c r="N203" s="130"/>
      <c r="O203" s="210"/>
      <c r="P203" s="210"/>
      <c r="Q203" s="177"/>
      <c r="R203" s="132"/>
      <c r="S203" s="203"/>
      <c r="T203" s="177"/>
      <c r="U203" s="177"/>
      <c r="V203" s="177"/>
      <c r="W203" s="222"/>
      <c r="X203" s="203"/>
      <c r="Y203" s="177"/>
      <c r="Z203" s="177"/>
      <c r="AA203" s="177"/>
      <c r="AB203" s="222"/>
      <c r="AC203" s="203"/>
      <c r="AD203" s="177"/>
      <c r="AE203" s="177"/>
      <c r="AF203" s="177"/>
      <c r="AG203" s="222"/>
      <c r="AH203" s="203"/>
      <c r="AI203" s="177"/>
      <c r="AJ203" s="177"/>
      <c r="AK203" s="177"/>
      <c r="AL203" s="222"/>
      <c r="AM203" s="203"/>
      <c r="AN203" s="177"/>
      <c r="AO203" s="177"/>
      <c r="AP203" s="177"/>
      <c r="AQ203" s="222"/>
    </row>
    <row r="204" spans="1:43" s="395" customFormat="1" outlineLevel="1" x14ac:dyDescent="0.3">
      <c r="A204" s="40"/>
      <c r="B204" s="449" t="s">
        <v>253</v>
      </c>
      <c r="C204" s="450"/>
      <c r="D204" s="117"/>
      <c r="E204" s="114"/>
      <c r="F204" s="114"/>
      <c r="G204" s="115"/>
      <c r="H204" s="116"/>
      <c r="I204" s="117"/>
      <c r="J204" s="114"/>
      <c r="K204" s="114"/>
      <c r="L204" s="114"/>
      <c r="M204" s="116">
        <v>0</v>
      </c>
      <c r="N204" s="117"/>
      <c r="O204" s="204"/>
      <c r="P204" s="204"/>
      <c r="Q204" s="393"/>
      <c r="R204" s="116">
        <v>0</v>
      </c>
      <c r="S204" s="394"/>
      <c r="T204" s="393"/>
      <c r="U204" s="393"/>
      <c r="V204" s="393"/>
      <c r="W204" s="116">
        <f>R204+1</f>
        <v>1</v>
      </c>
      <c r="X204" s="394"/>
      <c r="Y204" s="393"/>
      <c r="Z204" s="393"/>
      <c r="AA204" s="393"/>
      <c r="AB204" s="116">
        <f>W204+1</f>
        <v>2</v>
      </c>
      <c r="AC204" s="394"/>
      <c r="AD204" s="393"/>
      <c r="AE204" s="393"/>
      <c r="AF204" s="393"/>
      <c r="AG204" s="116">
        <f>AB204+1</f>
        <v>3</v>
      </c>
      <c r="AH204" s="394"/>
      <c r="AI204" s="393"/>
      <c r="AJ204" s="393"/>
      <c r="AK204" s="393"/>
      <c r="AL204" s="116">
        <f>AG204+1</f>
        <v>4</v>
      </c>
      <c r="AM204" s="394"/>
      <c r="AN204" s="393"/>
      <c r="AO204" s="393"/>
      <c r="AP204" s="393"/>
      <c r="AQ204" s="116">
        <f>AL204+1</f>
        <v>5</v>
      </c>
    </row>
    <row r="205" spans="1:43" s="40" customFormat="1" ht="16.2" outlineLevel="1" x14ac:dyDescent="0.45">
      <c r="B205" s="392" t="s">
        <v>252</v>
      </c>
      <c r="C205" s="316"/>
      <c r="D205" s="130"/>
      <c r="E205" s="127"/>
      <c r="F205" s="127"/>
      <c r="G205" s="128"/>
      <c r="H205" s="132"/>
      <c r="I205" s="130"/>
      <c r="J205" s="127"/>
      <c r="K205" s="127"/>
      <c r="L205" s="127"/>
      <c r="M205" s="132">
        <f>M202/(1+$C$265)^M204</f>
        <v>196303</v>
      </c>
      <c r="N205" s="130"/>
      <c r="O205" s="183"/>
      <c r="P205" s="183"/>
      <c r="Q205" s="177"/>
      <c r="R205" s="132">
        <f>R202/(1+$C$265)^R204</f>
        <v>118835.74998401699</v>
      </c>
      <c r="S205" s="203"/>
      <c r="T205" s="177"/>
      <c r="U205" s="177"/>
      <c r="V205" s="177"/>
      <c r="W205" s="132">
        <f>W202/(1+$C$265)^W204</f>
        <v>95109.367196677675</v>
      </c>
      <c r="X205" s="203"/>
      <c r="Y205" s="177"/>
      <c r="Z205" s="177"/>
      <c r="AA205" s="177"/>
      <c r="AB205" s="132">
        <f>AB202/(1+$C$265)^AB204</f>
        <v>115669.86324172103</v>
      </c>
      <c r="AC205" s="203"/>
      <c r="AD205" s="177"/>
      <c r="AE205" s="177"/>
      <c r="AF205" s="177"/>
      <c r="AG205" s="132">
        <f>AG202/(1+$C$265)^AG204</f>
        <v>142118.02959872724</v>
      </c>
      <c r="AH205" s="203"/>
      <c r="AI205" s="177"/>
      <c r="AJ205" s="177"/>
      <c r="AK205" s="177"/>
      <c r="AL205" s="132">
        <f>AL202/(1+$C$265)^AL204</f>
        <v>163749.6467144365</v>
      </c>
      <c r="AM205" s="203"/>
      <c r="AN205" s="177"/>
      <c r="AO205" s="177"/>
      <c r="AP205" s="177"/>
      <c r="AQ205" s="132">
        <f>AQ202/(1+$C$265)^AQ204</f>
        <v>179001.51029240526</v>
      </c>
    </row>
    <row r="206" spans="1:43" s="40" customFormat="1" outlineLevel="1" x14ac:dyDescent="0.3">
      <c r="B206" s="493" t="s">
        <v>159</v>
      </c>
      <c r="C206" s="494"/>
      <c r="D206" s="216">
        <f>D179+D181</f>
        <v>57956</v>
      </c>
      <c r="E206" s="217">
        <f>E179+E181</f>
        <v>53490</v>
      </c>
      <c r="F206" s="217">
        <f>F179+F181</f>
        <v>66589</v>
      </c>
      <c r="G206" s="218">
        <f t="shared" ref="G206:L206" si="479">G179+G181</f>
        <v>88828</v>
      </c>
      <c r="H206" s="219">
        <f>H179+H181</f>
        <v>266863</v>
      </c>
      <c r="I206" s="216">
        <f t="shared" si="479"/>
        <v>72709</v>
      </c>
      <c r="J206" s="217">
        <f t="shared" si="479"/>
        <v>41273</v>
      </c>
      <c r="K206" s="217">
        <f t="shared" si="479"/>
        <v>37512</v>
      </c>
      <c r="L206" s="218">
        <f t="shared" si="479"/>
        <v>44809</v>
      </c>
      <c r="M206" s="219">
        <f>M179+M181</f>
        <v>196303</v>
      </c>
      <c r="N206" s="216">
        <f>N179+N181</f>
        <v>43239</v>
      </c>
      <c r="O206" s="217">
        <f t="shared" ref="O206" si="480">O179+O181</f>
        <v>25273</v>
      </c>
      <c r="P206" s="217">
        <f>P179+P181</f>
        <v>32432</v>
      </c>
      <c r="Q206" s="217">
        <f>Q179+Q181</f>
        <v>17891.749984016911</v>
      </c>
      <c r="R206" s="219">
        <f>R179+R181</f>
        <v>118835.74998401699</v>
      </c>
      <c r="S206" s="216">
        <f>S179+S181</f>
        <v>33586.924933636044</v>
      </c>
      <c r="T206" s="217">
        <f t="shared" ref="T206" si="481">T179+T181</f>
        <v>12319.822334364111</v>
      </c>
      <c r="U206" s="217">
        <f>U179+U181</f>
        <v>38865.807289909782</v>
      </c>
      <c r="V206" s="217">
        <f>V179+V181</f>
        <v>19872.251125185339</v>
      </c>
      <c r="W206" s="219">
        <f>W179+W181</f>
        <v>104644.80568309526</v>
      </c>
      <c r="X206" s="216">
        <f>X179+X181</f>
        <v>44326.293473802427</v>
      </c>
      <c r="Y206" s="217">
        <f t="shared" ref="Y206" si="482">Y179+Y181</f>
        <v>23091.956696539859</v>
      </c>
      <c r="Z206" s="217">
        <f>Z179+Z181</f>
        <v>46834.488494796475</v>
      </c>
      <c r="AA206" s="217">
        <f>AA179+AA181</f>
        <v>25773.360223080486</v>
      </c>
      <c r="AB206" s="219">
        <f>AB179+AB181</f>
        <v>140026.09888821913</v>
      </c>
      <c r="AC206" s="216">
        <f>AC179+AC181</f>
        <v>57160.466290627977</v>
      </c>
      <c r="AD206" s="217">
        <f t="shared" ref="AD206" si="483">AD179+AD181</f>
        <v>33472.755358266128</v>
      </c>
      <c r="AE206" s="217">
        <f>AE179+AE181</f>
        <v>61054.684685150634</v>
      </c>
      <c r="AF206" s="217">
        <f>AF179+AF181</f>
        <v>37604.123698303563</v>
      </c>
      <c r="AG206" s="219">
        <f>AG179+AG181</f>
        <v>189292.03003234812</v>
      </c>
      <c r="AH206" s="216">
        <f>AH179+AH181</f>
        <v>69164.077768411269</v>
      </c>
      <c r="AI206" s="217">
        <f t="shared" ref="AI206" si="484">AI179+AI181</f>
        <v>45388.780321367543</v>
      </c>
      <c r="AJ206" s="217">
        <f>AJ179+AJ181</f>
        <v>74445.213438501218</v>
      </c>
      <c r="AK206" s="217">
        <f>AK179+AK181</f>
        <v>50972.456228902731</v>
      </c>
      <c r="AL206" s="219">
        <f>AL179+AL181</f>
        <v>239970.52775718292</v>
      </c>
      <c r="AM206" s="216">
        <f>AM179+AM181</f>
        <v>80345.508128113826</v>
      </c>
      <c r="AN206" s="217">
        <f t="shared" ref="AN206" si="485">AN179+AN181</f>
        <v>57204.256020998037</v>
      </c>
      <c r="AO206" s="217">
        <f>AO179+AO181</f>
        <v>86924.544945683811</v>
      </c>
      <c r="AP206" s="217">
        <f>AP179+AP181</f>
        <v>64147.147391330924</v>
      </c>
      <c r="AQ206" s="219">
        <f>AQ179+AQ181</f>
        <v>288621.45648612647</v>
      </c>
    </row>
    <row r="207" spans="1:43" s="40" customFormat="1" ht="15" customHeight="1" x14ac:dyDescent="0.3">
      <c r="B207" s="20"/>
      <c r="C207" s="79"/>
      <c r="D207" s="102">
        <f t="shared" ref="D207:AK207" si="486">D200-D108</f>
        <v>0</v>
      </c>
      <c r="E207" s="102">
        <f>E200-E108</f>
        <v>0</v>
      </c>
      <c r="F207" s="102">
        <f>F200-F108</f>
        <v>0</v>
      </c>
      <c r="G207" s="102">
        <f t="shared" si="486"/>
        <v>0</v>
      </c>
      <c r="H207" s="102">
        <f>H200-H108</f>
        <v>0</v>
      </c>
      <c r="I207" s="102">
        <f t="shared" si="486"/>
        <v>0</v>
      </c>
      <c r="J207" s="102">
        <f t="shared" si="486"/>
        <v>0</v>
      </c>
      <c r="K207" s="102">
        <f t="shared" si="486"/>
        <v>0</v>
      </c>
      <c r="L207" s="102">
        <f t="shared" si="486"/>
        <v>0</v>
      </c>
      <c r="M207" s="102">
        <f>M200-M108</f>
        <v>0</v>
      </c>
      <c r="N207" s="33">
        <f t="shared" si="486"/>
        <v>0</v>
      </c>
      <c r="O207" s="33">
        <f t="shared" si="486"/>
        <v>0</v>
      </c>
      <c r="P207" s="33">
        <f t="shared" si="486"/>
        <v>0</v>
      </c>
      <c r="Q207" s="33">
        <f t="shared" si="486"/>
        <v>0</v>
      </c>
      <c r="R207" s="438">
        <f>R200-R108</f>
        <v>6.5483618527650833E-11</v>
      </c>
      <c r="S207" s="264">
        <f t="shared" si="486"/>
        <v>0</v>
      </c>
      <c r="T207" s="264">
        <f t="shared" si="486"/>
        <v>0</v>
      </c>
      <c r="U207" s="264">
        <f t="shared" si="486"/>
        <v>0</v>
      </c>
      <c r="V207" s="264">
        <f t="shared" si="486"/>
        <v>0</v>
      </c>
      <c r="W207" s="264">
        <f>W200-W108</f>
        <v>3.637978807091713E-11</v>
      </c>
      <c r="X207" s="264">
        <f t="shared" si="486"/>
        <v>0</v>
      </c>
      <c r="Y207" s="264">
        <f t="shared" si="486"/>
        <v>0</v>
      </c>
      <c r="Z207" s="264">
        <f t="shared" si="486"/>
        <v>0</v>
      </c>
      <c r="AA207" s="264">
        <f t="shared" si="486"/>
        <v>0</v>
      </c>
      <c r="AB207" s="264">
        <f>AB200-AB108</f>
        <v>-7.2759576141834259E-11</v>
      </c>
      <c r="AC207" s="264">
        <f t="shared" si="486"/>
        <v>0</v>
      </c>
      <c r="AD207" s="264">
        <f t="shared" si="486"/>
        <v>0</v>
      </c>
      <c r="AE207" s="264">
        <f t="shared" si="486"/>
        <v>0</v>
      </c>
      <c r="AF207" s="264">
        <f t="shared" si="486"/>
        <v>0</v>
      </c>
      <c r="AG207" s="264">
        <f>AG200-AG108</f>
        <v>-2.3283064365386963E-10</v>
      </c>
      <c r="AH207" s="33">
        <f t="shared" si="486"/>
        <v>0</v>
      </c>
      <c r="AI207" s="33">
        <f t="shared" si="486"/>
        <v>0</v>
      </c>
      <c r="AJ207" s="33">
        <f t="shared" si="486"/>
        <v>0</v>
      </c>
      <c r="AK207" s="33">
        <f t="shared" si="486"/>
        <v>0</v>
      </c>
      <c r="AL207" s="33">
        <f>AL200-AL108</f>
        <v>0</v>
      </c>
      <c r="AM207" s="33">
        <f t="shared" ref="AM207:AP207" si="487">AM200-AM108</f>
        <v>0</v>
      </c>
      <c r="AN207" s="33">
        <f t="shared" si="487"/>
        <v>0</v>
      </c>
      <c r="AO207" s="33">
        <f t="shared" si="487"/>
        <v>0</v>
      </c>
      <c r="AP207" s="33">
        <f t="shared" si="487"/>
        <v>0</v>
      </c>
      <c r="AQ207" s="33">
        <f>AQ200-AQ108</f>
        <v>0</v>
      </c>
    </row>
    <row r="208" spans="1:43" s="40" customFormat="1" ht="15" customHeight="1" x14ac:dyDescent="0.3">
      <c r="B208" s="477" t="s">
        <v>237</v>
      </c>
      <c r="C208" s="478"/>
      <c r="D208" s="42" t="s">
        <v>3</v>
      </c>
      <c r="E208" s="42" t="s">
        <v>2</v>
      </c>
      <c r="F208" s="42" t="s">
        <v>1</v>
      </c>
      <c r="G208" s="42" t="s">
        <v>4</v>
      </c>
      <c r="H208" s="246" t="s">
        <v>4</v>
      </c>
      <c r="I208" s="42" t="s">
        <v>5</v>
      </c>
      <c r="J208" s="42" t="s">
        <v>6</v>
      </c>
      <c r="K208" s="42" t="s">
        <v>7</v>
      </c>
      <c r="L208" s="42" t="s">
        <v>9</v>
      </c>
      <c r="M208" s="246" t="s">
        <v>9</v>
      </c>
      <c r="N208" s="42" t="s">
        <v>10</v>
      </c>
      <c r="O208" s="42" t="s">
        <v>11</v>
      </c>
      <c r="P208" s="42" t="s">
        <v>12</v>
      </c>
      <c r="Q208" s="317" t="s">
        <v>8</v>
      </c>
      <c r="R208" s="355" t="s">
        <v>8</v>
      </c>
      <c r="S208" s="317" t="s">
        <v>13</v>
      </c>
      <c r="T208" s="317" t="s">
        <v>14</v>
      </c>
      <c r="U208" s="317" t="s">
        <v>15</v>
      </c>
      <c r="V208" s="317" t="s">
        <v>16</v>
      </c>
      <c r="W208" s="355" t="s">
        <v>16</v>
      </c>
      <c r="X208" s="317" t="s">
        <v>197</v>
      </c>
      <c r="Y208" s="317" t="s">
        <v>198</v>
      </c>
      <c r="Z208" s="317" t="s">
        <v>199</v>
      </c>
      <c r="AA208" s="317" t="s">
        <v>200</v>
      </c>
      <c r="AB208" s="355" t="s">
        <v>200</v>
      </c>
      <c r="AC208" s="317" t="s">
        <v>201</v>
      </c>
      <c r="AD208" s="317" t="s">
        <v>202</v>
      </c>
      <c r="AE208" s="317" t="s">
        <v>203</v>
      </c>
      <c r="AF208" s="317" t="s">
        <v>204</v>
      </c>
      <c r="AG208" s="355" t="s">
        <v>204</v>
      </c>
      <c r="AH208" s="317" t="s">
        <v>205</v>
      </c>
      <c r="AI208" s="317" t="s">
        <v>206</v>
      </c>
      <c r="AJ208" s="317" t="s">
        <v>207</v>
      </c>
      <c r="AK208" s="317" t="s">
        <v>208</v>
      </c>
      <c r="AL208" s="355" t="s">
        <v>208</v>
      </c>
      <c r="AM208" s="238" t="s">
        <v>295</v>
      </c>
      <c r="AN208" s="44" t="s">
        <v>297</v>
      </c>
      <c r="AO208" s="44" t="s">
        <v>299</v>
      </c>
      <c r="AP208" s="46" t="s">
        <v>301</v>
      </c>
      <c r="AQ208" s="237" t="s">
        <v>301</v>
      </c>
    </row>
    <row r="209" spans="1:43" s="40" customFormat="1" ht="15" customHeight="1" x14ac:dyDescent="0.45">
      <c r="B209" s="475"/>
      <c r="C209" s="476"/>
      <c r="D209" s="43" t="s">
        <v>23</v>
      </c>
      <c r="E209" s="43" t="s">
        <v>24</v>
      </c>
      <c r="F209" s="43" t="s">
        <v>25</v>
      </c>
      <c r="G209" s="43" t="s">
        <v>26</v>
      </c>
      <c r="H209" s="365">
        <v>2014</v>
      </c>
      <c r="I209" s="43" t="s">
        <v>27</v>
      </c>
      <c r="J209" s="43" t="s">
        <v>28</v>
      </c>
      <c r="K209" s="43" t="s">
        <v>37</v>
      </c>
      <c r="L209" s="43" t="s">
        <v>41</v>
      </c>
      <c r="M209" s="247" t="s">
        <v>229</v>
      </c>
      <c r="N209" s="43" t="s">
        <v>54</v>
      </c>
      <c r="O209" s="43" t="s">
        <v>55</v>
      </c>
      <c r="P209" s="43" t="s">
        <v>76</v>
      </c>
      <c r="Q209" s="318" t="s">
        <v>32</v>
      </c>
      <c r="R209" s="364" t="s">
        <v>230</v>
      </c>
      <c r="S209" s="318" t="s">
        <v>33</v>
      </c>
      <c r="T209" s="318" t="s">
        <v>34</v>
      </c>
      <c r="U209" s="318" t="s">
        <v>35</v>
      </c>
      <c r="V209" s="318" t="s">
        <v>36</v>
      </c>
      <c r="W209" s="364" t="s">
        <v>231</v>
      </c>
      <c r="X209" s="318" t="s">
        <v>209</v>
      </c>
      <c r="Y209" s="318" t="s">
        <v>210</v>
      </c>
      <c r="Z209" s="318" t="s">
        <v>211</v>
      </c>
      <c r="AA209" s="318" t="s">
        <v>212</v>
      </c>
      <c r="AB209" s="364" t="s">
        <v>232</v>
      </c>
      <c r="AC209" s="318" t="s">
        <v>214</v>
      </c>
      <c r="AD209" s="318" t="s">
        <v>215</v>
      </c>
      <c r="AE209" s="318" t="s">
        <v>216</v>
      </c>
      <c r="AF209" s="318" t="s">
        <v>217</v>
      </c>
      <c r="AG209" s="364" t="s">
        <v>233</v>
      </c>
      <c r="AH209" s="318" t="s">
        <v>219</v>
      </c>
      <c r="AI209" s="318" t="s">
        <v>220</v>
      </c>
      <c r="AJ209" s="318" t="s">
        <v>221</v>
      </c>
      <c r="AK209" s="318" t="s">
        <v>222</v>
      </c>
      <c r="AL209" s="364" t="s">
        <v>234</v>
      </c>
      <c r="AM209" s="244" t="s">
        <v>296</v>
      </c>
      <c r="AN209" s="241" t="s">
        <v>298</v>
      </c>
      <c r="AO209" s="241" t="s">
        <v>300</v>
      </c>
      <c r="AP209" s="245" t="s">
        <v>302</v>
      </c>
      <c r="AQ209" s="242" t="s">
        <v>303</v>
      </c>
    </row>
    <row r="210" spans="1:43" s="40" customFormat="1" ht="15" customHeight="1" x14ac:dyDescent="0.45">
      <c r="B210" s="495" t="s">
        <v>235</v>
      </c>
      <c r="C210" s="481"/>
      <c r="D210" s="332"/>
      <c r="E210" s="332"/>
      <c r="F210" s="332"/>
      <c r="G210" s="332"/>
      <c r="H210" s="333"/>
      <c r="I210" s="332"/>
      <c r="J210" s="334"/>
      <c r="K210" s="334"/>
      <c r="L210" s="334"/>
      <c r="M210" s="335"/>
      <c r="N210" s="334"/>
      <c r="O210" s="334"/>
      <c r="P210" s="334"/>
      <c r="Q210" s="334"/>
      <c r="R210" s="335"/>
      <c r="S210" s="334"/>
      <c r="T210" s="334"/>
      <c r="U210" s="334"/>
      <c r="V210" s="334"/>
      <c r="W210" s="335"/>
      <c r="X210" s="334"/>
      <c r="Y210" s="334"/>
      <c r="Z210" s="334"/>
      <c r="AA210" s="334"/>
      <c r="AB210" s="335"/>
      <c r="AC210" s="334"/>
      <c r="AD210" s="334"/>
      <c r="AE210" s="334"/>
      <c r="AF210" s="334"/>
      <c r="AG210" s="335"/>
      <c r="AH210" s="334"/>
      <c r="AI210" s="334"/>
      <c r="AJ210" s="334"/>
      <c r="AK210" s="334"/>
      <c r="AL210" s="335"/>
      <c r="AM210" s="334"/>
      <c r="AN210" s="334"/>
      <c r="AO210" s="334"/>
      <c r="AP210" s="334"/>
      <c r="AQ210" s="335"/>
    </row>
    <row r="211" spans="1:43" s="40" customFormat="1" ht="15" customHeight="1" x14ac:dyDescent="0.3">
      <c r="B211" s="471" t="s">
        <v>238</v>
      </c>
      <c r="C211" s="472"/>
      <c r="D211" s="385"/>
      <c r="E211" s="385">
        <f>E163/(AVERAGE(D115,E115))</f>
        <v>4.4230688452976015E-2</v>
      </c>
      <c r="F211" s="385">
        <f t="shared" ref="F211:G211" si="488">F163/(AVERAGE(E115,F115))</f>
        <v>4.7064566810026229E-2</v>
      </c>
      <c r="G211" s="385">
        <f t="shared" si="488"/>
        <v>4.6627134965283056E-2</v>
      </c>
      <c r="H211" s="321" t="s">
        <v>239</v>
      </c>
      <c r="I211" s="385">
        <f>I163/(AVERAGE(G115,I115))</f>
        <v>4.4219210371243371E-2</v>
      </c>
      <c r="J211" s="385">
        <f>J163/(AVERAGE(I115,J115))</f>
        <v>4.6759082766275432E-2</v>
      </c>
      <c r="K211" s="385">
        <f>K163/(AVERAGE(J115,K115))</f>
        <v>4.678132944278765E-2</v>
      </c>
      <c r="L211" s="385">
        <f>L163/(AVERAGE(K115,L115))</f>
        <v>4.8598092192324659E-2</v>
      </c>
      <c r="M211" s="386"/>
      <c r="N211" s="385">
        <f>N163/(AVERAGE(L115,N115))</f>
        <v>4.8548060594672975E-2</v>
      </c>
      <c r="O211" s="385">
        <f>O163/(AVERAGE(N115,O115))</f>
        <v>4.9291764018691592E-2</v>
      </c>
      <c r="P211" s="385">
        <f>P163/(AVERAGE(O115,P115))</f>
        <v>5.0505126375483531E-2</v>
      </c>
      <c r="Q211" s="281">
        <v>0.05</v>
      </c>
      <c r="R211" s="386"/>
      <c r="S211" s="281">
        <f>Q211</f>
        <v>0.05</v>
      </c>
      <c r="T211" s="281">
        <f t="shared" ref="T211:V212" si="489">S211</f>
        <v>0.05</v>
      </c>
      <c r="U211" s="281">
        <f t="shared" si="489"/>
        <v>0.05</v>
      </c>
      <c r="V211" s="281">
        <f t="shared" si="489"/>
        <v>0.05</v>
      </c>
      <c r="W211" s="386"/>
      <c r="X211" s="281">
        <f>V211</f>
        <v>0.05</v>
      </c>
      <c r="Y211" s="281">
        <f t="shared" ref="Y211:AA212" si="490">X211</f>
        <v>0.05</v>
      </c>
      <c r="Z211" s="281">
        <f t="shared" si="490"/>
        <v>0.05</v>
      </c>
      <c r="AA211" s="281">
        <f t="shared" si="490"/>
        <v>0.05</v>
      </c>
      <c r="AB211" s="386"/>
      <c r="AC211" s="281">
        <f>AA211</f>
        <v>0.05</v>
      </c>
      <c r="AD211" s="281">
        <f t="shared" ref="AD211:AF212" si="491">AC211</f>
        <v>0.05</v>
      </c>
      <c r="AE211" s="281">
        <f t="shared" si="491"/>
        <v>0.05</v>
      </c>
      <c r="AF211" s="281">
        <f t="shared" si="491"/>
        <v>0.05</v>
      </c>
      <c r="AG211" s="386"/>
      <c r="AH211" s="281">
        <f>AF211</f>
        <v>0.05</v>
      </c>
      <c r="AI211" s="281">
        <f t="shared" ref="AI211:AK212" si="492">AH211</f>
        <v>0.05</v>
      </c>
      <c r="AJ211" s="281">
        <f t="shared" si="492"/>
        <v>0.05</v>
      </c>
      <c r="AK211" s="281">
        <f t="shared" si="492"/>
        <v>0.05</v>
      </c>
      <c r="AL211" s="336"/>
      <c r="AM211" s="281">
        <f>AK211</f>
        <v>0.05</v>
      </c>
      <c r="AN211" s="281">
        <f t="shared" ref="AN211:AP211" si="493">AM211</f>
        <v>0.05</v>
      </c>
      <c r="AO211" s="281">
        <f t="shared" si="493"/>
        <v>0.05</v>
      </c>
      <c r="AP211" s="281">
        <f t="shared" si="493"/>
        <v>0.05</v>
      </c>
      <c r="AQ211" s="336"/>
    </row>
    <row r="212" spans="1:43" s="41" customFormat="1" ht="15" customHeight="1" x14ac:dyDescent="0.3">
      <c r="A212" s="40"/>
      <c r="B212" s="435" t="s">
        <v>289</v>
      </c>
      <c r="C212" s="436"/>
      <c r="D212" s="385"/>
      <c r="E212" s="25">
        <f>E22/(AVERAGE(D116,E116))</f>
        <v>2.4218717489908868E-2</v>
      </c>
      <c r="F212" s="25">
        <f>F22/(AVERAGE(E116,F116))</f>
        <v>4.2176039119804401E-2</v>
      </c>
      <c r="G212" s="25">
        <f>G22/(AVERAGE(F116,G116))</f>
        <v>3.1056766934771492E-2</v>
      </c>
      <c r="H212" s="321"/>
      <c r="I212" s="25">
        <f>I22/(AVERAGE(G116,I116))</f>
        <v>2.0800978869593863E-2</v>
      </c>
      <c r="J212" s="25">
        <f>J22/(AVERAGE(I116,J116))</f>
        <v>1.5296038497894647E-2</v>
      </c>
      <c r="K212" s="25">
        <f>K22/(AVERAGE(J116,K116))</f>
        <v>1.6418480336006108E-2</v>
      </c>
      <c r="L212" s="25">
        <f>L22/(AVERAGE(K116,L116))</f>
        <v>2.5292819555253778E-2</v>
      </c>
      <c r="M212" s="386"/>
      <c r="N212" s="25">
        <f>N22/(AVERAGE(L116,N116))</f>
        <v>2.2112775153281736E-2</v>
      </c>
      <c r="O212" s="25">
        <f>O22/(AVERAGE(N116,O116))</f>
        <v>2.2498338190929078E-2</v>
      </c>
      <c r="P212" s="25">
        <f>P22/(AVERAGE(O116,P116))</f>
        <v>1.7850803793295806E-2</v>
      </c>
      <c r="Q212" s="281">
        <v>0.02</v>
      </c>
      <c r="R212" s="386"/>
      <c r="S212" s="281">
        <f>Q212</f>
        <v>0.02</v>
      </c>
      <c r="T212" s="281">
        <f t="shared" si="489"/>
        <v>0.02</v>
      </c>
      <c r="U212" s="281">
        <f t="shared" si="489"/>
        <v>0.02</v>
      </c>
      <c r="V212" s="281">
        <f t="shared" si="489"/>
        <v>0.02</v>
      </c>
      <c r="W212" s="386"/>
      <c r="X212" s="281">
        <f>V212</f>
        <v>0.02</v>
      </c>
      <c r="Y212" s="281">
        <f t="shared" si="490"/>
        <v>0.02</v>
      </c>
      <c r="Z212" s="281">
        <f t="shared" si="490"/>
        <v>0.02</v>
      </c>
      <c r="AA212" s="281">
        <f t="shared" si="490"/>
        <v>0.02</v>
      </c>
      <c r="AB212" s="386"/>
      <c r="AC212" s="281">
        <f>AA212</f>
        <v>0.02</v>
      </c>
      <c r="AD212" s="281">
        <f t="shared" si="491"/>
        <v>0.02</v>
      </c>
      <c r="AE212" s="281">
        <f t="shared" si="491"/>
        <v>0.02</v>
      </c>
      <c r="AF212" s="281">
        <f t="shared" si="491"/>
        <v>0.02</v>
      </c>
      <c r="AG212" s="386"/>
      <c r="AH212" s="281">
        <f>AF212</f>
        <v>0.02</v>
      </c>
      <c r="AI212" s="281">
        <f t="shared" si="492"/>
        <v>0.02</v>
      </c>
      <c r="AJ212" s="281">
        <f t="shared" si="492"/>
        <v>0.02</v>
      </c>
      <c r="AK212" s="281">
        <f t="shared" si="492"/>
        <v>0.02</v>
      </c>
      <c r="AL212" s="386"/>
      <c r="AM212" s="281">
        <f>AK212</f>
        <v>0.02</v>
      </c>
      <c r="AN212" s="281">
        <f t="shared" ref="AN212:AP212" si="494">AM212</f>
        <v>0.02</v>
      </c>
      <c r="AO212" s="281">
        <f t="shared" si="494"/>
        <v>0.02</v>
      </c>
      <c r="AP212" s="281">
        <f t="shared" si="494"/>
        <v>0.02</v>
      </c>
      <c r="AQ212" s="386"/>
    </row>
    <row r="213" spans="1:43" s="40" customFormat="1" ht="15" customHeight="1" x14ac:dyDescent="0.3">
      <c r="B213" s="451" t="s">
        <v>240</v>
      </c>
      <c r="C213" s="452"/>
      <c r="D213" s="25"/>
      <c r="E213" s="25">
        <f>E179/D179-1</f>
        <v>-2.2857491161765164E-4</v>
      </c>
      <c r="F213" s="25">
        <f t="shared" ref="F213:G213" si="495">F179/E179-1</f>
        <v>0.13438705055708811</v>
      </c>
      <c r="G213" s="25">
        <f t="shared" si="495"/>
        <v>0.31392255394620161</v>
      </c>
      <c r="H213" s="273"/>
      <c r="I213" s="25">
        <f>I179/G179-1</f>
        <v>-0.18623581143266188</v>
      </c>
      <c r="J213" s="25">
        <f>J179/I179-1</f>
        <v>-0.41297846138379957</v>
      </c>
      <c r="K213" s="25">
        <f t="shared" ref="K213" si="496">K179/J179-1</f>
        <v>-6.9272594939418619E-2</v>
      </c>
      <c r="L213" s="25">
        <f>L179/K179-1</f>
        <v>0.13459680758084547</v>
      </c>
      <c r="M213" s="31"/>
      <c r="N213" s="25">
        <f>N179/L179-1</f>
        <v>-6.5538212041354127E-2</v>
      </c>
      <c r="O213" s="25">
        <f>O179/N179-1</f>
        <v>-0.39872442892162174</v>
      </c>
      <c r="P213" s="25">
        <f t="shared" ref="P213" si="497">P179/O179-1</f>
        <v>0.2580726629866148</v>
      </c>
      <c r="Q213" s="25">
        <f>Q179/P179-1</f>
        <v>-0.41698451436716633</v>
      </c>
      <c r="R213" s="31"/>
      <c r="S213" s="25">
        <f>S179/Q179-1</f>
        <v>0.77202990503860391</v>
      </c>
      <c r="T213" s="25">
        <f>T179/S179-1</f>
        <v>-0.59034411975734868</v>
      </c>
      <c r="U213" s="25">
        <f t="shared" ref="U213" si="498">U179/T179-1</f>
        <v>1.7987738538993252</v>
      </c>
      <c r="V213" s="25">
        <f>V179/U179-1</f>
        <v>-0.45985000925966524</v>
      </c>
      <c r="W213" s="31">
        <f>W179/R179-1</f>
        <v>-0.11329756946629777</v>
      </c>
      <c r="X213" s="25">
        <f>X179/V179-1</f>
        <v>1.1015538198435642</v>
      </c>
      <c r="Y213" s="25">
        <f>Y179/X179-1</f>
        <v>-0.45016112875650049</v>
      </c>
      <c r="Z213" s="25">
        <f t="shared" ref="Z213" si="499">Z179/Y179-1</f>
        <v>0.92618556651593731</v>
      </c>
      <c r="AA213" s="25">
        <f>AA179/Z179-1</f>
        <v>-0.42129220871086615</v>
      </c>
      <c r="AB213" s="31">
        <f>AB179/W179-1</f>
        <v>0.3204878140932359</v>
      </c>
      <c r="AC213" s="25">
        <f>AC179/AA179-1</f>
        <v>1.0973843740369884</v>
      </c>
      <c r="AD213" s="25">
        <f>AD179/AC179-1</f>
        <v>-0.39043198008516511</v>
      </c>
      <c r="AE213" s="25">
        <f t="shared" ref="AE213" si="500">AE179/AD179-1</f>
        <v>0.75518116662534118</v>
      </c>
      <c r="AF213" s="25">
        <f>AF179/AE179-1</f>
        <v>-0.36099813700182626</v>
      </c>
      <c r="AG213" s="31">
        <f>AG179/AB179-1</f>
        <v>0.34187645886290996</v>
      </c>
      <c r="AH213" s="25">
        <f>AH179/AF179-1</f>
        <v>0.77027453746199837</v>
      </c>
      <c r="AI213" s="25">
        <f>AI179/AH179-1</f>
        <v>-0.32333672456407403</v>
      </c>
      <c r="AJ213" s="25">
        <f t="shared" ref="AJ213" si="501">AJ179/AI179-1</f>
        <v>0.59268598673419981</v>
      </c>
      <c r="AK213" s="25">
        <f>AK179/AJ179-1</f>
        <v>-0.29592648589290138</v>
      </c>
      <c r="AL213" s="31">
        <f>AL179/AG179-1</f>
        <v>0.26427152387997066</v>
      </c>
      <c r="AM213" s="25">
        <f>AM179/AK179-1</f>
        <v>0.53462626382924694</v>
      </c>
      <c r="AN213" s="25">
        <f>AN179/AM179-1</f>
        <v>-0.26972754437167756</v>
      </c>
      <c r="AO213" s="25">
        <f t="shared" ref="AO213" si="502">AO179/AN179-1</f>
        <v>0.48300823058082454</v>
      </c>
      <c r="AP213" s="25">
        <f>AP179/AO179-1</f>
        <v>-0.24484453276193896</v>
      </c>
      <c r="AQ213" s="31">
        <f>AQ179/AL179-1</f>
        <v>0.20354934629723975</v>
      </c>
    </row>
    <row r="214" spans="1:43" s="40" customFormat="1" ht="15" customHeight="1" x14ac:dyDescent="0.3">
      <c r="B214" s="309" t="s">
        <v>241</v>
      </c>
      <c r="C214" s="310"/>
      <c r="D214" s="25">
        <f t="shared" ref="D214:AQ214" si="503">-D181/D16</f>
        <v>2.9166650817982299E-2</v>
      </c>
      <c r="E214" s="25">
        <f t="shared" si="503"/>
        <v>4.5294174808081865E-2</v>
      </c>
      <c r="F214" s="25">
        <f t="shared" si="503"/>
        <v>2.8381045503105364E-2</v>
      </c>
      <c r="G214" s="25">
        <f t="shared" si="503"/>
        <v>3.2165442786283929E-2</v>
      </c>
      <c r="H214" s="54">
        <f t="shared" si="503"/>
        <v>3.3712917725589785E-2</v>
      </c>
      <c r="I214" s="25">
        <f t="shared" si="503"/>
        <v>3.2151767200423134E-2</v>
      </c>
      <c r="J214" s="25">
        <f t="shared" si="503"/>
        <v>2.668608899940654E-2</v>
      </c>
      <c r="K214" s="25">
        <f t="shared" si="503"/>
        <v>3.0243580969761489E-2</v>
      </c>
      <c r="L214" s="25">
        <f t="shared" si="503"/>
        <v>2.4742369597697062E-2</v>
      </c>
      <c r="M214" s="54">
        <f t="shared" si="503"/>
        <v>2.8584863075534157E-2</v>
      </c>
      <c r="N214" s="25">
        <f t="shared" si="503"/>
        <v>1.8601079096890925E-2</v>
      </c>
      <c r="O214" s="25">
        <f t="shared" si="503"/>
        <v>1.650581823339119E-2</v>
      </c>
      <c r="P214" s="25">
        <f t="shared" si="503"/>
        <v>1.6991559975746254E-2</v>
      </c>
      <c r="Q214" s="25">
        <f t="shared" si="503"/>
        <v>1.6815523362817743E-2</v>
      </c>
      <c r="R214" s="54">
        <f t="shared" si="503"/>
        <v>1.7245466871963065E-2</v>
      </c>
      <c r="S214" s="25">
        <f t="shared" si="503"/>
        <v>1.6386705472034201E-2</v>
      </c>
      <c r="T214" s="25">
        <f t="shared" si="503"/>
        <v>1.5606386163842098E-2</v>
      </c>
      <c r="U214" s="25">
        <f t="shared" si="503"/>
        <v>1.4863224917944853E-2</v>
      </c>
      <c r="V214" s="25">
        <f t="shared" si="503"/>
        <v>1.4155452302804621E-2</v>
      </c>
      <c r="W214" s="54">
        <f t="shared" si="503"/>
        <v>1.5207638267599388E-2</v>
      </c>
      <c r="X214" s="25">
        <f t="shared" si="503"/>
        <v>1.4137074315643802E-2</v>
      </c>
      <c r="Y214" s="25">
        <f t="shared" si="503"/>
        <v>1.4118656813230766E-2</v>
      </c>
      <c r="Z214" s="25">
        <f t="shared" si="503"/>
        <v>1.4100199876478035E-2</v>
      </c>
      <c r="AA214" s="25">
        <f t="shared" si="503"/>
        <v>1.4081703587536871E-2</v>
      </c>
      <c r="AB214" s="54">
        <f t="shared" si="503"/>
        <v>1.4108253617764624E-2</v>
      </c>
      <c r="AC214" s="25">
        <f t="shared" si="503"/>
        <v>1.4063168029799206E-2</v>
      </c>
      <c r="AD214" s="25">
        <f t="shared" si="503"/>
        <v>1.4044593287899546E-2</v>
      </c>
      <c r="AE214" s="25">
        <f t="shared" si="503"/>
        <v>1.4025979447716785E-2</v>
      </c>
      <c r="AF214" s="25">
        <f t="shared" si="503"/>
        <v>1.4007326596375965E-2</v>
      </c>
      <c r="AG214" s="54">
        <f t="shared" si="503"/>
        <v>1.4034101571484603E-2</v>
      </c>
      <c r="AH214" s="25">
        <f t="shared" si="503"/>
        <v>1.398863482224995E-2</v>
      </c>
      <c r="AI214" s="25">
        <f t="shared" si="503"/>
        <v>1.3969904214961051E-2</v>
      </c>
      <c r="AJ214" s="25">
        <f t="shared" si="503"/>
        <v>1.3951134865382565E-2</v>
      </c>
      <c r="AK214" s="25">
        <f t="shared" si="503"/>
        <v>1.3932326865640245E-2</v>
      </c>
      <c r="AL214" s="54">
        <f t="shared" si="503"/>
        <v>1.3959324761253113E-2</v>
      </c>
      <c r="AM214" s="25">
        <f t="shared" si="503"/>
        <v>1.3913480309113701E-2</v>
      </c>
      <c r="AN214" s="25">
        <f t="shared" si="503"/>
        <v>1.3894595290437732E-2</v>
      </c>
      <c r="AO214" s="25">
        <f t="shared" si="503"/>
        <v>1.3875671905503578E-2</v>
      </c>
      <c r="AP214" s="25">
        <f t="shared" si="503"/>
        <v>1.3856710251460102E-2</v>
      </c>
      <c r="AQ214" s="54">
        <f t="shared" si="503"/>
        <v>1.3883928928196478E-2</v>
      </c>
    </row>
    <row r="215" spans="1:43" s="40" customFormat="1" ht="15" customHeight="1" x14ac:dyDescent="0.45">
      <c r="B215" s="510" t="s">
        <v>242</v>
      </c>
      <c r="C215" s="511"/>
      <c r="D215" s="387"/>
      <c r="E215" s="387">
        <f>E181/D181-1</f>
        <v>0.58046426708398546</v>
      </c>
      <c r="F215" s="387">
        <f>F181/E181-1</f>
        <v>-0.35332948263058006</v>
      </c>
      <c r="G215" s="387">
        <f>G181/F181-1</f>
        <v>0.14354982774020675</v>
      </c>
      <c r="H215" s="388"/>
      <c r="I215" s="387">
        <f>I181/G181-1</f>
        <v>-0.23354162017406832</v>
      </c>
      <c r="J215" s="387">
        <f>J181/I181-1</f>
        <v>-0.20789052263793861</v>
      </c>
      <c r="K215" s="387">
        <f>K181/J181-1</f>
        <v>9.6489615879433943E-2</v>
      </c>
      <c r="L215" s="387">
        <f>L181/K181-1</f>
        <v>-0.24220583305397247</v>
      </c>
      <c r="M215" s="389"/>
      <c r="N215" s="387">
        <f>N181/L181-1</f>
        <v>-0.36783897367838969</v>
      </c>
      <c r="O215" s="387">
        <f>O181/N181-1</f>
        <v>-0.14485654303708884</v>
      </c>
      <c r="P215" s="387">
        <f>P181/O181-1</f>
        <v>-2.4549918166939522E-3</v>
      </c>
      <c r="Q215" s="390">
        <v>0</v>
      </c>
      <c r="R215" s="389"/>
      <c r="S215" s="390">
        <v>0</v>
      </c>
      <c r="T215" s="390">
        <v>0</v>
      </c>
      <c r="U215" s="390">
        <v>0</v>
      </c>
      <c r="V215" s="390">
        <v>0</v>
      </c>
      <c r="W215" s="389"/>
      <c r="X215" s="390">
        <v>0.05</v>
      </c>
      <c r="Y215" s="390">
        <v>0.05</v>
      </c>
      <c r="Z215" s="390">
        <v>0.05</v>
      </c>
      <c r="AA215" s="390">
        <v>0.05</v>
      </c>
      <c r="AB215" s="389"/>
      <c r="AC215" s="390">
        <v>0.05</v>
      </c>
      <c r="AD215" s="390">
        <v>0.05</v>
      </c>
      <c r="AE215" s="390">
        <v>0.05</v>
      </c>
      <c r="AF215" s="390">
        <v>0.05</v>
      </c>
      <c r="AG215" s="389"/>
      <c r="AH215" s="390">
        <v>0.05</v>
      </c>
      <c r="AI215" s="390">
        <v>0.05</v>
      </c>
      <c r="AJ215" s="390">
        <v>0.05</v>
      </c>
      <c r="AK215" s="390">
        <v>0.05</v>
      </c>
      <c r="AL215" s="363"/>
      <c r="AM215" s="390">
        <v>0.05</v>
      </c>
      <c r="AN215" s="390">
        <v>0.05</v>
      </c>
      <c r="AO215" s="390">
        <v>0.05</v>
      </c>
      <c r="AP215" s="390">
        <v>0.05</v>
      </c>
      <c r="AQ215" s="363"/>
    </row>
    <row r="216" spans="1:43" s="40" customFormat="1" ht="15" customHeight="1" x14ac:dyDescent="0.3">
      <c r="B216" s="20"/>
      <c r="C216" s="79"/>
      <c r="D216" s="102"/>
      <c r="E216" s="102"/>
      <c r="F216" s="102"/>
      <c r="G216" s="102"/>
      <c r="H216" s="102"/>
      <c r="I216" s="102"/>
      <c r="J216" s="102"/>
      <c r="K216" s="102"/>
      <c r="L216" s="102"/>
      <c r="M216" s="102"/>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row>
    <row r="217" spans="1:43" ht="15.6" x14ac:dyDescent="0.3">
      <c r="B217" s="467" t="s">
        <v>0</v>
      </c>
      <c r="C217" s="468"/>
      <c r="D217" s="11"/>
      <c r="E217" s="11"/>
      <c r="F217" s="11"/>
      <c r="G217" s="11"/>
      <c r="H217" s="18"/>
      <c r="I217" s="11"/>
      <c r="J217" s="11"/>
      <c r="K217" s="39"/>
      <c r="L217" s="11"/>
      <c r="M217" s="11"/>
      <c r="N217" s="437"/>
      <c r="O217" s="437"/>
      <c r="Q217" s="11"/>
      <c r="R217" s="11"/>
      <c r="S217" s="11"/>
      <c r="T217" s="11"/>
      <c r="U217" s="11"/>
      <c r="V217" s="11"/>
      <c r="W217" s="11"/>
      <c r="X217" s="11"/>
      <c r="Y217" s="11"/>
      <c r="Z217" s="11"/>
      <c r="AA217" s="11"/>
      <c r="AB217" s="11"/>
      <c r="AC217" s="11"/>
      <c r="AD217" s="11"/>
      <c r="AE217" s="11"/>
      <c r="AF217" s="11"/>
      <c r="AG217" s="11"/>
      <c r="AH217" s="11"/>
      <c r="AI217" s="11"/>
      <c r="AJ217" s="11"/>
      <c r="AK217" s="11"/>
      <c r="AL217" s="11"/>
    </row>
    <row r="218" spans="1:43" x14ac:dyDescent="0.3">
      <c r="B218" s="22" t="s">
        <v>254</v>
      </c>
      <c r="C218" s="57">
        <v>60.8</v>
      </c>
      <c r="D218" s="67"/>
      <c r="E218" s="5"/>
      <c r="F218" s="5"/>
      <c r="G218" s="5"/>
      <c r="H218" s="27"/>
      <c r="I218" s="6"/>
      <c r="J218" s="7"/>
      <c r="K218" s="4"/>
      <c r="L218" s="4"/>
      <c r="M218" s="7"/>
      <c r="N218" s="6"/>
      <c r="O218" s="7"/>
      <c r="P218" s="4"/>
      <c r="Q218" s="4"/>
      <c r="R218" s="7"/>
      <c r="S218" s="6"/>
      <c r="T218" s="7"/>
      <c r="U218" s="4"/>
      <c r="V218" s="4"/>
      <c r="W218" s="7"/>
      <c r="X218" s="6"/>
      <c r="Y218" s="7"/>
      <c r="Z218" s="4"/>
      <c r="AA218" s="4"/>
      <c r="AB218" s="7"/>
      <c r="AC218" s="6"/>
      <c r="AD218" s="7"/>
      <c r="AE218" s="4"/>
      <c r="AF218" s="4"/>
      <c r="AG218" s="7"/>
      <c r="AH218" s="6"/>
      <c r="AI218" s="7"/>
      <c r="AJ218" s="4"/>
      <c r="AK218" s="4"/>
      <c r="AL218" s="7"/>
    </row>
    <row r="219" spans="1:43" x14ac:dyDescent="0.3">
      <c r="B219" s="22" t="s">
        <v>255</v>
      </c>
      <c r="C219" s="57">
        <v>67.599999999999994</v>
      </c>
      <c r="D219" s="68"/>
      <c r="E219" s="18"/>
      <c r="F219" s="18"/>
      <c r="G219" s="18"/>
      <c r="H219" s="27"/>
      <c r="I219" s="18"/>
      <c r="J219" s="18"/>
      <c r="K219" s="19"/>
      <c r="L219" s="19"/>
      <c r="M219" s="19"/>
      <c r="N219" s="18"/>
      <c r="O219" s="18"/>
      <c r="P219" s="19"/>
      <c r="Q219" s="19"/>
      <c r="R219" s="19"/>
      <c r="S219" s="18"/>
      <c r="T219" s="18"/>
      <c r="U219" s="19"/>
      <c r="V219" s="19"/>
      <c r="W219" s="19"/>
      <c r="X219" s="18"/>
      <c r="Y219" s="18"/>
      <c r="Z219" s="19"/>
      <c r="AA219" s="19"/>
      <c r="AB219" s="19"/>
      <c r="AC219" s="18"/>
      <c r="AD219" s="18"/>
      <c r="AE219" s="19"/>
      <c r="AF219" s="19"/>
      <c r="AG219" s="19"/>
      <c r="AH219" s="18"/>
      <c r="AI219" s="18"/>
      <c r="AJ219" s="19"/>
      <c r="AK219" s="19"/>
      <c r="AL219" s="19"/>
    </row>
    <row r="220" spans="1:43" x14ac:dyDescent="0.3">
      <c r="B220" s="22" t="s">
        <v>256</v>
      </c>
      <c r="C220" s="57">
        <v>54</v>
      </c>
      <c r="D220" s="68"/>
      <c r="E220" s="18"/>
      <c r="F220" s="24"/>
      <c r="G220" s="18"/>
      <c r="H220" s="27"/>
      <c r="I220" s="18"/>
      <c r="J220" s="18"/>
      <c r="K220" s="19"/>
      <c r="L220" s="19"/>
      <c r="M220" s="19"/>
      <c r="N220" s="18"/>
      <c r="O220" s="18"/>
      <c r="P220" s="19"/>
      <c r="Q220" s="19"/>
      <c r="R220" s="19"/>
      <c r="S220" s="18"/>
      <c r="T220" s="18"/>
      <c r="U220" s="19"/>
      <c r="V220" s="19"/>
      <c r="W220" s="19"/>
      <c r="X220" s="18"/>
      <c r="Y220" s="18"/>
      <c r="Z220" s="19"/>
      <c r="AA220" s="19"/>
      <c r="AB220" s="19"/>
      <c r="AC220" s="18"/>
      <c r="AD220" s="18"/>
      <c r="AE220" s="19"/>
      <c r="AF220" s="19"/>
      <c r="AG220" s="19"/>
      <c r="AH220" s="18"/>
      <c r="AI220" s="18"/>
      <c r="AJ220" s="19"/>
      <c r="AK220" s="19"/>
      <c r="AL220" s="19"/>
    </row>
    <row r="221" spans="1:43" x14ac:dyDescent="0.3">
      <c r="B221" s="22" t="s">
        <v>257</v>
      </c>
      <c r="C221" s="58">
        <v>68</v>
      </c>
      <c r="D221" s="68"/>
      <c r="E221" s="18"/>
      <c r="F221" s="18"/>
      <c r="G221" s="18"/>
      <c r="H221" s="27"/>
      <c r="I221" s="18"/>
      <c r="J221" s="18"/>
      <c r="K221" s="19"/>
      <c r="L221" s="19"/>
      <c r="M221" s="19"/>
      <c r="N221" s="18"/>
      <c r="O221" s="18"/>
      <c r="P221" s="19"/>
      <c r="Q221" s="19"/>
      <c r="R221" s="19"/>
      <c r="S221" s="18"/>
      <c r="T221" s="18"/>
      <c r="U221" s="19"/>
      <c r="V221" s="19"/>
      <c r="W221" s="19"/>
      <c r="X221" s="18"/>
      <c r="Y221" s="18"/>
      <c r="Z221" s="19"/>
      <c r="AA221" s="19"/>
      <c r="AB221" s="19"/>
      <c r="AC221" s="18"/>
      <c r="AD221" s="18"/>
      <c r="AE221" s="19"/>
      <c r="AF221" s="19"/>
      <c r="AG221" s="19"/>
      <c r="AH221" s="18"/>
      <c r="AI221" s="18"/>
      <c r="AJ221" s="19"/>
      <c r="AK221" s="19"/>
      <c r="AL221" s="19"/>
    </row>
    <row r="222" spans="1:43" s="23" customFormat="1" x14ac:dyDescent="0.3">
      <c r="B222" s="3" t="s">
        <v>21</v>
      </c>
      <c r="C222" s="28">
        <f>P201</f>
        <v>-4.2676895306859208</v>
      </c>
      <c r="D222" s="68"/>
      <c r="E222" s="18"/>
      <c r="F222" s="18"/>
      <c r="G222" s="18"/>
      <c r="H222" s="27"/>
      <c r="I222" s="18"/>
      <c r="J222" s="18"/>
      <c r="K222" s="19"/>
      <c r="L222" s="19"/>
      <c r="M222" s="19"/>
      <c r="N222" s="18"/>
      <c r="O222" s="18"/>
      <c r="P222" s="19"/>
      <c r="Q222" s="19"/>
      <c r="R222" s="19"/>
      <c r="S222" s="18"/>
      <c r="T222" s="18"/>
      <c r="U222" s="19"/>
      <c r="V222" s="19"/>
      <c r="W222" s="19"/>
      <c r="X222" s="18"/>
      <c r="Y222" s="18"/>
      <c r="Z222" s="19"/>
      <c r="AA222" s="19"/>
      <c r="AB222" s="19"/>
      <c r="AC222" s="18"/>
      <c r="AD222" s="18"/>
      <c r="AE222" s="19"/>
      <c r="AF222" s="19"/>
      <c r="AG222" s="19"/>
      <c r="AH222" s="18"/>
      <c r="AI222" s="18"/>
      <c r="AJ222" s="19"/>
      <c r="AK222" s="19"/>
      <c r="AL222" s="19"/>
    </row>
    <row r="223" spans="1:43" x14ac:dyDescent="0.3">
      <c r="B223" s="12" t="s">
        <v>22</v>
      </c>
      <c r="C223" s="168">
        <f>C221*(Q44+S44+T44+U44)+C222</f>
        <v>123.52231578681213</v>
      </c>
      <c r="D223" s="69"/>
      <c r="E223" s="18"/>
      <c r="F223" s="18"/>
      <c r="G223" s="18"/>
      <c r="H223" s="27"/>
      <c r="I223" s="18"/>
      <c r="J223" s="18"/>
      <c r="K223" s="19"/>
      <c r="L223" s="19"/>
      <c r="M223" s="19"/>
      <c r="N223" s="18"/>
      <c r="O223" s="18"/>
      <c r="P223" s="19"/>
      <c r="Q223" s="19"/>
      <c r="R223" s="19"/>
      <c r="S223" s="18"/>
      <c r="T223" s="18"/>
      <c r="U223" s="19"/>
      <c r="V223" s="19"/>
      <c r="W223" s="19"/>
      <c r="X223" s="18"/>
      <c r="Y223" s="18"/>
      <c r="Z223" s="19"/>
      <c r="AA223" s="19"/>
      <c r="AB223" s="19"/>
      <c r="AC223" s="18"/>
      <c r="AD223" s="18"/>
      <c r="AE223" s="19"/>
      <c r="AF223" s="19"/>
      <c r="AG223" s="19"/>
      <c r="AH223" s="18"/>
      <c r="AI223" s="18"/>
      <c r="AJ223" s="19"/>
      <c r="AK223" s="19"/>
      <c r="AL223" s="19"/>
    </row>
    <row r="224" spans="1:43" s="23" customFormat="1" ht="103.35" customHeight="1" x14ac:dyDescent="0.3">
      <c r="B224" s="488" t="s">
        <v>292</v>
      </c>
      <c r="C224" s="489"/>
      <c r="D224" s="69"/>
      <c r="E224" s="18"/>
      <c r="F224" s="18"/>
      <c r="G224" s="18"/>
      <c r="H224" s="18"/>
      <c r="I224" s="18"/>
      <c r="J224" s="18"/>
      <c r="K224" s="19"/>
      <c r="L224" s="19"/>
      <c r="M224" s="19"/>
      <c r="N224" s="18"/>
      <c r="O224" s="18"/>
      <c r="P224" s="19"/>
      <c r="Q224" s="19"/>
      <c r="R224" s="19"/>
      <c r="S224" s="18"/>
      <c r="T224" s="18"/>
      <c r="U224" s="19"/>
      <c r="V224" s="19"/>
      <c r="W224" s="19"/>
      <c r="X224" s="18"/>
      <c r="Y224" s="18"/>
      <c r="Z224" s="19"/>
      <c r="AA224" s="19"/>
      <c r="AB224" s="19"/>
      <c r="AC224" s="18"/>
      <c r="AD224" s="18"/>
      <c r="AE224" s="19"/>
      <c r="AF224" s="19"/>
      <c r="AG224" s="19"/>
      <c r="AH224" s="18"/>
      <c r="AI224" s="18"/>
      <c r="AJ224" s="19"/>
      <c r="AK224" s="19"/>
      <c r="AL224" s="19"/>
    </row>
    <row r="225" spans="2:38" s="23" customFormat="1" ht="55.35" customHeight="1" x14ac:dyDescent="0.3">
      <c r="B225" s="486" t="s">
        <v>258</v>
      </c>
      <c r="C225" s="487"/>
      <c r="D225" s="69"/>
      <c r="E225" s="18"/>
      <c r="F225" s="18"/>
      <c r="G225" s="18"/>
      <c r="H225" s="18"/>
      <c r="I225" s="18"/>
      <c r="J225" s="18"/>
      <c r="K225" s="19"/>
      <c r="L225" s="19"/>
      <c r="M225" s="19"/>
      <c r="N225" s="18"/>
      <c r="O225" s="18"/>
      <c r="P225" s="19"/>
      <c r="Q225" s="19"/>
      <c r="R225" s="19"/>
      <c r="S225" s="18"/>
      <c r="T225" s="18"/>
      <c r="U225" s="19"/>
      <c r="V225" s="19"/>
      <c r="W225" s="19"/>
      <c r="X225" s="18"/>
      <c r="Y225" s="18"/>
      <c r="Z225" s="19"/>
      <c r="AA225" s="19"/>
      <c r="AB225" s="19"/>
      <c r="AC225" s="18"/>
      <c r="AD225" s="18"/>
      <c r="AE225" s="19"/>
      <c r="AF225" s="19"/>
      <c r="AG225" s="19"/>
      <c r="AH225" s="18"/>
      <c r="AI225" s="18"/>
      <c r="AJ225" s="19"/>
      <c r="AK225" s="19"/>
      <c r="AL225" s="19"/>
    </row>
    <row r="226" spans="2:38" x14ac:dyDescent="0.3">
      <c r="B226" s="9"/>
      <c r="C226" s="1"/>
      <c r="D226" s="8"/>
    </row>
    <row r="227" spans="2:38" ht="15.6" x14ac:dyDescent="0.3">
      <c r="B227" s="467" t="s">
        <v>47</v>
      </c>
      <c r="C227" s="468"/>
      <c r="D227" s="8"/>
    </row>
    <row r="228" spans="2:38" x14ac:dyDescent="0.3">
      <c r="B228" s="62" t="s">
        <v>43</v>
      </c>
      <c r="C228" s="163">
        <v>7.3000000000000001E-3</v>
      </c>
    </row>
    <row r="229" spans="2:38" s="40" customFormat="1" x14ac:dyDescent="0.3">
      <c r="B229" s="3" t="s">
        <v>44</v>
      </c>
      <c r="C229" s="71">
        <v>9.9400000000000002E-2</v>
      </c>
      <c r="D229" s="1"/>
      <c r="E229" s="1"/>
      <c r="F229" s="1"/>
      <c r="G229" s="1"/>
      <c r="H229" s="1"/>
      <c r="I229" s="1"/>
      <c r="J229" s="1"/>
      <c r="K229" s="2"/>
      <c r="L229" s="2"/>
      <c r="M229" s="2"/>
      <c r="N229" s="1"/>
      <c r="O229" s="1"/>
      <c r="P229" s="2"/>
      <c r="Q229" s="2"/>
      <c r="R229" s="2"/>
      <c r="S229" s="1"/>
      <c r="T229" s="1"/>
      <c r="U229" s="2"/>
      <c r="V229" s="2"/>
      <c r="W229" s="2"/>
      <c r="X229" s="1"/>
      <c r="Y229" s="1"/>
      <c r="Z229" s="2"/>
      <c r="AA229" s="2"/>
      <c r="AB229" s="2"/>
      <c r="AC229" s="1"/>
      <c r="AD229" s="1"/>
      <c r="AE229" s="2"/>
      <c r="AF229" s="2"/>
      <c r="AG229" s="2"/>
      <c r="AH229" s="1"/>
      <c r="AI229" s="1"/>
      <c r="AJ229" s="2"/>
      <c r="AK229" s="2"/>
      <c r="AL229" s="2"/>
    </row>
    <row r="230" spans="2:38" s="40" customFormat="1" x14ac:dyDescent="0.3">
      <c r="B230" s="3" t="s">
        <v>48</v>
      </c>
      <c r="C230" s="63">
        <f>C223</f>
        <v>123.52231578681213</v>
      </c>
      <c r="D230" s="1"/>
      <c r="E230" s="1"/>
      <c r="F230" s="1"/>
      <c r="G230" s="1"/>
      <c r="H230" s="1"/>
      <c r="I230" s="1"/>
      <c r="J230" s="1"/>
      <c r="K230" s="2"/>
      <c r="L230" s="2"/>
      <c r="M230" s="2"/>
      <c r="N230" s="1"/>
      <c r="O230" s="1"/>
      <c r="P230" s="2"/>
      <c r="Q230" s="2"/>
      <c r="R230" s="2"/>
      <c r="S230" s="1"/>
      <c r="T230" s="1"/>
      <c r="U230" s="2"/>
      <c r="V230" s="2"/>
      <c r="W230" s="2"/>
      <c r="X230" s="1"/>
      <c r="Y230" s="1"/>
      <c r="Z230" s="2"/>
      <c r="AA230" s="2"/>
      <c r="AB230" s="2"/>
      <c r="AC230" s="1"/>
      <c r="AD230" s="1"/>
      <c r="AE230" s="2"/>
      <c r="AF230" s="2"/>
      <c r="AG230" s="2"/>
      <c r="AH230" s="1"/>
      <c r="AI230" s="1"/>
      <c r="AJ230" s="2"/>
      <c r="AK230" s="2"/>
      <c r="AL230" s="2"/>
    </row>
    <row r="231" spans="2:38" x14ac:dyDescent="0.3">
      <c r="B231" s="22" t="s">
        <v>45</v>
      </c>
      <c r="C231" s="63">
        <f>C230*(1+(C229+2*C228))</f>
        <v>137.60385978650874</v>
      </c>
      <c r="H231" s="61"/>
    </row>
    <row r="232" spans="2:38" x14ac:dyDescent="0.3">
      <c r="B232" s="64" t="s">
        <v>46</v>
      </c>
      <c r="C232" s="164">
        <f>C230*(1-(C229+2*C228))</f>
        <v>109.44077178711555</v>
      </c>
      <c r="H232" s="60"/>
    </row>
    <row r="233" spans="2:38" s="40" customFormat="1" ht="15" customHeight="1" x14ac:dyDescent="0.3">
      <c r="B233" s="482" t="s">
        <v>293</v>
      </c>
      <c r="C233" s="483"/>
      <c r="D233" s="1"/>
      <c r="E233" s="1"/>
      <c r="F233" s="1"/>
      <c r="G233" s="1"/>
      <c r="H233" s="1"/>
      <c r="I233" s="1"/>
      <c r="J233" s="1"/>
      <c r="K233" s="2"/>
      <c r="L233" s="2"/>
      <c r="M233" s="2"/>
      <c r="N233" s="1"/>
      <c r="O233" s="1"/>
      <c r="P233" s="2"/>
      <c r="Q233" s="2"/>
      <c r="R233" s="2"/>
      <c r="S233" s="1"/>
      <c r="T233" s="1"/>
      <c r="U233" s="2"/>
      <c r="V233" s="2"/>
      <c r="W233" s="2"/>
      <c r="X233" s="1"/>
      <c r="Y233" s="1"/>
      <c r="Z233" s="2"/>
      <c r="AA233" s="2"/>
      <c r="AB233" s="2"/>
      <c r="AC233" s="1"/>
      <c r="AD233" s="1"/>
      <c r="AE233" s="2"/>
      <c r="AF233" s="2"/>
      <c r="AG233" s="2"/>
      <c r="AH233" s="1"/>
      <c r="AI233" s="1"/>
      <c r="AJ233" s="2"/>
      <c r="AK233" s="2"/>
      <c r="AL233" s="2"/>
    </row>
    <row r="234" spans="2:38" x14ac:dyDescent="0.3">
      <c r="B234" s="482"/>
      <c r="C234" s="483"/>
    </row>
    <row r="235" spans="2:38" x14ac:dyDescent="0.3">
      <c r="B235" s="482"/>
      <c r="C235" s="483"/>
    </row>
    <row r="236" spans="2:38" x14ac:dyDescent="0.3">
      <c r="B236" s="482"/>
      <c r="C236" s="483"/>
    </row>
    <row r="237" spans="2:38" x14ac:dyDescent="0.3">
      <c r="B237" s="482"/>
      <c r="C237" s="483"/>
    </row>
    <row r="238" spans="2:38" x14ac:dyDescent="0.3">
      <c r="B238" s="482"/>
      <c r="C238" s="483"/>
    </row>
    <row r="239" spans="2:38" x14ac:dyDescent="0.3">
      <c r="B239" s="482"/>
      <c r="C239" s="483"/>
    </row>
    <row r="240" spans="2:38" x14ac:dyDescent="0.3">
      <c r="B240" s="482"/>
      <c r="C240" s="483"/>
    </row>
    <row r="241" spans="2:3" x14ac:dyDescent="0.3">
      <c r="B241" s="482"/>
      <c r="C241" s="483"/>
    </row>
    <row r="242" spans="2:3" x14ac:dyDescent="0.3">
      <c r="B242" s="482"/>
      <c r="C242" s="483"/>
    </row>
    <row r="243" spans="2:3" x14ac:dyDescent="0.3">
      <c r="B243" s="482"/>
      <c r="C243" s="483"/>
    </row>
    <row r="244" spans="2:3" x14ac:dyDescent="0.3">
      <c r="B244" s="482"/>
      <c r="C244" s="483"/>
    </row>
    <row r="245" spans="2:3" x14ac:dyDescent="0.3">
      <c r="B245" s="482"/>
      <c r="C245" s="483"/>
    </row>
    <row r="246" spans="2:3" x14ac:dyDescent="0.3">
      <c r="B246" s="482"/>
      <c r="C246" s="483"/>
    </row>
    <row r="247" spans="2:3" x14ac:dyDescent="0.3">
      <c r="B247" s="482"/>
      <c r="C247" s="483"/>
    </row>
    <row r="248" spans="2:3" x14ac:dyDescent="0.3">
      <c r="B248" s="484"/>
      <c r="C248" s="485"/>
    </row>
    <row r="250" spans="2:3" ht="15.6" x14ac:dyDescent="0.3">
      <c r="B250" s="467" t="s">
        <v>259</v>
      </c>
      <c r="C250" s="468"/>
    </row>
    <row r="251" spans="2:3" x14ac:dyDescent="0.3">
      <c r="B251" s="414" t="s">
        <v>260</v>
      </c>
      <c r="C251" s="415"/>
    </row>
    <row r="252" spans="2:3" x14ac:dyDescent="0.3">
      <c r="B252" s="3" t="s">
        <v>261</v>
      </c>
      <c r="C252" s="416">
        <v>121.71</v>
      </c>
    </row>
    <row r="253" spans="2:3" ht="16.2" x14ac:dyDescent="0.45">
      <c r="B253" s="3" t="s">
        <v>262</v>
      </c>
      <c r="C253" s="417">
        <v>44.1</v>
      </c>
    </row>
    <row r="254" spans="2:3" x14ac:dyDescent="0.3">
      <c r="B254" s="12" t="s">
        <v>263</v>
      </c>
      <c r="C254" s="418">
        <f>C253*C252</f>
        <v>5367.4110000000001</v>
      </c>
    </row>
    <row r="255" spans="2:3" x14ac:dyDescent="0.3">
      <c r="B255" s="22" t="s">
        <v>264</v>
      </c>
      <c r="C255" s="419">
        <v>1.47</v>
      </c>
    </row>
    <row r="256" spans="2:3" x14ac:dyDescent="0.3">
      <c r="B256" s="22" t="s">
        <v>265</v>
      </c>
      <c r="C256" s="420">
        <v>0.3</v>
      </c>
    </row>
    <row r="257" spans="2:5" x14ac:dyDescent="0.3">
      <c r="B257" s="22" t="s">
        <v>266</v>
      </c>
      <c r="C257" s="421">
        <v>0.187</v>
      </c>
    </row>
    <row r="258" spans="2:5" x14ac:dyDescent="0.3">
      <c r="B258" s="12" t="s">
        <v>267</v>
      </c>
      <c r="C258" s="422">
        <f>C256*C257</f>
        <v>5.6099999999999997E-2</v>
      </c>
    </row>
    <row r="259" spans="2:5" x14ac:dyDescent="0.3">
      <c r="B259" s="22" t="s">
        <v>268</v>
      </c>
      <c r="C259" s="423">
        <v>2.0199999999999999E-2</v>
      </c>
    </row>
    <row r="260" spans="2:5" x14ac:dyDescent="0.3">
      <c r="B260" s="12" t="s">
        <v>269</v>
      </c>
      <c r="C260" s="422">
        <f>C259+(C255*C258)</f>
        <v>0.10266699999999999</v>
      </c>
    </row>
    <row r="261" spans="2:5" x14ac:dyDescent="0.3">
      <c r="B261" s="22" t="s">
        <v>270</v>
      </c>
      <c r="C261" s="424">
        <f>1-(Q129/1000)/C254</f>
        <v>0.96155259956802264</v>
      </c>
      <c r="E261" s="431"/>
    </row>
    <row r="262" spans="2:5" x14ac:dyDescent="0.3">
      <c r="B262" s="22" t="s">
        <v>271</v>
      </c>
      <c r="C262" s="424">
        <v>0.05</v>
      </c>
    </row>
    <row r="263" spans="2:5" x14ac:dyDescent="0.3">
      <c r="B263" s="22" t="s">
        <v>272</v>
      </c>
      <c r="C263" s="425">
        <f>S90</f>
        <v>0.2</v>
      </c>
    </row>
    <row r="264" spans="2:5" x14ac:dyDescent="0.3">
      <c r="B264" s="22" t="s">
        <v>273</v>
      </c>
      <c r="C264" s="426">
        <f>C262*(1-C263)</f>
        <v>4.0000000000000008E-2</v>
      </c>
    </row>
    <row r="265" spans="2:5" x14ac:dyDescent="0.3">
      <c r="B265" s="12" t="s">
        <v>274</v>
      </c>
      <c r="C265" s="422">
        <f>(C261*C260)+((1-C261)*C264)</f>
        <v>0.10025761675712927</v>
      </c>
    </row>
    <row r="266" spans="2:5" x14ac:dyDescent="0.3">
      <c r="B266" s="3"/>
      <c r="C266" s="415"/>
    </row>
    <row r="267" spans="2:5" x14ac:dyDescent="0.3">
      <c r="B267" s="414" t="s">
        <v>275</v>
      </c>
      <c r="C267" s="415"/>
    </row>
    <row r="268" spans="2:5" x14ac:dyDescent="0.3">
      <c r="B268" s="3" t="s">
        <v>276</v>
      </c>
      <c r="C268" s="427">
        <v>6.5000000000000002E-2</v>
      </c>
    </row>
    <row r="269" spans="2:5" x14ac:dyDescent="0.3">
      <c r="B269" s="3" t="s">
        <v>277</v>
      </c>
      <c r="C269" s="427">
        <v>6.5000000000000002E-2</v>
      </c>
    </row>
    <row r="270" spans="2:5" x14ac:dyDescent="0.3">
      <c r="B270" s="3" t="s">
        <v>278</v>
      </c>
      <c r="C270" s="424">
        <v>0.02</v>
      </c>
    </row>
    <row r="271" spans="2:5" x14ac:dyDescent="0.3">
      <c r="B271" s="3"/>
      <c r="C271" s="428"/>
    </row>
    <row r="272" spans="2:5" x14ac:dyDescent="0.3">
      <c r="B272" s="414" t="s">
        <v>279</v>
      </c>
      <c r="C272" s="415"/>
    </row>
    <row r="273" spans="2:3" x14ac:dyDescent="0.3">
      <c r="B273" s="3" t="s">
        <v>280</v>
      </c>
      <c r="C273" s="147">
        <f>(((((AQ179*(1+C269))-(C270*AQ16*(1+C268))+(C264*AQ129)))/(C265-C268))/(1+C265)^5)/1000</f>
        <v>5388.6431041542874</v>
      </c>
    </row>
    <row r="274" spans="2:3" x14ac:dyDescent="0.3">
      <c r="B274" s="3" t="s">
        <v>281</v>
      </c>
      <c r="C274" s="94">
        <f>(W205+AB205+AG205+AL205+AQ205)/1000</f>
        <v>695.64841704396781</v>
      </c>
    </row>
    <row r="275" spans="2:3" ht="16.2" x14ac:dyDescent="0.45">
      <c r="B275" s="3" t="s">
        <v>282</v>
      </c>
      <c r="C275" s="429">
        <f>C222</f>
        <v>-4.2676895306859208</v>
      </c>
    </row>
    <row r="276" spans="2:3" x14ac:dyDescent="0.3">
      <c r="B276" s="12" t="s">
        <v>283</v>
      </c>
      <c r="C276" s="430">
        <f>(C273+C274)/C253+C275</f>
        <v>133.69810460079378</v>
      </c>
    </row>
    <row r="277" spans="2:3" ht="118.5" customHeight="1" x14ac:dyDescent="0.3">
      <c r="B277" s="514" t="s">
        <v>291</v>
      </c>
      <c r="C277" s="515"/>
    </row>
    <row r="278" spans="2:3" ht="61.5" customHeight="1" x14ac:dyDescent="0.3">
      <c r="B278" s="516" t="s">
        <v>284</v>
      </c>
      <c r="C278" s="517"/>
    </row>
    <row r="279" spans="2:3" ht="67.05" customHeight="1" x14ac:dyDescent="0.3">
      <c r="B279" s="482" t="s">
        <v>285</v>
      </c>
      <c r="C279" s="483"/>
    </row>
    <row r="280" spans="2:3" ht="49.95" customHeight="1" x14ac:dyDescent="0.3">
      <c r="B280" s="518" t="s">
        <v>286</v>
      </c>
      <c r="C280" s="519"/>
    </row>
  </sheetData>
  <dataConsolidate/>
  <mergeCells count="95">
    <mergeCell ref="B250:C250"/>
    <mergeCell ref="B277:C277"/>
    <mergeCell ref="B278:C278"/>
    <mergeCell ref="B279:C279"/>
    <mergeCell ref="B280:C280"/>
    <mergeCell ref="B213:C213"/>
    <mergeCell ref="B215:C215"/>
    <mergeCell ref="B154:C154"/>
    <mergeCell ref="B208:C208"/>
    <mergeCell ref="B209:C209"/>
    <mergeCell ref="B210:C210"/>
    <mergeCell ref="B211:C211"/>
    <mergeCell ref="B198:C198"/>
    <mergeCell ref="B194:C194"/>
    <mergeCell ref="B200:C200"/>
    <mergeCell ref="B170:C170"/>
    <mergeCell ref="B171:C171"/>
    <mergeCell ref="B172:C172"/>
    <mergeCell ref="B178:C178"/>
    <mergeCell ref="B179:C179"/>
    <mergeCell ref="B173:C173"/>
    <mergeCell ref="B199:C199"/>
    <mergeCell ref="B186:C186"/>
    <mergeCell ref="B188:C188"/>
    <mergeCell ref="B190:C190"/>
    <mergeCell ref="B2:C2"/>
    <mergeCell ref="B89:C89"/>
    <mergeCell ref="B82:C82"/>
    <mergeCell ref="B50:C50"/>
    <mergeCell ref="B11:C11"/>
    <mergeCell ref="B35:C35"/>
    <mergeCell ref="B12:C12"/>
    <mergeCell ref="B33:C33"/>
    <mergeCell ref="B16:C16"/>
    <mergeCell ref="B17:C17"/>
    <mergeCell ref="B31:C31"/>
    <mergeCell ref="B13:C13"/>
    <mergeCell ref="B32:C32"/>
    <mergeCell ref="B3:C3"/>
    <mergeCell ref="B4:C4"/>
    <mergeCell ref="B5:C5"/>
    <mergeCell ref="B42:C42"/>
    <mergeCell ref="B41:C41"/>
    <mergeCell ref="B108:C108"/>
    <mergeCell ref="B90:C90"/>
    <mergeCell ref="B44:C44"/>
    <mergeCell ref="B46:C46"/>
    <mergeCell ref="B53:C53"/>
    <mergeCell ref="B61:C61"/>
    <mergeCell ref="B69:C69"/>
    <mergeCell ref="B77:C77"/>
    <mergeCell ref="B109:C109"/>
    <mergeCell ref="B123:C123"/>
    <mergeCell ref="B227:C227"/>
    <mergeCell ref="B233:C248"/>
    <mergeCell ref="B43:C43"/>
    <mergeCell ref="B225:C225"/>
    <mergeCell ref="B217:C217"/>
    <mergeCell ref="B224:C224"/>
    <mergeCell ref="B45:C45"/>
    <mergeCell ref="B49:C49"/>
    <mergeCell ref="B104:C104"/>
    <mergeCell ref="B206:C206"/>
    <mergeCell ref="B105:C105"/>
    <mergeCell ref="B106:C106"/>
    <mergeCell ref="B107:C107"/>
    <mergeCell ref="B197:C197"/>
    <mergeCell ref="B160:C160"/>
    <mergeCell ref="B158:C158"/>
    <mergeCell ref="B159:C159"/>
    <mergeCell ref="B120:C120"/>
    <mergeCell ref="B121:C121"/>
    <mergeCell ref="B122:C122"/>
    <mergeCell ref="B145:C145"/>
    <mergeCell ref="B146:C146"/>
    <mergeCell ref="B147:C147"/>
    <mergeCell ref="B150:C150"/>
    <mergeCell ref="B152:C152"/>
    <mergeCell ref="B153:C153"/>
    <mergeCell ref="B204:C204"/>
    <mergeCell ref="B163:C163"/>
    <mergeCell ref="B91:C91"/>
    <mergeCell ref="B169:C169"/>
    <mergeCell ref="B143:C143"/>
    <mergeCell ref="B134:C134"/>
    <mergeCell ref="B135:C135"/>
    <mergeCell ref="B138:C138"/>
    <mergeCell ref="B140:C140"/>
    <mergeCell ref="B156:C156"/>
    <mergeCell ref="B157:C157"/>
    <mergeCell ref="B124:C124"/>
    <mergeCell ref="B128:C128"/>
    <mergeCell ref="B132:C132"/>
    <mergeCell ref="B133:C133"/>
    <mergeCell ref="B161:C161"/>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ignoredErrors>
    <ignoredError sqref="W88 AB88 AG88"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Kanyuka</dc:creator>
  <cp:lastModifiedBy>Admin</cp:lastModifiedBy>
  <cp:lastPrinted>2016-03-31T01:20:23Z</cp:lastPrinted>
  <dcterms:created xsi:type="dcterms:W3CDTF">2014-10-18T18:34:10Z</dcterms:created>
  <dcterms:modified xsi:type="dcterms:W3CDTF">2017-01-07T23:15:23Z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