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Admin\Documents\Articles (2-15-2016)\NFLX Netflix\Contributor Models\"/>
    </mc:Choice>
  </mc:AlternateContent>
  <bookViews>
    <workbookView xWindow="0" yWindow="0" windowWidth="23040" windowHeight="9672"/>
  </bookViews>
  <sheets>
    <sheet name="Earnings Model" sheetId="3" r:id="rId1"/>
  </sheets>
  <definedNames>
    <definedName name="DATA">#REF!</definedName>
    <definedName name="_xlnm.Print_Area" localSheetId="0">'Earnings Model'!$A$1:$AB$106</definedName>
  </definedNames>
  <calcPr calcId="162913"/>
</workbook>
</file>

<file path=xl/calcChain.xml><?xml version="1.0" encoding="utf-8"?>
<calcChain xmlns="http://schemas.openxmlformats.org/spreadsheetml/2006/main">
  <c r="Q52" i="3" l="1"/>
  <c r="Q49" i="3"/>
  <c r="Q41" i="3"/>
  <c r="Q38" i="3"/>
  <c r="Q86" i="3" l="1"/>
  <c r="S86" i="3" s="1"/>
  <c r="T86" i="3" s="1"/>
  <c r="U86" i="3" s="1"/>
  <c r="V86" i="3" s="1"/>
  <c r="X86" i="3" s="1"/>
  <c r="Y86" i="3" s="1"/>
  <c r="Z86" i="3" s="1"/>
  <c r="AA86" i="3" s="1"/>
  <c r="P76" i="3"/>
  <c r="Q76" i="3" s="1"/>
  <c r="O76" i="3"/>
  <c r="N76" i="3"/>
  <c r="G76" i="3"/>
  <c r="F76" i="3"/>
  <c r="E76" i="3"/>
  <c r="K76" i="3"/>
  <c r="L76" i="3"/>
  <c r="J76" i="3"/>
  <c r="I76" i="3"/>
  <c r="Q19" i="3" l="1"/>
  <c r="S76" i="3"/>
  <c r="O91" i="3"/>
  <c r="P91" i="3"/>
  <c r="P80" i="3"/>
  <c r="P81" i="3"/>
  <c r="O74" i="3"/>
  <c r="P74" i="3"/>
  <c r="O75" i="3"/>
  <c r="P75" i="3"/>
  <c r="O77" i="3"/>
  <c r="P77" i="3"/>
  <c r="O66" i="3"/>
  <c r="P66" i="3"/>
  <c r="P61" i="3"/>
  <c r="O61" i="3"/>
  <c r="O57" i="3"/>
  <c r="P57" i="3"/>
  <c r="O55" i="3"/>
  <c r="P55" i="3"/>
  <c r="O53" i="3"/>
  <c r="P53" i="3"/>
  <c r="P50" i="3"/>
  <c r="O50" i="3"/>
  <c r="O47" i="3"/>
  <c r="P47" i="3"/>
  <c r="O46" i="3"/>
  <c r="P46" i="3"/>
  <c r="P44" i="3"/>
  <c r="O44" i="3"/>
  <c r="O42" i="3"/>
  <c r="P42" i="3"/>
  <c r="P39" i="3"/>
  <c r="O39" i="3"/>
  <c r="N39" i="3"/>
  <c r="S19" i="3" l="1"/>
  <c r="T76" i="3"/>
  <c r="N81" i="3"/>
  <c r="N80" i="3"/>
  <c r="N77" i="3"/>
  <c r="N75" i="3"/>
  <c r="N74" i="3"/>
  <c r="N33" i="3"/>
  <c r="N66" i="3"/>
  <c r="N61" i="3"/>
  <c r="N58" i="3"/>
  <c r="N55" i="3"/>
  <c r="N50" i="3"/>
  <c r="N47" i="3"/>
  <c r="N44" i="3"/>
  <c r="N91" i="3"/>
  <c r="T19" i="3" l="1"/>
  <c r="U76" i="3"/>
  <c r="Q28" i="3"/>
  <c r="S28" i="3" s="1"/>
  <c r="T28" i="3" s="1"/>
  <c r="U28" i="3" s="1"/>
  <c r="V28" i="3" s="1"/>
  <c r="X28" i="3" s="1"/>
  <c r="Y28" i="3" s="1"/>
  <c r="Z28" i="3" s="1"/>
  <c r="AA28" i="3" s="1"/>
  <c r="Q27" i="3"/>
  <c r="S27" i="3" s="1"/>
  <c r="T27" i="3" s="1"/>
  <c r="U27" i="3" s="1"/>
  <c r="V27" i="3" s="1"/>
  <c r="X27" i="3" s="1"/>
  <c r="Y27" i="3" s="1"/>
  <c r="Z27" i="3" s="1"/>
  <c r="AA27" i="3" s="1"/>
  <c r="I81" i="3"/>
  <c r="I80" i="3"/>
  <c r="L81" i="3"/>
  <c r="K81" i="3"/>
  <c r="J81" i="3"/>
  <c r="L80" i="3"/>
  <c r="K80" i="3"/>
  <c r="J80" i="3"/>
  <c r="F80" i="3"/>
  <c r="G80" i="3"/>
  <c r="F81" i="3"/>
  <c r="G81" i="3"/>
  <c r="E81" i="3"/>
  <c r="E80" i="3"/>
  <c r="U19" i="3" l="1"/>
  <c r="V76" i="3"/>
  <c r="N17" i="3"/>
  <c r="AA24" i="3"/>
  <c r="Z24" i="3"/>
  <c r="Y24" i="3"/>
  <c r="X24" i="3"/>
  <c r="V24" i="3"/>
  <c r="U24" i="3"/>
  <c r="T24" i="3"/>
  <c r="S24" i="3"/>
  <c r="Q24" i="3"/>
  <c r="P24" i="3"/>
  <c r="O24" i="3"/>
  <c r="N24" i="3"/>
  <c r="L24" i="3"/>
  <c r="K24" i="3"/>
  <c r="J24" i="3"/>
  <c r="I24" i="3"/>
  <c r="E24" i="3"/>
  <c r="F24" i="3"/>
  <c r="G24" i="3"/>
  <c r="D24" i="3"/>
  <c r="L17" i="3"/>
  <c r="K17" i="3"/>
  <c r="J17" i="3"/>
  <c r="I17" i="3"/>
  <c r="E17" i="3"/>
  <c r="F17" i="3"/>
  <c r="G17" i="3"/>
  <c r="D17" i="3"/>
  <c r="V19" i="3" l="1"/>
  <c r="X76" i="3"/>
  <c r="M17" i="3"/>
  <c r="H17" i="3"/>
  <c r="L91" i="3"/>
  <c r="K91" i="3"/>
  <c r="J91" i="3"/>
  <c r="I91" i="3"/>
  <c r="E91" i="3"/>
  <c r="F91" i="3"/>
  <c r="G91" i="3"/>
  <c r="D91" i="3"/>
  <c r="X19" i="3" l="1"/>
  <c r="Y76" i="3"/>
  <c r="L74" i="3"/>
  <c r="L75" i="3"/>
  <c r="L77" i="3"/>
  <c r="L66" i="3"/>
  <c r="L61" i="3"/>
  <c r="L58" i="3"/>
  <c r="L55" i="3"/>
  <c r="L50" i="3"/>
  <c r="L47" i="3"/>
  <c r="K47" i="3"/>
  <c r="L44" i="3"/>
  <c r="L40" i="3"/>
  <c r="L42" i="3" s="1"/>
  <c r="L39" i="3"/>
  <c r="Y19" i="3" l="1"/>
  <c r="Z76" i="3"/>
  <c r="L46" i="3"/>
  <c r="D85" i="3"/>
  <c r="E85" i="3"/>
  <c r="F85" i="3"/>
  <c r="G85" i="3"/>
  <c r="I85" i="3"/>
  <c r="J85" i="3"/>
  <c r="K85" i="3"/>
  <c r="D84" i="3"/>
  <c r="E84" i="3"/>
  <c r="F84" i="3"/>
  <c r="G84" i="3"/>
  <c r="I84" i="3"/>
  <c r="J84" i="3"/>
  <c r="K84" i="3"/>
  <c r="H87" i="3"/>
  <c r="Z19" i="3" l="1"/>
  <c r="AA76" i="3"/>
  <c r="AA19" i="3" s="1"/>
  <c r="H85" i="3"/>
  <c r="K74" i="3"/>
  <c r="K75" i="3"/>
  <c r="K77" i="3"/>
  <c r="K66" i="3"/>
  <c r="K61" i="3"/>
  <c r="K55" i="3"/>
  <c r="K50" i="3"/>
  <c r="K44" i="3"/>
  <c r="K40" i="3"/>
  <c r="K46" i="3" s="1"/>
  <c r="K39" i="3"/>
  <c r="K42" i="3" l="1"/>
  <c r="J77" i="3" l="1"/>
  <c r="J75" i="3"/>
  <c r="J74" i="3"/>
  <c r="J69" i="3"/>
  <c r="J66" i="3"/>
  <c r="J62" i="3"/>
  <c r="J68" i="3" s="1"/>
  <c r="J61" i="3"/>
  <c r="J58" i="3"/>
  <c r="J55" i="3"/>
  <c r="J51" i="3"/>
  <c r="J57" i="3" s="1"/>
  <c r="J50" i="3"/>
  <c r="D33" i="3"/>
  <c r="E33" i="3"/>
  <c r="F33" i="3"/>
  <c r="G33" i="3"/>
  <c r="I33" i="3"/>
  <c r="J33" i="3"/>
  <c r="J39" i="3"/>
  <c r="J47" i="3"/>
  <c r="J44" i="3"/>
  <c r="J40" i="3"/>
  <c r="J46" i="3" s="1"/>
  <c r="J53" i="3" l="1"/>
  <c r="J64" i="3"/>
  <c r="J42" i="3"/>
  <c r="E66" i="3" l="1"/>
  <c r="E77" i="3" l="1"/>
  <c r="F77" i="3"/>
  <c r="G77" i="3"/>
  <c r="I77" i="3"/>
  <c r="D77" i="3"/>
  <c r="E75" i="3"/>
  <c r="F75" i="3"/>
  <c r="G75" i="3"/>
  <c r="I75" i="3"/>
  <c r="D75" i="3"/>
  <c r="E74" i="3"/>
  <c r="F74" i="3"/>
  <c r="G74" i="3"/>
  <c r="I74" i="3"/>
  <c r="D74" i="3"/>
  <c r="D62" i="3"/>
  <c r="D68" i="3" s="1"/>
  <c r="D61" i="3"/>
  <c r="I69" i="3"/>
  <c r="G69" i="3"/>
  <c r="F69" i="3"/>
  <c r="E69" i="3"/>
  <c r="D69" i="3"/>
  <c r="I66" i="3"/>
  <c r="G66" i="3"/>
  <c r="F66" i="3"/>
  <c r="D66" i="3"/>
  <c r="I62" i="3"/>
  <c r="I68" i="3" s="1"/>
  <c r="G62" i="3"/>
  <c r="F62" i="3"/>
  <c r="F68" i="3" s="1"/>
  <c r="E62" i="3"/>
  <c r="I61" i="3"/>
  <c r="G61" i="3"/>
  <c r="F61" i="3"/>
  <c r="E61" i="3"/>
  <c r="D51" i="3"/>
  <c r="D57" i="3" s="1"/>
  <c r="D50" i="3"/>
  <c r="I58" i="3"/>
  <c r="G58" i="3"/>
  <c r="F58" i="3"/>
  <c r="E58" i="3"/>
  <c r="D58" i="3"/>
  <c r="I55" i="3"/>
  <c r="G55" i="3"/>
  <c r="F55" i="3"/>
  <c r="E55" i="3"/>
  <c r="D55" i="3"/>
  <c r="I51" i="3"/>
  <c r="I57" i="3" s="1"/>
  <c r="G51" i="3"/>
  <c r="G57" i="3" s="1"/>
  <c r="F51" i="3"/>
  <c r="F57" i="3" s="1"/>
  <c r="E51" i="3"/>
  <c r="E57" i="3" s="1"/>
  <c r="I50" i="3"/>
  <c r="G50" i="3"/>
  <c r="F50" i="3"/>
  <c r="E50" i="3"/>
  <c r="D44" i="3"/>
  <c r="I44" i="3"/>
  <c r="I47" i="3"/>
  <c r="E47" i="3"/>
  <c r="F47" i="3"/>
  <c r="G47" i="3"/>
  <c r="D47" i="3"/>
  <c r="E44" i="3"/>
  <c r="F44" i="3"/>
  <c r="G44" i="3"/>
  <c r="I40" i="3"/>
  <c r="I46" i="3" s="1"/>
  <c r="F40" i="3"/>
  <c r="F46" i="3" s="1"/>
  <c r="G40" i="3"/>
  <c r="G46" i="3" s="1"/>
  <c r="E40" i="3"/>
  <c r="E46" i="3" s="1"/>
  <c r="D40" i="3"/>
  <c r="D46" i="3" s="1"/>
  <c r="D39" i="3"/>
  <c r="I39" i="3"/>
  <c r="F39" i="3"/>
  <c r="G39" i="3"/>
  <c r="E39" i="3"/>
  <c r="H20" i="3"/>
  <c r="H14" i="3"/>
  <c r="H13" i="3"/>
  <c r="E11" i="3"/>
  <c r="E71" i="3" s="1"/>
  <c r="F11" i="3"/>
  <c r="F71" i="3" s="1"/>
  <c r="G11" i="3"/>
  <c r="G71" i="3" s="1"/>
  <c r="I11" i="3"/>
  <c r="I71" i="3" s="1"/>
  <c r="D11" i="3"/>
  <c r="D71" i="3" s="1"/>
  <c r="D15" i="3"/>
  <c r="M27" i="3" l="1"/>
  <c r="O80" i="3" s="1"/>
  <c r="M28" i="3"/>
  <c r="O81" i="3" s="1"/>
  <c r="D42" i="3"/>
  <c r="F42" i="3"/>
  <c r="I42" i="3"/>
  <c r="G42" i="3"/>
  <c r="E42" i="3"/>
  <c r="Q60" i="3"/>
  <c r="I64" i="3"/>
  <c r="F64" i="3"/>
  <c r="D64" i="3"/>
  <c r="E68" i="3"/>
  <c r="E64" i="3"/>
  <c r="G68" i="3"/>
  <c r="G64" i="3"/>
  <c r="E53" i="3"/>
  <c r="G53" i="3"/>
  <c r="K51" i="3"/>
  <c r="D53" i="3"/>
  <c r="F53" i="3"/>
  <c r="I53" i="3"/>
  <c r="D16" i="3"/>
  <c r="D18" i="3" l="1"/>
  <c r="D26" i="3" s="1"/>
  <c r="D32" i="3" s="1"/>
  <c r="D72" i="3"/>
  <c r="K57" i="3"/>
  <c r="K53" i="3"/>
  <c r="R27" i="3"/>
  <c r="W27" i="3" s="1"/>
  <c r="O62" i="3"/>
  <c r="O64" i="3" s="1"/>
  <c r="L62" i="3"/>
  <c r="R28" i="3"/>
  <c r="P62" i="3"/>
  <c r="N62" i="3"/>
  <c r="N40" i="3"/>
  <c r="D21" i="3"/>
  <c r="Q62" i="3"/>
  <c r="Q63" i="3" s="1"/>
  <c r="S60" i="3"/>
  <c r="T60" i="3" s="1"/>
  <c r="U60" i="3" s="1"/>
  <c r="U62" i="3" s="1"/>
  <c r="K62" i="3"/>
  <c r="K64" i="3" s="1"/>
  <c r="L51" i="3"/>
  <c r="N67" i="3" l="1"/>
  <c r="N64" i="3"/>
  <c r="P67" i="3"/>
  <c r="P69" i="3" s="1"/>
  <c r="P64" i="3"/>
  <c r="N46" i="3"/>
  <c r="N42" i="3"/>
  <c r="D73" i="3"/>
  <c r="L57" i="3"/>
  <c r="L53" i="3"/>
  <c r="L67" i="3"/>
  <c r="L69" i="3" s="1"/>
  <c r="L64" i="3"/>
  <c r="S62" i="3"/>
  <c r="S67" i="3" s="1"/>
  <c r="S38" i="3"/>
  <c r="T38" i="3" s="1"/>
  <c r="O67" i="3"/>
  <c r="T62" i="3"/>
  <c r="T63" i="3" s="1"/>
  <c r="Q67" i="3"/>
  <c r="D23" i="3"/>
  <c r="D78" i="3"/>
  <c r="V60" i="3"/>
  <c r="U67" i="3"/>
  <c r="U63" i="3"/>
  <c r="Q65" i="3"/>
  <c r="N51" i="3"/>
  <c r="K58" i="3"/>
  <c r="D83" i="3" l="1"/>
  <c r="D88" i="3" s="1"/>
  <c r="D25" i="3"/>
  <c r="D31" i="3" s="1"/>
  <c r="N53" i="3"/>
  <c r="N57" i="3"/>
  <c r="V62" i="3"/>
  <c r="V63" i="3" s="1"/>
  <c r="X60" i="3"/>
  <c r="S63" i="3"/>
  <c r="S65" i="3" s="1"/>
  <c r="S69" i="3" s="1"/>
  <c r="K69" i="3"/>
  <c r="O69" i="3"/>
  <c r="L33" i="3"/>
  <c r="Q69" i="3"/>
  <c r="T67" i="3"/>
  <c r="N69" i="3"/>
  <c r="AB27" i="3"/>
  <c r="S40" i="3"/>
  <c r="S41" i="3" s="1"/>
  <c r="M12" i="3"/>
  <c r="D30" i="3"/>
  <c r="D29" i="3"/>
  <c r="T40" i="3"/>
  <c r="U38" i="3"/>
  <c r="U40" i="3" s="1"/>
  <c r="U65" i="3"/>
  <c r="U69" i="3" s="1"/>
  <c r="T65" i="3"/>
  <c r="V67" i="3"/>
  <c r="Y60" i="3" l="1"/>
  <c r="Y62" i="3" s="1"/>
  <c r="Q45" i="3"/>
  <c r="Q43" i="3"/>
  <c r="X62" i="3"/>
  <c r="W28" i="3"/>
  <c r="N87" i="3"/>
  <c r="K33" i="3"/>
  <c r="M20" i="3"/>
  <c r="T69" i="3"/>
  <c r="S45" i="3"/>
  <c r="M9" i="3"/>
  <c r="M10" i="3"/>
  <c r="S43" i="3"/>
  <c r="V38" i="3"/>
  <c r="U41" i="3"/>
  <c r="U45" i="3"/>
  <c r="T41" i="3"/>
  <c r="T45" i="3"/>
  <c r="V65" i="3"/>
  <c r="V69" i="3" s="1"/>
  <c r="Q47" i="3" l="1"/>
  <c r="V40" i="3"/>
  <c r="V41" i="3" s="1"/>
  <c r="X38" i="3"/>
  <c r="S47" i="3"/>
  <c r="Y67" i="3"/>
  <c r="Y63" i="3"/>
  <c r="Y65" i="3" s="1"/>
  <c r="X63" i="3"/>
  <c r="X65" i="3" s="1"/>
  <c r="X67" i="3"/>
  <c r="Z60" i="3"/>
  <c r="Z62" i="3" s="1"/>
  <c r="O17" i="3"/>
  <c r="O33" i="3"/>
  <c r="M87" i="3"/>
  <c r="M13" i="3"/>
  <c r="M14" i="3"/>
  <c r="AB28" i="3"/>
  <c r="O15" i="3"/>
  <c r="T43" i="3"/>
  <c r="U43" i="3"/>
  <c r="P17" i="3"/>
  <c r="O58" i="3"/>
  <c r="H9" i="3"/>
  <c r="V45" i="3" l="1"/>
  <c r="H91" i="3"/>
  <c r="X69" i="3"/>
  <c r="Z67" i="3"/>
  <c r="Z63" i="3"/>
  <c r="Z65" i="3" s="1"/>
  <c r="AA60" i="3"/>
  <c r="X40" i="3"/>
  <c r="Y38" i="3"/>
  <c r="O87" i="3"/>
  <c r="L84" i="3"/>
  <c r="M84" i="3" s="1"/>
  <c r="T47" i="3"/>
  <c r="U47" i="3"/>
  <c r="H75" i="3"/>
  <c r="H74" i="3"/>
  <c r="S49" i="3"/>
  <c r="S51" i="3" s="1"/>
  <c r="V43" i="3"/>
  <c r="Y69" i="3"/>
  <c r="Q56" i="3"/>
  <c r="P58" i="3"/>
  <c r="Z38" i="3" l="1"/>
  <c r="AA38" i="3" s="1"/>
  <c r="X41" i="3"/>
  <c r="X43" i="3" s="1"/>
  <c r="X45" i="3"/>
  <c r="Y40" i="3"/>
  <c r="AA62" i="3"/>
  <c r="P87" i="3"/>
  <c r="M19" i="3"/>
  <c r="V47" i="3"/>
  <c r="S52" i="3"/>
  <c r="S9" i="3" s="1"/>
  <c r="S56" i="3"/>
  <c r="S12" i="3" s="1"/>
  <c r="Z69" i="3"/>
  <c r="T49" i="3"/>
  <c r="T51" i="3" s="1"/>
  <c r="Q12" i="3"/>
  <c r="R12" i="3" s="1"/>
  <c r="Q9" i="3"/>
  <c r="H10" i="3"/>
  <c r="H11" i="3" s="1"/>
  <c r="H71" i="3" s="1"/>
  <c r="I15" i="3"/>
  <c r="I16" i="3" s="1"/>
  <c r="S90" i="3" l="1"/>
  <c r="S17" i="3" s="1"/>
  <c r="AA40" i="3"/>
  <c r="I18" i="3"/>
  <c r="I26" i="3" s="1"/>
  <c r="I32" i="3" s="1"/>
  <c r="I72" i="3"/>
  <c r="AA63" i="3"/>
  <c r="AA65" i="3" s="1"/>
  <c r="AA67" i="3"/>
  <c r="Y41" i="3"/>
  <c r="Y45" i="3"/>
  <c r="X47" i="3"/>
  <c r="Z40" i="3"/>
  <c r="Q90" i="3"/>
  <c r="Q17" i="3" s="1"/>
  <c r="R17" i="3" s="1"/>
  <c r="Q20" i="3"/>
  <c r="R20" i="3" s="1"/>
  <c r="S20" i="3"/>
  <c r="Q13" i="3"/>
  <c r="R13" i="3" s="1"/>
  <c r="Q14" i="3"/>
  <c r="R14" i="3" s="1"/>
  <c r="R9" i="3"/>
  <c r="S13" i="3"/>
  <c r="S14" i="3"/>
  <c r="I21" i="3"/>
  <c r="I23" i="3" s="1"/>
  <c r="U49" i="3"/>
  <c r="U51" i="3" s="1"/>
  <c r="T56" i="3"/>
  <c r="T12" i="3" s="1"/>
  <c r="T52" i="3"/>
  <c r="T9" i="3" s="1"/>
  <c r="S54" i="3"/>
  <c r="S10" i="3" s="1"/>
  <c r="Q54" i="3"/>
  <c r="Q58" i="3" s="1"/>
  <c r="J11" i="3"/>
  <c r="J71" i="3" s="1"/>
  <c r="H19" i="3"/>
  <c r="H28" i="3"/>
  <c r="T90" i="3" l="1"/>
  <c r="T17" i="3" s="1"/>
  <c r="AA69" i="3"/>
  <c r="I73" i="3"/>
  <c r="I83" i="3"/>
  <c r="I88" i="3" s="1"/>
  <c r="I25" i="3"/>
  <c r="I31" i="3" s="1"/>
  <c r="Z41" i="3"/>
  <c r="Z43" i="3" s="1"/>
  <c r="Z45" i="3"/>
  <c r="Y43" i="3"/>
  <c r="Y47" i="3" s="1"/>
  <c r="AA45" i="3"/>
  <c r="AA41" i="3"/>
  <c r="Q87" i="3"/>
  <c r="R87" i="3" s="1"/>
  <c r="H84" i="3"/>
  <c r="N84" i="3"/>
  <c r="O84" i="3"/>
  <c r="I78" i="3"/>
  <c r="S87" i="3"/>
  <c r="R24" i="3"/>
  <c r="I30" i="3"/>
  <c r="T20" i="3"/>
  <c r="R15" i="3"/>
  <c r="S58" i="3"/>
  <c r="Q10" i="3"/>
  <c r="R10" i="3" s="1"/>
  <c r="T14" i="3"/>
  <c r="T13" i="3"/>
  <c r="T54" i="3"/>
  <c r="U52" i="3"/>
  <c r="U9" i="3" s="1"/>
  <c r="U56" i="3"/>
  <c r="U12" i="3" s="1"/>
  <c r="V49" i="3"/>
  <c r="H27" i="3"/>
  <c r="H24" i="3"/>
  <c r="H22" i="3"/>
  <c r="H12" i="3"/>
  <c r="F15" i="3"/>
  <c r="F16" i="3" s="1"/>
  <c r="E15" i="3"/>
  <c r="E16" i="3" s="1"/>
  <c r="G15" i="3"/>
  <c r="G16" i="3" s="1"/>
  <c r="U90" i="3" l="1"/>
  <c r="U17" i="3" s="1"/>
  <c r="F18" i="3"/>
  <c r="F26" i="3" s="1"/>
  <c r="F32" i="3" s="1"/>
  <c r="F72" i="3"/>
  <c r="AA43" i="3"/>
  <c r="AA47" i="3" s="1"/>
  <c r="Z47" i="3"/>
  <c r="G18" i="3"/>
  <c r="G26" i="3" s="1"/>
  <c r="G32" i="3" s="1"/>
  <c r="G72" i="3"/>
  <c r="E18" i="3"/>
  <c r="E26" i="3" s="1"/>
  <c r="E32" i="3" s="1"/>
  <c r="E72" i="3"/>
  <c r="P84" i="3"/>
  <c r="T87" i="3"/>
  <c r="G21" i="3"/>
  <c r="U20" i="3"/>
  <c r="V51" i="3"/>
  <c r="V56" i="3" s="1"/>
  <c r="V12" i="3" s="1"/>
  <c r="W12" i="3" s="1"/>
  <c r="X49" i="3"/>
  <c r="T58" i="3"/>
  <c r="T10" i="3"/>
  <c r="U13" i="3"/>
  <c r="U14" i="3"/>
  <c r="F21" i="3"/>
  <c r="F23" i="3" s="1"/>
  <c r="E21" i="3"/>
  <c r="E23" i="3" s="1"/>
  <c r="U54" i="3"/>
  <c r="L11" i="3"/>
  <c r="L71" i="3" s="1"/>
  <c r="H15" i="3"/>
  <c r="H16" i="3" s="1"/>
  <c r="H72" i="3" s="1"/>
  <c r="E25" i="3" l="1"/>
  <c r="E31" i="3" s="1"/>
  <c r="F73" i="3"/>
  <c r="F83" i="3"/>
  <c r="F88" i="3" s="1"/>
  <c r="F25" i="3"/>
  <c r="F31" i="3" s="1"/>
  <c r="E73" i="3"/>
  <c r="H18" i="3"/>
  <c r="H26" i="3" s="1"/>
  <c r="H32" i="3" s="1"/>
  <c r="F30" i="3"/>
  <c r="U87" i="3"/>
  <c r="E30" i="3"/>
  <c r="E83" i="3"/>
  <c r="F78" i="3"/>
  <c r="G73" i="3"/>
  <c r="V52" i="3"/>
  <c r="V9" i="3" s="1"/>
  <c r="Y49" i="3"/>
  <c r="Y51" i="3" s="1"/>
  <c r="X51" i="3"/>
  <c r="U58" i="3"/>
  <c r="U10" i="3"/>
  <c r="H21" i="3"/>
  <c r="H23" i="3" s="1"/>
  <c r="G23" i="3"/>
  <c r="G78" i="3"/>
  <c r="K11" i="3"/>
  <c r="K71" i="3" s="1"/>
  <c r="M11" i="3"/>
  <c r="M71" i="3" s="1"/>
  <c r="I29" i="3"/>
  <c r="G25" i="3" l="1"/>
  <c r="G31" i="3" s="1"/>
  <c r="H30" i="3"/>
  <c r="H25" i="3"/>
  <c r="H31" i="3" s="1"/>
  <c r="V90" i="3"/>
  <c r="V17" i="3" s="1"/>
  <c r="W17" i="3" s="1"/>
  <c r="H73" i="3"/>
  <c r="S84" i="3"/>
  <c r="G83" i="3"/>
  <c r="G88" i="3" s="1"/>
  <c r="E88" i="3"/>
  <c r="W9" i="3"/>
  <c r="V54" i="3"/>
  <c r="V10" i="3" s="1"/>
  <c r="W10" i="3" s="1"/>
  <c r="V13" i="3"/>
  <c r="W13" i="3" s="1"/>
  <c r="V20" i="3"/>
  <c r="W20" i="3" s="1"/>
  <c r="V14" i="3"/>
  <c r="W14" i="3" s="1"/>
  <c r="Y56" i="3"/>
  <c r="Y52" i="3"/>
  <c r="Y54" i="3" s="1"/>
  <c r="Z49" i="3"/>
  <c r="X52" i="3"/>
  <c r="X54" i="3" s="1"/>
  <c r="X56" i="3"/>
  <c r="X12" i="3" s="1"/>
  <c r="G30" i="3"/>
  <c r="T84" i="3" l="1"/>
  <c r="H83" i="3"/>
  <c r="V58" i="3"/>
  <c r="H88" i="3"/>
  <c r="W24" i="3"/>
  <c r="V87" i="3"/>
  <c r="W87" i="3" s="1"/>
  <c r="Y58" i="3"/>
  <c r="X58" i="3"/>
  <c r="X9" i="3"/>
  <c r="AA49" i="3"/>
  <c r="AA51" i="3" s="1"/>
  <c r="Z51" i="3"/>
  <c r="Y9" i="3"/>
  <c r="Y12" i="3"/>
  <c r="Y90" i="3" l="1"/>
  <c r="Y17" i="3" s="1"/>
  <c r="Y87" i="3" s="1"/>
  <c r="X90" i="3"/>
  <c r="X17" i="3" s="1"/>
  <c r="X87" i="3" s="1"/>
  <c r="U84" i="3"/>
  <c r="Y20" i="3"/>
  <c r="X13" i="3"/>
  <c r="X20" i="3"/>
  <c r="Z56" i="3"/>
  <c r="Z12" i="3" s="1"/>
  <c r="Z52" i="3"/>
  <c r="X14" i="3"/>
  <c r="AA56" i="3"/>
  <c r="AA52" i="3"/>
  <c r="Y14" i="3"/>
  <c r="Y13" i="3"/>
  <c r="X10" i="3"/>
  <c r="W19" i="3" l="1"/>
  <c r="V84" i="3"/>
  <c r="W84" i="3" s="1"/>
  <c r="Z54" i="3"/>
  <c r="Z10" i="3" s="1"/>
  <c r="Z9" i="3"/>
  <c r="AA54" i="3"/>
  <c r="AA58" i="3" s="1"/>
  <c r="Y10" i="3"/>
  <c r="AA9" i="3"/>
  <c r="AA12" i="3"/>
  <c r="AB12" i="3" s="1"/>
  <c r="X84" i="3"/>
  <c r="AA90" i="3" l="1"/>
  <c r="AA17" i="3" s="1"/>
  <c r="AA87" i="3" s="1"/>
  <c r="Z90" i="3"/>
  <c r="Z17" i="3" s="1"/>
  <c r="Z87" i="3" s="1"/>
  <c r="AA20" i="3"/>
  <c r="Z58" i="3"/>
  <c r="Z20" i="3"/>
  <c r="Z13" i="3"/>
  <c r="Z14" i="3"/>
  <c r="AA14" i="3"/>
  <c r="AA13" i="3"/>
  <c r="AB9" i="3"/>
  <c r="Y84" i="3"/>
  <c r="AB17" i="3" l="1"/>
  <c r="AB87" i="3"/>
  <c r="AB20" i="3"/>
  <c r="AB24" i="3"/>
  <c r="AB13" i="3"/>
  <c r="AB14" i="3"/>
  <c r="AA10" i="3"/>
  <c r="AB10" i="3" s="1"/>
  <c r="Z84" i="3"/>
  <c r="AA84" i="3" l="1"/>
  <c r="AB19" i="3" l="1"/>
  <c r="AB84" i="3" l="1"/>
  <c r="H78" i="3" l="1"/>
  <c r="E78" i="3"/>
  <c r="G29" i="3" l="1"/>
  <c r="F29" i="3"/>
  <c r="E29" i="3"/>
  <c r="H29" i="3"/>
  <c r="L15" i="3" l="1"/>
  <c r="L16" i="3" s="1"/>
  <c r="L72" i="3" s="1"/>
  <c r="K15" i="3"/>
  <c r="L21" i="3" l="1"/>
  <c r="L23" i="3" s="1"/>
  <c r="L18" i="3"/>
  <c r="L26" i="3" s="1"/>
  <c r="L32" i="3" s="1"/>
  <c r="K16" i="3"/>
  <c r="J15" i="3"/>
  <c r="M15" i="3"/>
  <c r="M16" i="3" s="1"/>
  <c r="L25" i="3" l="1"/>
  <c r="L31" i="3" s="1"/>
  <c r="L78" i="3"/>
  <c r="M18" i="3"/>
  <c r="M72" i="3"/>
  <c r="K18" i="3"/>
  <c r="K26" i="3" s="1"/>
  <c r="K32" i="3" s="1"/>
  <c r="K72" i="3"/>
  <c r="L85" i="3"/>
  <c r="M85" i="3" s="1"/>
  <c r="K21" i="3"/>
  <c r="K78" i="3" s="1"/>
  <c r="J16" i="3"/>
  <c r="M21" i="3"/>
  <c r="L83" i="3"/>
  <c r="K73" i="3" l="1"/>
  <c r="J18" i="3"/>
  <c r="J26" i="3" s="1"/>
  <c r="J32" i="3" s="1"/>
  <c r="J72" i="3"/>
  <c r="L29" i="3"/>
  <c r="J21" i="3"/>
  <c r="K23" i="3"/>
  <c r="L30" i="3"/>
  <c r="J73" i="3" l="1"/>
  <c r="K83" i="3"/>
  <c r="K88" i="3" s="1"/>
  <c r="K25" i="3"/>
  <c r="K31" i="3" s="1"/>
  <c r="J78" i="3"/>
  <c r="K29" i="3"/>
  <c r="K30" i="3"/>
  <c r="M22" i="3"/>
  <c r="J23" i="3"/>
  <c r="P15" i="3"/>
  <c r="Q15" i="3"/>
  <c r="J83" i="3" l="1"/>
  <c r="J88" i="3" s="1"/>
  <c r="J25" i="3"/>
  <c r="J31" i="3" s="1"/>
  <c r="M78" i="3"/>
  <c r="J29" i="3"/>
  <c r="M29" i="3" s="1"/>
  <c r="M23" i="3"/>
  <c r="J30" i="3"/>
  <c r="M30" i="3" s="1"/>
  <c r="M83" i="3" l="1"/>
  <c r="V15" i="3"/>
  <c r="U15" i="3"/>
  <c r="T15" i="3"/>
  <c r="S15" i="3"/>
  <c r="W15" i="3" l="1"/>
  <c r="Y15" i="3" l="1"/>
  <c r="Z15" i="3"/>
  <c r="AA15" i="3"/>
  <c r="X15" i="3"/>
  <c r="AB15" i="3" l="1"/>
  <c r="L88" i="3" l="1"/>
  <c r="M88" i="3" s="1"/>
  <c r="N15" i="3" l="1"/>
  <c r="R86" i="3" l="1"/>
  <c r="W86" i="3" l="1"/>
  <c r="AB86" i="3" l="1"/>
  <c r="O11" i="3" l="1"/>
  <c r="O16" i="3" s="1"/>
  <c r="O72" i="3" s="1"/>
  <c r="S11" i="3"/>
  <c r="S71" i="3" s="1"/>
  <c r="X11" i="3"/>
  <c r="X71" i="3" s="1"/>
  <c r="Y11" i="3"/>
  <c r="Y71" i="3" s="1"/>
  <c r="O71" i="3" l="1"/>
  <c r="R11" i="3"/>
  <c r="N11" i="3"/>
  <c r="N71" i="3" s="1"/>
  <c r="Q11" i="3"/>
  <c r="Q71" i="3" s="1"/>
  <c r="U11" i="3"/>
  <c r="U71" i="3" s="1"/>
  <c r="T11" i="3"/>
  <c r="T71" i="3" s="1"/>
  <c r="Y16" i="3"/>
  <c r="Y72" i="3" s="1"/>
  <c r="V11" i="3"/>
  <c r="V71" i="3" s="1"/>
  <c r="X16" i="3"/>
  <c r="X72" i="3" s="1"/>
  <c r="P11" i="3"/>
  <c r="P71" i="3" s="1"/>
  <c r="S16" i="3"/>
  <c r="S72" i="3" s="1"/>
  <c r="Z11" i="3"/>
  <c r="Z71" i="3" s="1"/>
  <c r="AA11" i="3"/>
  <c r="AA71" i="3" s="1"/>
  <c r="AB11" i="3"/>
  <c r="AB71" i="3" s="1"/>
  <c r="W11" i="3"/>
  <c r="W71" i="3" s="1"/>
  <c r="Y18" i="3" l="1"/>
  <c r="O18" i="3"/>
  <c r="S18" i="3"/>
  <c r="X18" i="3"/>
  <c r="R71" i="3"/>
  <c r="R16" i="3"/>
  <c r="R72" i="3" s="1"/>
  <c r="X21" i="3"/>
  <c r="X22" i="3" s="1"/>
  <c r="X85" i="3" s="1"/>
  <c r="Y21" i="3"/>
  <c r="Y22" i="3" s="1"/>
  <c r="Y85" i="3" s="1"/>
  <c r="S21" i="3"/>
  <c r="S22" i="3" s="1"/>
  <c r="O21" i="3"/>
  <c r="O78" i="3" s="1"/>
  <c r="N16" i="3"/>
  <c r="N72" i="3" s="1"/>
  <c r="V16" i="3"/>
  <c r="V72" i="3" s="1"/>
  <c r="T16" i="3"/>
  <c r="T72" i="3" s="1"/>
  <c r="U16" i="3"/>
  <c r="U72" i="3" s="1"/>
  <c r="AB16" i="3"/>
  <c r="AB72" i="3" s="1"/>
  <c r="AA16" i="3"/>
  <c r="AA72" i="3" s="1"/>
  <c r="W16" i="3"/>
  <c r="W72" i="3" s="1"/>
  <c r="Z16" i="3"/>
  <c r="Z72" i="3" s="1"/>
  <c r="P16" i="3"/>
  <c r="P72" i="3" s="1"/>
  <c r="Q16" i="3"/>
  <c r="Q72" i="3" s="1"/>
  <c r="X73" i="3" l="1"/>
  <c r="X26" i="3"/>
  <c r="X32" i="3" s="1"/>
  <c r="Y73" i="3"/>
  <c r="Y26" i="3"/>
  <c r="Y32" i="3" s="1"/>
  <c r="S73" i="3"/>
  <c r="S26" i="3"/>
  <c r="S32" i="3" s="1"/>
  <c r="O73" i="3"/>
  <c r="O26" i="3"/>
  <c r="O32" i="3" s="1"/>
  <c r="U18" i="3"/>
  <c r="R18" i="3"/>
  <c r="Q18" i="3"/>
  <c r="Q73" i="3" s="1"/>
  <c r="W18" i="3"/>
  <c r="T18" i="3"/>
  <c r="AA18" i="3"/>
  <c r="Z18" i="3"/>
  <c r="V18" i="3"/>
  <c r="N18" i="3"/>
  <c r="P18" i="3"/>
  <c r="AB18" i="3"/>
  <c r="O85" i="3"/>
  <c r="S85" i="3"/>
  <c r="Y23" i="3"/>
  <c r="O23" i="3"/>
  <c r="Z21" i="3"/>
  <c r="Z22" i="3" s="1"/>
  <c r="Z85" i="3" s="1"/>
  <c r="AA21" i="3"/>
  <c r="AA22" i="3" s="1"/>
  <c r="AA85" i="3" s="1"/>
  <c r="AB21" i="3"/>
  <c r="U21" i="3"/>
  <c r="U22" i="3" s="1"/>
  <c r="T21" i="3"/>
  <c r="T22" i="3" s="1"/>
  <c r="W21" i="3"/>
  <c r="V21" i="3"/>
  <c r="V22" i="3" s="1"/>
  <c r="P21" i="3"/>
  <c r="P78" i="3" s="1"/>
  <c r="N21" i="3"/>
  <c r="N78" i="3" s="1"/>
  <c r="X23" i="3"/>
  <c r="S23" i="3"/>
  <c r="S25" i="3" l="1"/>
  <c r="S31" i="3" s="1"/>
  <c r="Y83" i="3"/>
  <c r="Y88" i="3" s="1"/>
  <c r="X25" i="3"/>
  <c r="X31" i="3" s="1"/>
  <c r="X83" i="3"/>
  <c r="X88" i="3" s="1"/>
  <c r="Z26" i="3"/>
  <c r="Z32" i="3" s="1"/>
  <c r="O83" i="3"/>
  <c r="O88" i="3" s="1"/>
  <c r="O25" i="3"/>
  <c r="O31" i="3" s="1"/>
  <c r="AA26" i="3"/>
  <c r="AA32" i="3" s="1"/>
  <c r="Y25" i="3"/>
  <c r="Y31" i="3" s="1"/>
  <c r="N26" i="3"/>
  <c r="N32" i="3" s="1"/>
  <c r="AB73" i="3"/>
  <c r="AA73" i="3"/>
  <c r="Z73" i="3"/>
  <c r="W73" i="3"/>
  <c r="V73" i="3"/>
  <c r="V26" i="3"/>
  <c r="V32" i="3" s="1"/>
  <c r="T73" i="3"/>
  <c r="T26" i="3"/>
  <c r="T32" i="3" s="1"/>
  <c r="U73" i="3"/>
  <c r="U26" i="3"/>
  <c r="U32" i="3" s="1"/>
  <c r="P73" i="3"/>
  <c r="P26" i="3"/>
  <c r="P32" i="3" s="1"/>
  <c r="R73" i="3"/>
  <c r="N73" i="3"/>
  <c r="V85" i="3"/>
  <c r="U85" i="3"/>
  <c r="P85" i="3"/>
  <c r="T85" i="3"/>
  <c r="S83" i="3"/>
  <c r="O29" i="3"/>
  <c r="N85" i="3"/>
  <c r="O30" i="3"/>
  <c r="Y29" i="3"/>
  <c r="Y30" i="3"/>
  <c r="Z23" i="3"/>
  <c r="P23" i="3"/>
  <c r="AA23" i="3"/>
  <c r="T23" i="3"/>
  <c r="U23" i="3"/>
  <c r="V23" i="3"/>
  <c r="S30" i="3"/>
  <c r="S29" i="3"/>
  <c r="X30" i="3"/>
  <c r="X29" i="3"/>
  <c r="W22" i="3"/>
  <c r="W26" i="3" s="1"/>
  <c r="W32" i="3" s="1"/>
  <c r="AB22" i="3"/>
  <c r="AB26" i="3" s="1"/>
  <c r="AB32" i="3" s="1"/>
  <c r="N23" i="3"/>
  <c r="N25" i="3" l="1"/>
  <c r="N31" i="3" s="1"/>
  <c r="AA83" i="3"/>
  <c r="AA88" i="3" s="1"/>
  <c r="U25" i="3"/>
  <c r="U31" i="3" s="1"/>
  <c r="Z83" i="3"/>
  <c r="Z88" i="3" s="1"/>
  <c r="W85" i="3"/>
  <c r="AB85" i="3"/>
  <c r="P83" i="3"/>
  <c r="P88" i="3" s="1"/>
  <c r="P25" i="3"/>
  <c r="P31" i="3" s="1"/>
  <c r="AA25" i="3"/>
  <c r="AA31" i="3" s="1"/>
  <c r="T83" i="3"/>
  <c r="T88" i="3" s="1"/>
  <c r="T25" i="3"/>
  <c r="T31" i="3" s="1"/>
  <c r="Z25" i="3"/>
  <c r="Z31" i="3" s="1"/>
  <c r="V83" i="3"/>
  <c r="V88" i="3" s="1"/>
  <c r="V25" i="3"/>
  <c r="V31" i="3" s="1"/>
  <c r="N83" i="3"/>
  <c r="N88" i="3" s="1"/>
  <c r="N30" i="3"/>
  <c r="Z29" i="3"/>
  <c r="U30" i="3"/>
  <c r="U83" i="3"/>
  <c r="U88" i="3" s="1"/>
  <c r="S88" i="3"/>
  <c r="V30" i="3"/>
  <c r="U29" i="3"/>
  <c r="T30" i="3"/>
  <c r="AA29" i="3"/>
  <c r="P29" i="3"/>
  <c r="Z30" i="3"/>
  <c r="P30" i="3"/>
  <c r="T29" i="3"/>
  <c r="AA30" i="3"/>
  <c r="V29" i="3"/>
  <c r="W23" i="3"/>
  <c r="AB23" i="3"/>
  <c r="N29" i="3"/>
  <c r="AB83" i="3" l="1"/>
  <c r="AB25" i="3"/>
  <c r="AB31" i="3" s="1"/>
  <c r="AB88" i="3"/>
  <c r="W25" i="3"/>
  <c r="W31" i="3" s="1"/>
  <c r="AB29" i="3"/>
  <c r="W83" i="3"/>
  <c r="W88" i="3"/>
  <c r="W30" i="3"/>
  <c r="AB30" i="3"/>
  <c r="W29" i="3"/>
  <c r="C101" i="3" l="1"/>
  <c r="C5" i="3" l="1"/>
  <c r="M24" i="3" l="1"/>
  <c r="M26" i="3" l="1"/>
  <c r="M32" i="3" s="1"/>
  <c r="M25" i="3"/>
  <c r="M31" i="3" s="1"/>
  <c r="L73" i="3"/>
  <c r="M73" i="3"/>
  <c r="R19" i="3" l="1"/>
  <c r="Q84" i="3" l="1"/>
  <c r="R84" i="3" s="1"/>
  <c r="R21" i="3"/>
  <c r="Q21" i="3"/>
  <c r="Q22" i="3" s="1"/>
  <c r="Q23" i="3" l="1"/>
  <c r="Q30" i="3" s="1"/>
  <c r="Q29" i="3" l="1"/>
  <c r="R29" i="3" s="1"/>
  <c r="R30" i="3"/>
  <c r="Q25" i="3"/>
  <c r="Q31" i="3" s="1"/>
  <c r="Q83" i="3"/>
  <c r="R22" i="3"/>
  <c r="Q85" i="3"/>
  <c r="R85" i="3" s="1"/>
  <c r="Q26" i="3"/>
  <c r="Q32" i="3" s="1"/>
  <c r="R26" i="3" l="1"/>
  <c r="R32" i="3" s="1"/>
  <c r="R23" i="3"/>
  <c r="R83" i="3"/>
  <c r="Q88" i="3"/>
  <c r="C102" i="3" l="1"/>
  <c r="R88" i="3"/>
  <c r="R25" i="3"/>
  <c r="R31" i="3" s="1"/>
</calcChain>
</file>

<file path=xl/comments1.xml><?xml version="1.0" encoding="utf-8"?>
<comments xmlns="http://schemas.openxmlformats.org/spreadsheetml/2006/main">
  <authors>
    <author>Owner</author>
    <author>Admin</author>
    <author>Eric Li</author>
  </authors>
  <commentList>
    <comment ref="J9" authorId="0" shapeId="0">
      <text>
        <r>
          <rPr>
            <sz val="9"/>
            <color indexed="81"/>
            <rFont val="Tahoma"/>
            <family val="2"/>
          </rPr>
          <t xml:space="preserve">Management guided  Streaming Revenue to $1,474M (which excludes DVD revenue) on 4/15/2015
</t>
        </r>
      </text>
    </comment>
    <comment ref="K9" authorId="0" shapeId="0">
      <text>
        <r>
          <rPr>
            <sz val="9"/>
            <color indexed="81"/>
            <rFont val="Tahoma"/>
            <family val="2"/>
          </rPr>
          <t>Management guided  Streaming Revenue to $1,593M (which excludes DVD revenue) on 7/15/2015</t>
        </r>
        <r>
          <rPr>
            <b/>
            <sz val="9"/>
            <color indexed="81"/>
            <rFont val="Tahoma"/>
            <family val="2"/>
          </rPr>
          <t xml:space="preserve">
</t>
        </r>
        <r>
          <rPr>
            <sz val="9"/>
            <color indexed="81"/>
            <rFont val="Tahoma"/>
            <family val="2"/>
          </rPr>
          <t xml:space="preserve">
</t>
        </r>
      </text>
    </comment>
    <comment ref="L9" authorId="0" shapeId="0">
      <text>
        <r>
          <rPr>
            <sz val="9"/>
            <color indexed="81"/>
            <rFont val="Tahoma"/>
            <family val="2"/>
          </rPr>
          <t>Management guided  Streaming Revenue to $1,667M (which excludes DVD revenue) on October 14, 2015.</t>
        </r>
      </text>
    </comment>
    <comment ref="N9" authorId="1" shapeId="0">
      <text>
        <r>
          <rPr>
            <sz val="9"/>
            <color indexed="81"/>
            <rFont val="Tahoma"/>
            <family val="2"/>
          </rPr>
          <t>Management guided  Streaming Revenue to $1,813M (which excludes DVD revenue) on 1/16/2016.</t>
        </r>
      </text>
    </comment>
    <comment ref="Q9" authorId="1" shapeId="0">
      <text>
        <r>
          <rPr>
            <sz val="9"/>
            <color indexed="81"/>
            <rFont val="Tahoma"/>
            <family val="2"/>
          </rPr>
          <t>Management guided  Streaming Revenue to $2.344B (which excludes DVD revenue) on 10/17/2016.</t>
        </r>
      </text>
    </comment>
    <comment ref="J16" authorId="0" shapeId="0">
      <text>
        <r>
          <rPr>
            <sz val="9"/>
            <color indexed="81"/>
            <rFont val="Tahoma"/>
            <family val="2"/>
          </rPr>
          <t xml:space="preserve">Management guided  Operating Income to $59M on 4/15/2015. 
</t>
        </r>
      </text>
    </comment>
    <comment ref="L16" authorId="0" shapeId="0">
      <text>
        <r>
          <rPr>
            <sz val="9"/>
            <color indexed="81"/>
            <rFont val="Tahoma"/>
            <family val="2"/>
          </rPr>
          <t xml:space="preserve">Management guided  Operating Income to $49M on October 14, 2015. </t>
        </r>
      </text>
    </comment>
    <comment ref="N16" authorId="1" shapeId="0">
      <text>
        <r>
          <rPr>
            <sz val="9"/>
            <color indexed="81"/>
            <rFont val="Tahoma"/>
            <family val="2"/>
          </rPr>
          <t xml:space="preserve">Management guided  Operating Income to $50M on 3/1/2016. </t>
        </r>
      </text>
    </comment>
    <comment ref="O16" authorId="1" shapeId="0">
      <text>
        <r>
          <rPr>
            <sz val="9"/>
            <color indexed="81"/>
            <rFont val="Tahoma"/>
            <family val="2"/>
          </rPr>
          <t xml:space="preserve">Management guided  Operating Income to $47M on 4/18/2016. </t>
        </r>
      </text>
    </comment>
    <comment ref="Q16" authorId="1" shapeId="0">
      <text>
        <r>
          <rPr>
            <sz val="9"/>
            <color indexed="81"/>
            <rFont val="Tahoma"/>
            <family val="2"/>
          </rPr>
          <t xml:space="preserve">Management guided  Operating Income to $125M on 10/17/2016. </t>
        </r>
      </text>
    </comment>
    <comment ref="N23" authorId="1" shapeId="0">
      <text>
        <r>
          <rPr>
            <sz val="9"/>
            <color indexed="81"/>
            <rFont val="Tahoma"/>
            <family val="2"/>
          </rPr>
          <t>Management guided net income to $11M on 3/1/2016.</t>
        </r>
      </text>
    </comment>
    <comment ref="O23" authorId="1" shapeId="0">
      <text>
        <r>
          <rPr>
            <sz val="9"/>
            <color indexed="81"/>
            <rFont val="Tahoma"/>
            <family val="2"/>
          </rPr>
          <t>Management guided net income to $9M on 4/18/2016.</t>
        </r>
      </text>
    </comment>
    <comment ref="Q23" authorId="1" shapeId="0">
      <text>
        <r>
          <rPr>
            <sz val="9"/>
            <color indexed="81"/>
            <rFont val="Tahoma"/>
            <family val="2"/>
          </rPr>
          <t>Management guided net income to $56M on 10/17/2016.</t>
        </r>
      </text>
    </comment>
    <comment ref="J25" authorId="0" shapeId="0">
      <text>
        <r>
          <rPr>
            <sz val="9"/>
            <color indexed="81"/>
            <rFont val="Tahoma"/>
            <family val="2"/>
          </rPr>
          <t>Management guided  Net Income to $16M on 4/15/2015.</t>
        </r>
        <r>
          <rPr>
            <b/>
            <sz val="9"/>
            <color indexed="81"/>
            <rFont val="Tahoma"/>
            <family val="2"/>
          </rPr>
          <t xml:space="preserve"> </t>
        </r>
      </text>
    </comment>
    <comment ref="L25" authorId="0" shapeId="0">
      <text>
        <r>
          <rPr>
            <sz val="9"/>
            <color indexed="81"/>
            <rFont val="Tahoma"/>
            <family val="2"/>
          </rPr>
          <t>Management guided  Net Income to $10M on October 14, 2015.</t>
        </r>
      </text>
    </comment>
    <comment ref="J30" authorId="0" shapeId="0">
      <text>
        <r>
          <rPr>
            <sz val="9"/>
            <color indexed="81"/>
            <rFont val="Tahoma"/>
            <family val="2"/>
          </rPr>
          <t>Management guided  EPS to $0.26 on 4/15/2015.</t>
        </r>
        <r>
          <rPr>
            <b/>
            <sz val="9"/>
            <color indexed="81"/>
            <rFont val="Tahoma"/>
            <family val="2"/>
          </rPr>
          <t xml:space="preserve"> </t>
        </r>
      </text>
    </comment>
    <comment ref="N30" authorId="1" shapeId="0">
      <text>
        <r>
          <rPr>
            <sz val="9"/>
            <color indexed="81"/>
            <rFont val="Tahoma"/>
            <family val="2"/>
          </rPr>
          <t>Management guided EPS to $0.03 on 3/1/2016.</t>
        </r>
      </text>
    </comment>
    <comment ref="O30" authorId="1" shapeId="0">
      <text>
        <r>
          <rPr>
            <sz val="9"/>
            <color indexed="81"/>
            <rFont val="Tahoma"/>
            <family val="2"/>
          </rPr>
          <t>Management guided EPS to $0.02 on 4/18/2016.</t>
        </r>
      </text>
    </comment>
    <comment ref="Q30" authorId="1" shapeId="0">
      <text>
        <r>
          <rPr>
            <sz val="9"/>
            <color indexed="81"/>
            <rFont val="Tahoma"/>
            <family val="2"/>
          </rPr>
          <t>Management guided EPS to $0.13 on 10/17/2016.</t>
        </r>
      </text>
    </comment>
    <comment ref="N38" authorId="1" shapeId="0">
      <text>
        <r>
          <rPr>
            <sz val="9"/>
            <color indexed="81"/>
            <rFont val="Tahoma"/>
            <family val="2"/>
          </rPr>
          <t>Management guided U.S. paid members to 45.4M on 1/16/2016.</t>
        </r>
      </text>
    </comment>
    <comment ref="O38" authorId="1" shapeId="0">
      <text>
        <r>
          <rPr>
            <sz val="9"/>
            <color indexed="81"/>
            <rFont val="Tahoma"/>
            <family val="2"/>
          </rPr>
          <t>Management guided U.S. paid members to 46.41M on 4/18/2016.</t>
        </r>
      </text>
    </comment>
    <comment ref="Q38" authorId="1" shapeId="0">
      <text>
        <r>
          <rPr>
            <sz val="9"/>
            <color indexed="81"/>
            <rFont val="Tahoma"/>
            <family val="2"/>
          </rPr>
          <t>Management guided U.S. paid members to 48.947M on 10/17/2016.</t>
        </r>
      </text>
    </comment>
    <comment ref="Q40" authorId="2" shapeId="0">
      <text>
        <r>
          <rPr>
            <sz val="9"/>
            <color indexed="81"/>
            <rFont val="Tahoma"/>
            <family val="2"/>
          </rPr>
          <t>Management guided U.S. paid members to 47.63M on 10/17/2016.</t>
        </r>
      </text>
    </comment>
    <comment ref="N41" authorId="1" shapeId="0">
      <text>
        <r>
          <rPr>
            <sz val="9"/>
            <color indexed="81"/>
            <rFont val="Tahoma"/>
            <family val="2"/>
          </rPr>
          <t>Management guided U.S. streaming revenue to $1.16M on 1/16/2016.</t>
        </r>
      </text>
    </comment>
    <comment ref="O41" authorId="1" shapeId="0">
      <text>
        <r>
          <rPr>
            <sz val="9"/>
            <color indexed="81"/>
            <rFont val="Tahoma"/>
            <family val="2"/>
          </rPr>
          <t>Management guided U.S. streaming revenue to $1.210M on 4/18/2016.</t>
        </r>
      </text>
    </comment>
    <comment ref="Q41" authorId="1" shapeId="0">
      <text>
        <r>
          <rPr>
            <sz val="9"/>
            <color indexed="81"/>
            <rFont val="Tahoma"/>
            <family val="2"/>
          </rPr>
          <t>Management guided U.S. streaming revenue to $1.397B on 10/17/2016.</t>
        </r>
      </text>
    </comment>
    <comment ref="N47" authorId="1" shapeId="0">
      <text>
        <r>
          <rPr>
            <sz val="9"/>
            <color indexed="81"/>
            <rFont val="Tahoma"/>
            <family val="2"/>
          </rPr>
          <t>Management guided Domestic streaming contribution margin to 35.9% on 1/16/2016.</t>
        </r>
      </text>
    </comment>
    <comment ref="O47" authorId="1" shapeId="0">
      <text>
        <r>
          <rPr>
            <sz val="9"/>
            <color indexed="81"/>
            <rFont val="Tahoma"/>
            <family val="2"/>
          </rPr>
          <t>Management guided Domestic streaming contribution margin to 33.3% on 4/18/2016.</t>
        </r>
      </text>
    </comment>
    <comment ref="Q47" authorId="1" shapeId="0">
      <text>
        <r>
          <rPr>
            <sz val="9"/>
            <color indexed="81"/>
            <rFont val="Tahoma"/>
            <family val="2"/>
          </rPr>
          <t>Management guided Domestic streaming contribution margin to 36.9% on 10/17/2016.</t>
        </r>
      </text>
    </comment>
    <comment ref="N49" authorId="1" shapeId="0">
      <text>
        <r>
          <rPr>
            <sz val="9"/>
            <color indexed="81"/>
            <rFont val="Tahoma"/>
            <family val="2"/>
          </rPr>
          <t>Management guided International paid members to 31.79M on 1/16/2016.</t>
        </r>
      </text>
    </comment>
    <comment ref="O49" authorId="1" shapeId="0">
      <text>
        <r>
          <rPr>
            <sz val="9"/>
            <color indexed="81"/>
            <rFont val="Tahoma"/>
            <family val="2"/>
          </rPr>
          <t>Management guided International paid members to 34.29M on 4/28/2016.</t>
        </r>
      </text>
    </comment>
    <comment ref="Q49" authorId="1" shapeId="0">
      <text>
        <r>
          <rPr>
            <sz val="9"/>
            <color indexed="81"/>
            <rFont val="Tahoma"/>
            <family val="2"/>
          </rPr>
          <t>Management guided International paid members to 42.996M on 10/17/2016.</t>
        </r>
      </text>
    </comment>
    <comment ref="Q51" authorId="2" shapeId="0">
      <text>
        <r>
          <rPr>
            <b/>
            <sz val="9"/>
            <color indexed="81"/>
            <rFont val="Tahoma"/>
            <family val="2"/>
          </rPr>
          <t>Eric Li:</t>
        </r>
        <r>
          <rPr>
            <sz val="9"/>
            <color indexed="81"/>
            <rFont val="Tahoma"/>
            <family val="2"/>
          </rPr>
          <t xml:space="preserve">
Management guided International paid members to 40.15M on 10/17/2016.</t>
        </r>
      </text>
    </comment>
    <comment ref="N52" authorId="1" shapeId="0">
      <text>
        <r>
          <rPr>
            <sz val="9"/>
            <color indexed="81"/>
            <rFont val="Tahoma"/>
            <family val="2"/>
          </rPr>
          <t>Management guided International streaming revenue to $653M on 1/16/2016.</t>
        </r>
      </text>
    </comment>
    <comment ref="O52" authorId="1" shapeId="0">
      <text>
        <r>
          <rPr>
            <sz val="9"/>
            <color indexed="81"/>
            <rFont val="Tahoma"/>
            <family val="2"/>
          </rPr>
          <t>Management guided International streaming revenue to $754M on 4/18/2016.</t>
        </r>
      </text>
    </comment>
    <comment ref="Q52" authorId="1" shapeId="0">
      <text>
        <r>
          <rPr>
            <sz val="9"/>
            <color indexed="81"/>
            <rFont val="Tahoma"/>
            <family val="2"/>
          </rPr>
          <t>Management guided International streaming revenue to $947M on 10/17/2016.</t>
        </r>
      </text>
    </comment>
    <comment ref="N58" authorId="1" shapeId="0">
      <text>
        <r>
          <rPr>
            <sz val="9"/>
            <color indexed="81"/>
            <rFont val="Tahoma"/>
            <family val="2"/>
          </rPr>
          <t>Management guided International streaming contribution margin to -17.5% on 1/16/2016.</t>
        </r>
      </text>
    </comment>
    <comment ref="O58" authorId="1" shapeId="0">
      <text>
        <r>
          <rPr>
            <sz val="9"/>
            <color indexed="81"/>
            <rFont val="Tahoma"/>
            <family val="2"/>
          </rPr>
          <t>Management guided International streaming contribution margin to -10.6% on 4/18/2016.</t>
        </r>
      </text>
    </comment>
    <comment ref="Q58" authorId="1" shapeId="0">
      <text>
        <r>
          <rPr>
            <sz val="9"/>
            <color indexed="81"/>
            <rFont val="Tahoma"/>
            <family val="2"/>
          </rPr>
          <t>Management guided Domestic streaming contribution margin to 36.9% on 10/17/2016.</t>
        </r>
      </text>
    </comment>
    <comment ref="Q72" authorId="1" shapeId="0">
      <text>
        <r>
          <rPr>
            <sz val="9"/>
            <color indexed="81"/>
            <rFont val="Tahoma"/>
            <family val="2"/>
          </rPr>
          <t>Management guided operating margin to 5.1% on 10/17/2016.</t>
        </r>
      </text>
    </comment>
  </commentList>
</comments>
</file>

<file path=xl/sharedStrings.xml><?xml version="1.0" encoding="utf-8"?>
<sst xmlns="http://schemas.openxmlformats.org/spreadsheetml/2006/main" count="200" uniqueCount="136">
  <si>
    <t>(Dollars in millions, except per share data)</t>
  </si>
  <si>
    <t>Multiple Valuation</t>
  </si>
  <si>
    <t>Sept-14</t>
  </si>
  <si>
    <t>June-14</t>
  </si>
  <si>
    <t>Mar-14</t>
  </si>
  <si>
    <t>Dec-14</t>
  </si>
  <si>
    <t>Mar-15</t>
  </si>
  <si>
    <t>June-15</t>
  </si>
  <si>
    <t>Sept-15</t>
  </si>
  <si>
    <t>Dec-16</t>
  </si>
  <si>
    <t>Dec-15</t>
  </si>
  <si>
    <t>Mar-16</t>
  </si>
  <si>
    <t>June-16</t>
  </si>
  <si>
    <t>Sept-16</t>
  </si>
  <si>
    <t>Mar-17</t>
  </si>
  <si>
    <t>June-17</t>
  </si>
  <si>
    <t>Sept-17</t>
  </si>
  <si>
    <t>Dec-17</t>
  </si>
  <si>
    <t>Mar-18</t>
  </si>
  <si>
    <t>June-18</t>
  </si>
  <si>
    <t>Sept-18</t>
  </si>
  <si>
    <t>Dec-18</t>
  </si>
  <si>
    <t xml:space="preserve">Segment Data &amp; Income Statement Ratios </t>
  </si>
  <si>
    <t>1Q14</t>
  </si>
  <si>
    <t>2Q14</t>
  </si>
  <si>
    <t>3Q14</t>
  </si>
  <si>
    <t>4Q14</t>
  </si>
  <si>
    <t>1Q15</t>
  </si>
  <si>
    <t>Total Operating Expenses</t>
  </si>
  <si>
    <t>Diluted EPS (GAAP)</t>
  </si>
  <si>
    <t>Net income (GAAP)</t>
  </si>
  <si>
    <t>4Q16E</t>
  </si>
  <si>
    <t>2016E</t>
  </si>
  <si>
    <t>1Q17E</t>
  </si>
  <si>
    <t>2Q17E</t>
  </si>
  <si>
    <t>3Q17E</t>
  </si>
  <si>
    <t>4Q17E</t>
  </si>
  <si>
    <t>2017E</t>
  </si>
  <si>
    <t>1Q18E</t>
  </si>
  <si>
    <t>2Q18E</t>
  </si>
  <si>
    <t>3Q18E</t>
  </si>
  <si>
    <t>4Q18E</t>
  </si>
  <si>
    <t>2018E</t>
  </si>
  <si>
    <t>Other income/(expense)</t>
  </si>
  <si>
    <t>Other income/(expense) to revenue</t>
  </si>
  <si>
    <t>Income statement ratios</t>
  </si>
  <si>
    <t>Effective income tax rate</t>
  </si>
  <si>
    <t>( in millions, except as noted)</t>
  </si>
  <si>
    <t>Netflix Income Statement</t>
  </si>
  <si>
    <t>Revenues</t>
  </si>
  <si>
    <t>Cost of revenues</t>
  </si>
  <si>
    <t>Gross profit margin</t>
  </si>
  <si>
    <t>Marketing</t>
  </si>
  <si>
    <t>Technology and development</t>
  </si>
  <si>
    <t>General and administrative</t>
  </si>
  <si>
    <t>Interest (expense)</t>
  </si>
  <si>
    <t xml:space="preserve">Income before income taxes </t>
  </si>
  <si>
    <t>Provisions/(benefit) for income tax</t>
  </si>
  <si>
    <t xml:space="preserve">Basic shares outstanding </t>
  </si>
  <si>
    <t xml:space="preserve">Diluted shares outstanding </t>
  </si>
  <si>
    <t>Basic EPS (GAAP)</t>
  </si>
  <si>
    <t>Domestic Streaming Details</t>
  </si>
  <si>
    <t>Average paid members per period</t>
  </si>
  <si>
    <t>Paid member growth (QoQ)</t>
  </si>
  <si>
    <t>Domestic streaming revenue per average paid member</t>
  </si>
  <si>
    <t>Contribution profit margin (%)</t>
  </si>
  <si>
    <t>Domestic streaming revenue ($M)</t>
  </si>
  <si>
    <t>Marketing cost of domestic revenue ($M)</t>
  </si>
  <si>
    <t>Marketing per average paid member ($M)</t>
  </si>
  <si>
    <t>International Streaming Details</t>
  </si>
  <si>
    <t>International streaming revenue ($M)</t>
  </si>
  <si>
    <t>International streaming revenue per average paid member</t>
  </si>
  <si>
    <t>International Streaming gross margin (%)</t>
  </si>
  <si>
    <t>Marketing cost of International revenue ($M)</t>
  </si>
  <si>
    <t>Domestic DVD Details</t>
  </si>
  <si>
    <t>Total paid Domestic members at end of period</t>
  </si>
  <si>
    <t>Total paid International members at end of period</t>
  </si>
  <si>
    <t>Total paid DVD members at end of period</t>
  </si>
  <si>
    <t>DVD revenue ($M)</t>
  </si>
  <si>
    <t>DVD revenue per average paid member</t>
  </si>
  <si>
    <t xml:space="preserve">Cost of DVD revenue </t>
  </si>
  <si>
    <t xml:space="preserve">Cost of International revenue </t>
  </si>
  <si>
    <t>DVD gross margin (%)</t>
  </si>
  <si>
    <t>Marketing cost of DVD revenue ($M)</t>
  </si>
  <si>
    <t>Total gross margin percentage</t>
  </si>
  <si>
    <t>Technology and development expense to revenue</t>
  </si>
  <si>
    <t>General and administrative expense to revenue</t>
  </si>
  <si>
    <t>Stock-based compensation expense</t>
  </si>
  <si>
    <t>2014</t>
  </si>
  <si>
    <t xml:space="preserve">Cost of domestic revenue </t>
  </si>
  <si>
    <t>Domestic Streaming gross margin (%)</t>
  </si>
  <si>
    <t>Operating Income (GAAP)</t>
  </si>
  <si>
    <t>Operating Income (Non-GAAP)</t>
  </si>
  <si>
    <t>Total operating margin percentage (Non-GAAP)</t>
  </si>
  <si>
    <t>Stock based comp to revenue</t>
  </si>
  <si>
    <t>2Q15</t>
  </si>
  <si>
    <t>3Q15</t>
  </si>
  <si>
    <t>P/E used for valuation</t>
  </si>
  <si>
    <t>Implied P/E 12-month target value</t>
  </si>
  <si>
    <t xml:space="preserve">Plus net cash/(debt) per share </t>
  </si>
  <si>
    <t>Non-GAAP Adjustments</t>
  </si>
  <si>
    <t>Non-GAAP Adjusted EBITDA</t>
  </si>
  <si>
    <t>GAAP Net Income</t>
  </si>
  <si>
    <t>Interest and other (income) expense</t>
  </si>
  <si>
    <t>Provision (benefit) for income taxes</t>
  </si>
  <si>
    <t>Depreciation and Amortization</t>
  </si>
  <si>
    <t>Implied Price to NTM EBITDA</t>
  </si>
  <si>
    <t>4Q15</t>
  </si>
  <si>
    <t>2015</t>
  </si>
  <si>
    <t>2017 P/E ratio, 3-month ave (a)</t>
  </si>
  <si>
    <t xml:space="preserve">2017 P/E  ratio, 3-month high </t>
  </si>
  <si>
    <t>2017 P/E  ratio, 3-month low</t>
  </si>
  <si>
    <t xml:space="preserve">(a) Multiples are calculated excluding the value of net cash and are based on the 3-month average daily share price compared to the consensus EPS estimates for the 2017.
</t>
  </si>
  <si>
    <t>By obtaining this model you are deemed to have read and agreed to our Terms of Use. Visit our website for details: https://www.gutenbergresearch.com/terms-of-use.html</t>
  </si>
  <si>
    <t>GR</t>
  </si>
  <si>
    <t>Net income (Non-GAAP, including adj for stock-based comp)</t>
  </si>
  <si>
    <t>Diluted EPS (Non-GAAP, including stock-based comp)</t>
  </si>
  <si>
    <t>Stock based comp expense</t>
  </si>
  <si>
    <t>Release of tax accrual</t>
  </si>
  <si>
    <t>Release of tax accural adjustment (Non-GAAP)</t>
  </si>
  <si>
    <r>
      <t xml:space="preserve">(f) </t>
    </r>
    <r>
      <rPr>
        <b/>
        <sz val="11"/>
        <color theme="1"/>
        <rFont val="Calibri"/>
        <family val="2"/>
        <scheme val="minor"/>
      </rPr>
      <t>NON-GAAP Adjustment explanation</t>
    </r>
    <r>
      <rPr>
        <sz val="11"/>
        <color theme="1"/>
        <rFont val="Calibri"/>
        <family val="2"/>
        <scheme val="minor"/>
      </rPr>
      <t>: Typically Netflix reports non-GAAP EBITDA, but does not report non-GAAP Net Income and EPS, except to show a constant currency view. The company has reported non-GAAP Net Income and EPS the past few quarters to reflect the tax accrual release adjustment, but management did not adjust Net Income for stock based comp in their non-GAAP calculation despite the fact that they did adjust their non-GAAP EBITDA calculations for stock based comp. For transparency in the calculation, and for comparability to other tech companies, we have shown the non-GAAP EBITDA, Net Income, and EPS calculation consistent with management's calculation, and left a stock based-comp adjustment row in the operating income section for a more traditional view of non-GAAP Operating Margin, Net Income, and EPS.</t>
    </r>
  </si>
  <si>
    <t>Stock Based Comp (Non-GAAP Adj, see comment f in row 200)</t>
  </si>
  <si>
    <t>Net income (Non-GAAP as reported, tax accrual adjustment only)</t>
  </si>
  <si>
    <t>Diluted EPS (Non-GAAP, as reported, tax accrual adjustment only)</t>
  </si>
  <si>
    <t>Change in basic shares  (excluding repurchases)</t>
  </si>
  <si>
    <t>Change in diluted shares  (excluding repurchases)</t>
  </si>
  <si>
    <t>Share count analysis</t>
  </si>
  <si>
    <t>1Q16</t>
  </si>
  <si>
    <t>2Q16</t>
  </si>
  <si>
    <t>3Q16</t>
  </si>
  <si>
    <t>Purple cells = Company guidance (updated 10/17/2016)</t>
  </si>
  <si>
    <t>Total operating margin percentage (GAAP)</t>
  </si>
  <si>
    <t>Non-GAAP Adjusted EBITDA Reconciliation</t>
  </si>
  <si>
    <t xml:space="preserve">Average interest expense </t>
  </si>
  <si>
    <t>Blue cells = Contributor estimates</t>
  </si>
  <si>
    <r>
      <t xml:space="preserve">NOTE: </t>
    </r>
    <r>
      <rPr>
        <sz val="11"/>
        <color theme="1"/>
        <rFont val="Calibri"/>
        <family val="2"/>
        <scheme val="minor"/>
      </rPr>
      <t xml:space="preserve">There are many different multiples which could be applied to various earnings metrics, each of which result in different valuations. This calculation is for demonstration only. Please refer to our disclosures for important details.  Our DCF and Multiple valuation metrics are kept constant at certain points during each quarter to isolate the impact from changes in earnings estimates.   </t>
    </r>
    <r>
      <rPr>
        <b/>
        <sz val="11"/>
        <color theme="3"/>
        <rFont val="Calibri"/>
        <family val="2"/>
        <scheme val="minor"/>
      </rPr>
      <t>The multiple  in this section was last updated on 11/25/2016.</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</si>
</sst>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00_);_(* \(#,##0.000\);_(* &quot;-&quot;??_);_(@_)"/>
    <numFmt numFmtId="169" formatCode="0\x"/>
    <numFmt numFmtId="170" formatCode="0.0_)\%;\(0.0\)\%;0.0_)\%;@_)_%"/>
    <numFmt numFmtId="171" formatCode="#,##0.0_)_%;\(#,##0.0\)_%;0.0_)_%;@_)_%"/>
    <numFmt numFmtId="172" formatCode="#,##0.0_);\(#,##0.0\);#,##0.0_);@_)"/>
    <numFmt numFmtId="173" formatCode="&quot;$&quot;_(#,##0.00_);&quot;$&quot;\(#,##0.00\);&quot;$&quot;_(0.00_);@_)"/>
    <numFmt numFmtId="174" formatCode="#,##0.00_);\(#,##0.00\);0.00_);@_)"/>
    <numFmt numFmtId="175" formatCode="\€_(#,##0.00_);\€\(#,##0.00\);\€_(0.00_);@_)"/>
    <numFmt numFmtId="176" formatCode="#,##0_)\x;\(#,##0\)\x;0_)\x;@_)_x"/>
    <numFmt numFmtId="177" formatCode="#,##0_)_x;\(#,##0\)_x;0_)_x;@_)_x"/>
    <numFmt numFmtId="178" formatCode="* #,##0.00_);\(#,##0.00\)"/>
    <numFmt numFmtId="179" formatCode="&quot;$&quot;#,##0;\-&quot;$&quot;#,##0"/>
    <numFmt numFmtId="180" formatCode="#,##0;\-#,##0;&quot;-&quot;"/>
    <numFmt numFmtId="181" formatCode="0.000000"/>
    <numFmt numFmtId="182" formatCode="_(* #,##0,,_);_(* \(#,##0,,\);_(* &quot;-&quot;_)"/>
    <numFmt numFmtId="183" formatCode="_(* #,##0_);[Red]_(* \(#,##0\);_(* &quot;&quot;&quot;&quot;&quot;&quot;&quot;&quot;\ \-\ &quot;&quot;&quot;&quot;&quot;&quot;&quot;&quot;_);_(@_)"/>
    <numFmt numFmtId="184" formatCode="&quot;£&quot;#,##0;[Red]\-&quot;£&quot;#,##0"/>
    <numFmt numFmtId="185" formatCode="_(* #,##0,_);[Red]_(* \(#,##0,\);_(* &quot;&quot;&quot;&quot;&quot;&quot;&quot;&quot;\ \-\ &quot;&quot;&quot;&quot;&quot;&quot;&quot;&quot;_);_(@_)"/>
    <numFmt numFmtId="186" formatCode="0.00_);[Red]\(0.00\)"/>
    <numFmt numFmtId="187" formatCode="0%;\(0%\);;"/>
    <numFmt numFmtId="188" formatCode="&quot;£&quot;#,##0.00;[Red]\-&quot;£&quot;#,##0.00"/>
    <numFmt numFmtId="189" formatCode="_(* #,##0.000_);_(* \(#,##0.000\);_(* &quot;-&quot;_);_(@_)"/>
    <numFmt numFmtId="190" formatCode="0%;\(0%\);&quot;-&quot;"/>
    <numFmt numFmtId="191" formatCode="_-&quot;£&quot;* #,##0_-;\-&quot;£&quot;* #,##0_-;_-&quot;£&quot;* &quot;-&quot;_-;_-@_-"/>
    <numFmt numFmtId="192" formatCode="_(&quot;$&quot;* #,##0,_);_(&quot;$&quot;* \(#,##0,\);_(&quot;$&quot;* &quot;-&quot;_);_(@_)"/>
    <numFmt numFmtId="193" formatCode="#,##0\ ;\(#,##0.0\)"/>
    <numFmt numFmtId="194" formatCode="0.0"/>
    <numFmt numFmtId="195" formatCode="#,##0.00;\-#,##0.00;&quot;-&quot;"/>
    <numFmt numFmtId="196" formatCode="_._.* \(#,##0\)_%;_._.* #,##0_)_%;_._.* 0_)_%;_._.@_)_%"/>
    <numFmt numFmtId="197" formatCode="_._.&quot;$&quot;* \(#,##0\)_%;_._.&quot;$&quot;* #,##0_)_%;_._.&quot;$&quot;* 0_)_%;_._.@_)_%"/>
    <numFmt numFmtId="198" formatCode="&quot;$&quot;0.00_)"/>
    <numFmt numFmtId="199" formatCode="&quot;SFr.&quot;\ #,##0.00;&quot;SFr.&quot;\ \-#,##0.00"/>
    <numFmt numFmtId="200" formatCode="#,##0;\(#,##0\)"/>
    <numFmt numFmtId="201" formatCode="_([$€-2]* #,##0.00_);_([$€-2]* \(#,##0.00\);_([$€-2]* &quot;-&quot;??_)"/>
    <numFmt numFmtId="202" formatCode="_-* #,##0\ _D_M_-;\-* #,##0\ _D_M_-;_-* &quot;-&quot;\ _D_M_-;_-@_-"/>
    <numFmt numFmtId="203" formatCode="_-* #,##0.00\ _D_M_-;\-* #,##0.00\ _D_M_-;_-* &quot;-&quot;??\ _D_M_-;_-@_-"/>
    <numFmt numFmtId="204" formatCode="_-* #,##0\ &quot;DM&quot;_-;\-* #,##0\ &quot;DM&quot;_-;_-* &quot;-&quot;\ &quot;DM&quot;_-;_-@_-"/>
    <numFmt numFmtId="205" formatCode="_-* #,##0.00\ &quot;DM&quot;_-;\-* #,##0.00\ &quot;DM&quot;_-;_-* &quot;-&quot;??\ &quot;DM&quot;_-;_-@_-"/>
    <numFmt numFmtId="206" formatCode="#,##0.0_);\(#,##0.0\)"/>
    <numFmt numFmtId="207" formatCode="#,##0.0\ ;\(#,##0.0\)"/>
    <numFmt numFmtId="208" formatCode="0%;\(0%\)"/>
    <numFmt numFmtId="209" formatCode="&quot;SFr.&quot;#,##0;[Red]&quot;SFr.&quot;\-#,##0"/>
    <numFmt numFmtId="210" formatCode="#,##0.0000000000;\-#,##0.0000000000"/>
    <numFmt numFmtId="211" formatCode="#,##0.0;\-#,##0.0"/>
    <numFmt numFmtId="212" formatCode="#,##0.000;\-#,##0.000"/>
    <numFmt numFmtId="213" formatCode="#,##0.0000;\-#,##0.0000"/>
    <numFmt numFmtId="214" formatCode="#,##0.00000;\-#,##0.00000"/>
    <numFmt numFmtId="215" formatCode="#,##0.000000;\-#,##0.000000"/>
    <numFmt numFmtId="216" formatCode="#,##0.0000000;\-#,##0.0000000"/>
    <numFmt numFmtId="217" formatCode="#,##0.00000000;\-#,##0.00000000"/>
    <numFmt numFmtId="218" formatCode="#,##0.000000000;\-#,##0.000000000"/>
    <numFmt numFmtId="219" formatCode="#,##0___);\(#,##0.00\)"/>
    <numFmt numFmtId="220" formatCode="#,##0&quot;%&quot;"/>
    <numFmt numFmtId="221" formatCode="#,##0_);[Red]\(#,##0\);&quot;-&quot;"/>
    <numFmt numFmtId="222" formatCode="_-&quot;£&quot;* #,##0.00_-;\-&quot;£&quot;* #,##0.00_-;_-&quot;£&quot;* &quot;-&quot;??_-;_-@_-"/>
    <numFmt numFmtId="223" formatCode="*-"/>
    <numFmt numFmtId="224" formatCode="#,##0;[Red]\(#,##0\)"/>
    <numFmt numFmtId="225" formatCode="_-&quot;$&quot;* #,##0_-;\-&quot;$&quot;* #,##0_-;_-&quot;$&quot;* &quot;-&quot;_-;_-@_-"/>
    <numFmt numFmtId="226" formatCode="_-&quot;$&quot;* #,##0.00_-;\-&quot;$&quot;* #,##0.00_-;_-&quot;$&quot;* &quot;-&quot;??_-;_-@_-"/>
  </numFmts>
  <fonts count="69"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sz val="11"/>
      <color theme="3"/>
      <name val="Calibri"/>
      <family val="2"/>
      <scheme val="minor"/>
    </font>
    <font>
      <u/>
      <sz val="11"/>
      <color theme="1"/>
      <name val="Calibri"/>
      <family val="2"/>
      <scheme val="minor"/>
    </font>
    <font>
      <sz val="11"/>
      <color theme="0"/>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2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 fillId="7" borderId="0" applyNumberFormat="0" applyFont="0" applyAlignment="0" applyProtection="0"/>
    <xf numFmtId="176" fontId="9" fillId="0" borderId="0" applyFont="0" applyFill="0" applyBorder="0" applyAlignment="0" applyProtection="0"/>
    <xf numFmtId="177" fontId="9" fillId="0" borderId="0" applyFont="0" applyFill="0" applyBorder="0" applyProtection="0">
      <alignment horizontal="right"/>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4" fillId="0" borderId="15" applyNumberFormat="0" applyFill="0" applyAlignment="0" applyProtection="0"/>
    <xf numFmtId="0" fontId="25" fillId="0" borderId="16" applyNumberFormat="0" applyFill="0" applyProtection="0">
      <alignment horizontal="center"/>
    </xf>
    <xf numFmtId="0" fontId="25" fillId="0" borderId="0" applyNumberFormat="0" applyFill="0" applyBorder="0" applyProtection="0">
      <alignment horizontal="left"/>
    </xf>
    <xf numFmtId="0" fontId="26" fillId="0" borderId="0" applyNumberFormat="0" applyFill="0" applyBorder="0" applyProtection="0">
      <alignment horizontal="centerContinuous"/>
    </xf>
    <xf numFmtId="0" fontId="27" fillId="0" borderId="0" applyNumberFormat="0" applyFill="0" applyBorder="0" applyAlignment="0" applyProtection="0"/>
    <xf numFmtId="0" fontId="28" fillId="0" borderId="0"/>
    <xf numFmtId="178" fontId="29" fillId="0" borderId="0">
      <alignment horizontal="center"/>
    </xf>
    <xf numFmtId="37" fontId="30" fillId="0" borderId="0"/>
    <xf numFmtId="37" fontId="31" fillId="0" borderId="0"/>
    <xf numFmtId="179" fontId="32" fillId="0" borderId="2"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32" fillId="0" borderId="2"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32" fillId="0" borderId="2"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1" fillId="0" borderId="0" applyAlignment="0" applyProtection="0"/>
    <xf numFmtId="179" fontId="32" fillId="0" borderId="2" applyAlignment="0" applyProtection="0"/>
    <xf numFmtId="179" fontId="1" fillId="0" borderId="0" applyAlignment="0" applyProtection="0"/>
    <xf numFmtId="179" fontId="1" fillId="0" borderId="0" applyAlignment="0" applyProtection="0"/>
    <xf numFmtId="179" fontId="1" fillId="0" borderId="0" applyAlignment="0" applyProtection="0"/>
    <xf numFmtId="179" fontId="32" fillId="0" borderId="2" applyAlignment="0" applyProtection="0"/>
    <xf numFmtId="179" fontId="32" fillId="0" borderId="2" applyAlignment="0" applyProtection="0"/>
    <xf numFmtId="179" fontId="32" fillId="0" borderId="2" applyAlignment="0" applyProtection="0"/>
    <xf numFmtId="179" fontId="32" fillId="0" borderId="2" applyAlignment="0" applyProtection="0"/>
    <xf numFmtId="179" fontId="1" fillId="0" borderId="0" applyAlignment="0" applyProtection="0"/>
    <xf numFmtId="180" fontId="33" fillId="0" borderId="0" applyFill="0" applyBorder="0" applyAlignment="0"/>
    <xf numFmtId="181" fontId="9" fillId="0" borderId="0" applyFill="0" applyBorder="0" applyAlignment="0"/>
    <xf numFmtId="182" fontId="9" fillId="0" borderId="0" applyFill="0" applyBorder="0" applyAlignment="0"/>
    <xf numFmtId="164" fontId="9" fillId="0" borderId="0" applyFill="0" applyBorder="0" applyAlignment="0"/>
    <xf numFmtId="183" fontId="9" fillId="0" borderId="0" applyFill="0" applyBorder="0" applyAlignment="0"/>
    <xf numFmtId="184" fontId="9" fillId="0" borderId="0" applyFill="0" applyBorder="0" applyAlignment="0"/>
    <xf numFmtId="185" fontId="9" fillId="0" borderId="0" applyFill="0" applyBorder="0" applyAlignment="0"/>
    <xf numFmtId="186" fontId="9" fillId="0" borderId="0" applyFill="0" applyBorder="0" applyAlignment="0"/>
    <xf numFmtId="187" fontId="9" fillId="0" borderId="0" applyFill="0" applyBorder="0" applyAlignment="0"/>
    <xf numFmtId="188" fontId="9" fillId="0" borderId="0" applyFill="0" applyBorder="0" applyAlignment="0"/>
    <xf numFmtId="180" fontId="33"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82" fontId="9" fillId="0" borderId="0" applyFill="0" applyBorder="0" applyAlignment="0"/>
    <xf numFmtId="164" fontId="9" fillId="0" borderId="0" applyFill="0" applyBorder="0" applyAlignment="0"/>
    <xf numFmtId="0" fontId="34" fillId="0" borderId="0" applyFill="0" applyBorder="0" applyProtection="0">
      <alignment horizontal="center"/>
      <protection locked="0"/>
    </xf>
    <xf numFmtId="0" fontId="35" fillId="0" borderId="0"/>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192" fontId="9" fillId="0" borderId="0"/>
    <xf numFmtId="193" fontId="35" fillId="0" borderId="7"/>
    <xf numFmtId="194" fontId="1" fillId="0" borderId="0"/>
    <xf numFmtId="0" fontId="28" fillId="0" borderId="7"/>
    <xf numFmtId="194" fontId="1" fillId="0" borderId="0"/>
    <xf numFmtId="180" fontId="9" fillId="0" borderId="0" applyFont="0" applyFill="0" applyBorder="0" applyAlignment="0" applyProtection="0"/>
    <xf numFmtId="189" fontId="9" fillId="0" borderId="0" applyFont="0" applyFill="0" applyBorder="0" applyAlignment="0" applyProtection="0"/>
    <xf numFmtId="43" fontId="9" fillId="0" borderId="0" applyFont="0" applyFill="0" applyBorder="0" applyAlignment="0" applyProtection="0">
      <alignment wrapText="1"/>
    </xf>
    <xf numFmtId="43" fontId="1"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36" fillId="0" borderId="0" applyFont="0" applyFill="0" applyBorder="0" applyAlignment="0" applyProtection="0"/>
    <xf numFmtId="4" fontId="1" fillId="0" borderId="0" applyFont="0" applyFill="0" applyBorder="0" applyAlignment="0" applyProtection="0"/>
    <xf numFmtId="4" fontId="2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xf numFmtId="0" fontId="38" fillId="0" borderId="0" applyFill="0" applyBorder="0" applyAlignment="0" applyProtection="0">
      <protection locked="0"/>
    </xf>
    <xf numFmtId="195" fontId="9" fillId="0" borderId="0">
      <alignment horizontal="center"/>
    </xf>
    <xf numFmtId="196" fontId="39" fillId="0" borderId="0" applyFill="0" applyBorder="0" applyProtection="0"/>
    <xf numFmtId="197" fontId="40" fillId="0" borderId="0" applyFont="0" applyFill="0" applyBorder="0" applyAlignment="0" applyProtection="0"/>
    <xf numFmtId="198" fontId="41" fillId="0" borderId="17">
      <protection hidden="1"/>
    </xf>
    <xf numFmtId="182" fontId="9" fillId="0" borderId="0" applyFont="0" applyFill="0" applyBorder="0" applyAlignment="0" applyProtection="0"/>
    <xf numFmtId="164"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7" fillId="0" borderId="0" applyNumberFormat="0" applyFill="0" applyBorder="0" applyAlignment="0" applyProtection="0"/>
    <xf numFmtId="1" fontId="29" fillId="0" borderId="0"/>
    <xf numFmtId="14" fontId="42" fillId="0" borderId="0">
      <alignment horizontal="center"/>
    </xf>
    <xf numFmtId="14" fontId="33" fillId="0" borderId="0" applyFill="0" applyBorder="0" applyAlignment="0"/>
    <xf numFmtId="15" fontId="43" fillId="8" borderId="0" applyNumberFormat="0" applyFont="0" applyFill="0" applyBorder="0" applyAlignment="0">
      <alignment horizontal="center" wrapText="1"/>
    </xf>
    <xf numFmtId="0" fontId="33" fillId="0" borderId="14" applyNumberFormat="0" applyFill="0" applyBorder="0" applyAlignment="0" applyProtection="0"/>
    <xf numFmtId="199" fontId="35" fillId="0" borderId="0" applyFont="0" applyFill="0" applyBorder="0" applyAlignment="0" applyProtection="0"/>
    <xf numFmtId="200" fontId="40" fillId="0" borderId="0" applyFont="0" applyFill="0" applyBorder="0" applyAlignment="0" applyProtection="0"/>
    <xf numFmtId="180" fontId="44" fillId="0" borderId="0" applyFill="0" applyBorder="0" applyAlignment="0"/>
    <xf numFmtId="189" fontId="9" fillId="0" borderId="0" applyFill="0" applyBorder="0" applyAlignment="0"/>
    <xf numFmtId="182" fontId="9" fillId="0" borderId="0" applyFill="0" applyBorder="0" applyAlignment="0"/>
    <xf numFmtId="164" fontId="9" fillId="0" borderId="0" applyFill="0" applyBorder="0" applyAlignment="0"/>
    <xf numFmtId="180" fontId="44"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82" fontId="9" fillId="0" borderId="0" applyFill="0" applyBorder="0" applyAlignment="0"/>
    <xf numFmtId="164" fontId="9" fillId="0" borderId="0" applyFill="0" applyBorder="0" applyAlignment="0"/>
    <xf numFmtId="198" fontId="41" fillId="0" borderId="17">
      <protection hidden="1"/>
    </xf>
    <xf numFmtId="201" fontId="9" fillId="0" borderId="0" applyFont="0" applyFill="0" applyBorder="0" applyAlignment="0" applyProtection="0"/>
    <xf numFmtId="38" fontId="45" fillId="8" borderId="0" applyNumberFormat="0" applyBorder="0" applyAlignment="0" applyProtection="0"/>
    <xf numFmtId="0" fontId="46" fillId="0" borderId="18" applyNumberFormat="0" applyAlignment="0" applyProtection="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46" fillId="0" borderId="9">
      <alignment horizontal="left" vertical="center"/>
    </xf>
    <xf numFmtId="0" fontId="46" fillId="0" borderId="9">
      <alignment horizontal="left" vertical="center"/>
    </xf>
    <xf numFmtId="0" fontId="46" fillId="0" borderId="9">
      <alignment horizontal="left" vertical="center"/>
    </xf>
    <xf numFmtId="0" fontId="1" fillId="0" borderId="0">
      <alignment horizontal="left" vertical="center"/>
    </xf>
    <xf numFmtId="14" fontId="47" fillId="9" borderId="17">
      <alignment horizontal="center" vertical="center" wrapText="1"/>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4" fillId="0" borderId="0" applyFill="0" applyAlignment="0" applyProtection="0">
      <protection locked="0"/>
    </xf>
    <xf numFmtId="0" fontId="34" fillId="0" borderId="7" applyFill="0" applyAlignment="0" applyProtection="0">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10" fontId="45" fillId="10" borderId="14" applyNumberFormat="0" applyBorder="0" applyAlignment="0" applyProtection="0"/>
    <xf numFmtId="180" fontId="51" fillId="0" borderId="0" applyFill="0" applyBorder="0" applyAlignment="0"/>
    <xf numFmtId="189" fontId="9" fillId="0" borderId="0" applyFill="0" applyBorder="0" applyAlignment="0"/>
    <xf numFmtId="182" fontId="9" fillId="0" borderId="0" applyFill="0" applyBorder="0" applyAlignment="0"/>
    <xf numFmtId="164" fontId="9" fillId="0" borderId="0" applyFill="0" applyBorder="0" applyAlignment="0"/>
    <xf numFmtId="180" fontId="51"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82" fontId="9" fillId="0" borderId="0" applyFill="0" applyBorder="0" applyAlignment="0"/>
    <xf numFmtId="164" fontId="9" fillId="0" borderId="0" applyFill="0" applyBorder="0" applyAlignment="0"/>
    <xf numFmtId="202" fontId="9" fillId="0" borderId="0" applyFont="0" applyFill="0" applyBorder="0" applyAlignment="0" applyProtection="0"/>
    <xf numFmtId="203" fontId="9" fillId="0" borderId="0" applyFon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204" fontId="9" fillId="0" borderId="0" applyFont="0" applyFill="0" applyBorder="0" applyAlignment="0" applyProtection="0"/>
    <xf numFmtId="205" fontId="9" fillId="0" borderId="0" applyFon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206" fontId="29" fillId="0" borderId="7"/>
    <xf numFmtId="37" fontId="53" fillId="0" borderId="0"/>
    <xf numFmtId="207" fontId="35" fillId="0" borderId="0"/>
    <xf numFmtId="207" fontId="1" fillId="0" borderId="0"/>
    <xf numFmtId="208" fontId="9" fillId="0" borderId="0"/>
    <xf numFmtId="209" fontId="9" fillId="0" borderId="0"/>
    <xf numFmtId="0" fontId="54" fillId="0" borderId="0"/>
    <xf numFmtId="0" fontId="54" fillId="0" borderId="0"/>
    <xf numFmtId="0" fontId="54" fillId="0" borderId="0"/>
    <xf numFmtId="0" fontId="54" fillId="0" borderId="0"/>
    <xf numFmtId="0" fontId="9" fillId="0" borderId="0"/>
    <xf numFmtId="0" fontId="9" fillId="0" borderId="0"/>
    <xf numFmtId="0" fontId="1" fillId="0" borderId="0"/>
    <xf numFmtId="0" fontId="9" fillId="0" borderId="0"/>
    <xf numFmtId="0" fontId="9" fillId="0" borderId="0">
      <alignment wrapText="1"/>
    </xf>
    <xf numFmtId="0" fontId="9" fillId="0" borderId="0"/>
    <xf numFmtId="0" fontId="55" fillId="0" borderId="0"/>
    <xf numFmtId="0" fontId="9" fillId="0" borderId="0"/>
    <xf numFmtId="0" fontId="9" fillId="0" borderId="0"/>
    <xf numFmtId="37" fontId="56" fillId="0" borderId="0"/>
    <xf numFmtId="0" fontId="1" fillId="0" borderId="0"/>
    <xf numFmtId="0" fontId="1" fillId="0" borderId="0"/>
    <xf numFmtId="0" fontId="9" fillId="0" borderId="0">
      <alignment wrapText="1"/>
    </xf>
    <xf numFmtId="0" fontId="9" fillId="0" borderId="0"/>
    <xf numFmtId="37" fontId="56" fillId="0" borderId="0"/>
    <xf numFmtId="0" fontId="9" fillId="0" borderId="0"/>
    <xf numFmtId="37" fontId="56" fillId="0" borderId="0"/>
    <xf numFmtId="0" fontId="1" fillId="0" borderId="0"/>
    <xf numFmtId="0" fontId="36" fillId="0" borderId="0"/>
    <xf numFmtId="37" fontId="1" fillId="0" borderId="0"/>
    <xf numFmtId="0" fontId="1" fillId="0" borderId="0"/>
    <xf numFmtId="37" fontId="1" fillId="0" borderId="0"/>
    <xf numFmtId="0" fontId="9" fillId="0" borderId="0">
      <alignment wrapText="1"/>
    </xf>
    <xf numFmtId="37" fontId="57" fillId="0" borderId="0"/>
    <xf numFmtId="0" fontId="9" fillId="0" borderId="0"/>
    <xf numFmtId="37" fontId="9" fillId="0" borderId="0"/>
    <xf numFmtId="37" fontId="9" fillId="0" borderId="0"/>
    <xf numFmtId="210" fontId="9" fillId="0" borderId="0"/>
    <xf numFmtId="211" fontId="9" fillId="0" borderId="0"/>
    <xf numFmtId="39" fontId="9" fillId="0" borderId="0"/>
    <xf numFmtId="39" fontId="9" fillId="0" borderId="0"/>
    <xf numFmtId="212" fontId="9" fillId="0" borderId="0"/>
    <xf numFmtId="213" fontId="9" fillId="0" borderId="0"/>
    <xf numFmtId="214" fontId="9" fillId="0" borderId="0"/>
    <xf numFmtId="215" fontId="9" fillId="0" borderId="0"/>
    <xf numFmtId="216" fontId="9" fillId="0" borderId="0"/>
    <xf numFmtId="217" fontId="9" fillId="0" borderId="0"/>
    <xf numFmtId="218" fontId="9" fillId="0" borderId="0"/>
    <xf numFmtId="219" fontId="52" fillId="0" borderId="0"/>
    <xf numFmtId="220" fontId="41" fillId="0" borderId="0">
      <protection hidden="1"/>
    </xf>
    <xf numFmtId="187" fontId="9" fillId="0" borderId="0" applyFont="0" applyFill="0" applyBorder="0" applyAlignment="0" applyProtection="0"/>
    <xf numFmtId="188"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10" fontId="9"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2" fillId="0" borderId="19" applyNumberFormat="0" applyBorder="0"/>
    <xf numFmtId="206" fontId="29" fillId="0" borderId="0"/>
    <xf numFmtId="0" fontId="59" fillId="11" borderId="20" applyNumberFormat="0" applyFont="0" applyFill="0" applyAlignment="0">
      <alignment horizontal="center" vertical="center"/>
    </xf>
    <xf numFmtId="180" fontId="60" fillId="0" borderId="0" applyFill="0" applyBorder="0" applyAlignment="0"/>
    <xf numFmtId="189" fontId="9" fillId="0" borderId="0" applyFill="0" applyBorder="0" applyAlignment="0"/>
    <xf numFmtId="182" fontId="9" fillId="0" borderId="0" applyFill="0" applyBorder="0" applyAlignment="0"/>
    <xf numFmtId="164" fontId="9" fillId="0" borderId="0" applyFill="0" applyBorder="0" applyAlignment="0"/>
    <xf numFmtId="180" fontId="60" fillId="0" borderId="0" applyFill="0" applyBorder="0" applyAlignment="0"/>
    <xf numFmtId="189" fontId="9" fillId="0" borderId="0" applyFill="0" applyBorder="0" applyAlignment="0"/>
    <xf numFmtId="190" fontId="9" fillId="0" borderId="0" applyFill="0" applyBorder="0" applyAlignment="0"/>
    <xf numFmtId="191" fontId="9" fillId="0" borderId="0" applyFill="0" applyBorder="0" applyAlignment="0"/>
    <xf numFmtId="182" fontId="9" fillId="0" borderId="0" applyFill="0" applyBorder="0" applyAlignment="0"/>
    <xf numFmtId="164" fontId="9" fillId="0" borderId="0" applyFill="0" applyBorder="0" applyAlignment="0"/>
    <xf numFmtId="37" fontId="56" fillId="0" borderId="21"/>
    <xf numFmtId="0" fontId="61" fillId="0" borderId="0"/>
    <xf numFmtId="0" fontId="35" fillId="0" borderId="0"/>
    <xf numFmtId="0" fontId="52" fillId="0" borderId="0"/>
    <xf numFmtId="37" fontId="62" fillId="0" borderId="17">
      <alignment horizontal="right"/>
      <protection locked="0"/>
    </xf>
    <xf numFmtId="37" fontId="63" fillId="0" borderId="17">
      <alignment horizontal="right"/>
      <protection locked="0"/>
    </xf>
    <xf numFmtId="49" fontId="33" fillId="0" borderId="0" applyFill="0" applyBorder="0" applyAlignment="0"/>
    <xf numFmtId="221" fontId="9" fillId="0" borderId="0" applyFill="0" applyBorder="0" applyAlignment="0"/>
    <xf numFmtId="222" fontId="9" fillId="0" borderId="0" applyFill="0" applyBorder="0" applyAlignment="0"/>
    <xf numFmtId="223" fontId="9" fillId="0" borderId="0" applyFill="0" applyBorder="0" applyAlignment="0"/>
    <xf numFmtId="224" fontId="9" fillId="0" borderId="0" applyFill="0" applyBorder="0" applyAlignment="0"/>
    <xf numFmtId="49" fontId="9" fillId="0" borderId="0"/>
    <xf numFmtId="0" fontId="64" fillId="0" borderId="0" applyFill="0" applyBorder="0" applyProtection="0">
      <alignment horizontal="left" vertical="top"/>
    </xf>
    <xf numFmtId="40" fontId="65"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7" fontId="56" fillId="0" borderId="7"/>
    <xf numFmtId="37" fontId="56" fillId="0" borderId="22"/>
    <xf numFmtId="225" fontId="9" fillId="0" borderId="0" applyFont="0" applyFill="0" applyBorder="0" applyAlignment="0" applyProtection="0"/>
    <xf numFmtId="226" fontId="9" fillId="0" borderId="0" applyFont="0" applyFill="0" applyBorder="0" applyAlignment="0" applyProtection="0"/>
    <xf numFmtId="0" fontId="9" fillId="0" borderId="0"/>
    <xf numFmtId="0" fontId="9" fillId="0" borderId="0"/>
  </cellStyleXfs>
  <cellXfs count="233">
    <xf numFmtId="0" fontId="0" fillId="0" borderId="0" xfId="0"/>
    <xf numFmtId="164" fontId="0" fillId="0" borderId="0" xfId="1" applyNumberFormat="1" applyFont="1" applyAlignment="1">
      <alignment horizontal="right"/>
    </xf>
    <xf numFmtId="164" fontId="3" fillId="0" borderId="0" xfId="1" quotePrefix="1" applyNumberFormat="1" applyFont="1" applyBorder="1" applyAlignment="1">
      <alignment horizontal="right"/>
    </xf>
    <xf numFmtId="164" fontId="3" fillId="0" borderId="0" xfId="1" quotePrefix="1" applyNumberFormat="1" applyFont="1" applyFill="1" applyBorder="1" applyAlignment="1">
      <alignment horizontal="right"/>
    </xf>
    <xf numFmtId="0" fontId="0" fillId="0" borderId="0" xfId="0" applyAlignment="1">
      <alignment horizontal="right"/>
    </xf>
    <xf numFmtId="0" fontId="0" fillId="0" borderId="3" xfId="0" applyFont="1" applyBorder="1"/>
    <xf numFmtId="43" fontId="2" fillId="0" borderId="0" xfId="1" applyNumberFormat="1" applyFont="1" applyFill="1" applyBorder="1" applyAlignment="1">
      <alignment horizontal="right"/>
    </xf>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5" fontId="12" fillId="0" borderId="0" xfId="1" applyNumberFormat="1" applyFont="1" applyFill="1" applyBorder="1" applyAlignment="1">
      <alignment horizontal="right"/>
    </xf>
    <xf numFmtId="165" fontId="10" fillId="0" borderId="0" xfId="1" applyNumberFormat="1" applyFont="1" applyFill="1" applyBorder="1" applyAlignment="1">
      <alignment horizontal="right"/>
    </xf>
    <xf numFmtId="164" fontId="1" fillId="0" borderId="5" xfId="1" quotePrefix="1" applyNumberFormat="1" applyFont="1" applyBorder="1" applyAlignment="1">
      <alignment horizontal="right"/>
    </xf>
    <xf numFmtId="164" fontId="1"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0" fontId="0" fillId="0" borderId="0" xfId="0" applyFont="1" applyFill="1"/>
    <xf numFmtId="164" fontId="2" fillId="0" borderId="0" xfId="1" quotePrefix="1" applyNumberFormat="1" applyFont="1" applyFill="1" applyBorder="1" applyAlignment="1">
      <alignment horizontal="right"/>
    </xf>
    <xf numFmtId="0" fontId="2" fillId="0" borderId="3" xfId="0" applyFont="1" applyFill="1" applyBorder="1"/>
    <xf numFmtId="167" fontId="0" fillId="0" borderId="0" xfId="2" applyNumberFormat="1" applyFont="1" applyBorder="1" applyAlignment="1">
      <alignment horizontal="right"/>
    </xf>
    <xf numFmtId="167" fontId="0" fillId="0" borderId="0" xfId="1" applyNumberFormat="1" applyFont="1" applyBorder="1" applyAlignment="1">
      <alignment horizontal="right"/>
    </xf>
    <xf numFmtId="7" fontId="2" fillId="0" borderId="0" xfId="1" applyNumberFormat="1" applyFont="1" applyBorder="1" applyAlignment="1">
      <alignment horizontal="right"/>
    </xf>
    <xf numFmtId="165" fontId="0" fillId="0" borderId="0" xfId="1" applyNumberFormat="1" applyFont="1"/>
    <xf numFmtId="164" fontId="2" fillId="0" borderId="5" xfId="1" quotePrefix="1" applyNumberFormat="1" applyFont="1" applyFill="1" applyBorder="1" applyAlignment="1">
      <alignment horizontal="right"/>
    </xf>
    <xf numFmtId="43" fontId="0" fillId="0" borderId="0" xfId="1" applyFont="1" applyFill="1"/>
    <xf numFmtId="165" fontId="0" fillId="0" borderId="0" xfId="0" applyNumberFormat="1" applyFill="1"/>
    <xf numFmtId="43" fontId="0" fillId="0" borderId="0" xfId="1" applyFont="1" applyFill="1" applyAlignment="1">
      <alignment horizontal="right"/>
    </xf>
    <xf numFmtId="0" fontId="2" fillId="0" borderId="0" xfId="0" applyFont="1"/>
    <xf numFmtId="165" fontId="2" fillId="0" borderId="7" xfId="1" applyNumberFormat="1" applyFont="1" applyFill="1" applyBorder="1" applyAlignment="1">
      <alignment horizontal="right"/>
    </xf>
    <xf numFmtId="165" fontId="2" fillId="0" borderId="3" xfId="1" applyNumberFormat="1" applyFont="1" applyFill="1" applyBorder="1" applyAlignment="1">
      <alignment horizontal="right"/>
    </xf>
    <xf numFmtId="166" fontId="0" fillId="0" borderId="0" xfId="2" quotePrefix="1" applyNumberFormat="1" applyFont="1" applyBorder="1" applyAlignment="1">
      <alignment horizontal="right"/>
    </xf>
    <xf numFmtId="166" fontId="0" fillId="0" borderId="5" xfId="2" quotePrefix="1" applyNumberFormat="1" applyFont="1" applyFill="1" applyBorder="1" applyAlignment="1">
      <alignment horizontal="right"/>
    </xf>
    <xf numFmtId="166" fontId="0" fillId="0" borderId="0" xfId="2" applyNumberFormat="1" applyFont="1"/>
    <xf numFmtId="164" fontId="13" fillId="0" borderId="0" xfId="1" applyNumberFormat="1" applyFont="1" applyAlignment="1">
      <alignment horizontal="right"/>
    </xf>
    <xf numFmtId="166" fontId="0" fillId="2" borderId="0" xfId="2" quotePrefix="1" applyNumberFormat="1" applyFont="1" applyFill="1" applyBorder="1" applyAlignment="1">
      <alignment horizontal="right"/>
    </xf>
    <xf numFmtId="0" fontId="13" fillId="0" borderId="0" xfId="0" applyFont="1"/>
    <xf numFmtId="165" fontId="0" fillId="0" borderId="5" xfId="1" applyNumberFormat="1" applyFont="1" applyFill="1" applyBorder="1" applyAlignment="1">
      <alignment horizontal="right"/>
    </xf>
    <xf numFmtId="165" fontId="2" fillId="0" borderId="5" xfId="1" applyNumberFormat="1" applyFont="1" applyFill="1" applyBorder="1" applyAlignment="1">
      <alignment horizontal="right"/>
    </xf>
    <xf numFmtId="0" fontId="0" fillId="0" borderId="0" xfId="0" applyAlignment="1">
      <alignment horizontal="left"/>
    </xf>
    <xf numFmtId="0" fontId="0" fillId="0" borderId="0" xfId="0" applyFont="1"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applyFont="1" applyBorder="1"/>
    <xf numFmtId="165" fontId="1" fillId="0" borderId="3" xfId="1" applyNumberFormat="1" applyFont="1" applyFill="1" applyBorder="1" applyAlignment="1">
      <alignment horizontal="right"/>
    </xf>
    <xf numFmtId="43" fontId="2" fillId="0" borderId="3" xfId="1" applyNumberFormat="1" applyFont="1" applyFill="1" applyBorder="1" applyAlignment="1">
      <alignment horizontal="right"/>
    </xf>
    <xf numFmtId="43" fontId="2" fillId="0" borderId="4" xfId="1" applyNumberFormat="1" applyFont="1" applyFill="1" applyBorder="1" applyAlignment="1">
      <alignment horizontal="right"/>
    </xf>
    <xf numFmtId="43" fontId="2" fillId="0" borderId="5" xfId="1" applyNumberFormat="1" applyFont="1" applyFill="1" applyBorder="1" applyAlignment="1">
      <alignment horizontal="right"/>
    </xf>
    <xf numFmtId="0" fontId="0" fillId="0" borderId="0" xfId="0"/>
    <xf numFmtId="0" fontId="0" fillId="0" borderId="3" xfId="0" applyFont="1" applyFill="1" applyBorder="1"/>
    <xf numFmtId="164" fontId="1" fillId="0" borderId="0" xfId="1" quotePrefix="1" applyNumberFormat="1" applyFont="1" applyFill="1" applyBorder="1" applyAlignment="1">
      <alignment horizontal="right"/>
    </xf>
    <xf numFmtId="164" fontId="16" fillId="4" borderId="2" xfId="1" quotePrefix="1" applyNumberFormat="1" applyFont="1" applyFill="1" applyBorder="1" applyAlignment="1">
      <alignment horizontal="right"/>
    </xf>
    <xf numFmtId="164" fontId="18" fillId="4" borderId="0" xfId="1" quotePrefix="1" applyNumberFormat="1" applyFont="1" applyFill="1" applyBorder="1" applyAlignment="1">
      <alignment horizontal="right"/>
    </xf>
    <xf numFmtId="166" fontId="0" fillId="0" borderId="0" xfId="2" quotePrefix="1" applyNumberFormat="1" applyFont="1" applyFill="1" applyBorder="1" applyAlignment="1">
      <alignment horizontal="right"/>
    </xf>
    <xf numFmtId="0" fontId="18" fillId="4" borderId="0" xfId="1" quotePrefix="1" applyNumberFormat="1" applyFont="1" applyFill="1" applyBorder="1" applyAlignment="1">
      <alignment horizontal="right"/>
    </xf>
    <xf numFmtId="165" fontId="4" fillId="0" borderId="3"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4" fontId="12" fillId="5" borderId="2" xfId="1" quotePrefix="1" applyNumberFormat="1" applyFont="1" applyFill="1" applyBorder="1" applyAlignment="1">
      <alignment horizontal="right"/>
    </xf>
    <xf numFmtId="164" fontId="19" fillId="5" borderId="0" xfId="1" quotePrefix="1" applyNumberFormat="1" applyFont="1" applyFill="1" applyBorder="1" applyAlignment="1">
      <alignment horizontal="right"/>
    </xf>
    <xf numFmtId="0" fontId="19" fillId="5" borderId="0" xfId="1" quotePrefix="1" applyNumberFormat="1" applyFont="1" applyFill="1" applyBorder="1" applyAlignment="1">
      <alignment horizontal="righ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43" fontId="2" fillId="0" borderId="7" xfId="1" applyNumberFormat="1" applyFont="1" applyFill="1" applyBorder="1" applyAlignment="1">
      <alignment horizontal="right"/>
    </xf>
    <xf numFmtId="166" fontId="2" fillId="0" borderId="7" xfId="2" applyNumberFormat="1" applyFont="1" applyFill="1" applyBorder="1" applyAlignment="1">
      <alignment horizontal="right"/>
    </xf>
    <xf numFmtId="43" fontId="2" fillId="0" borderId="8" xfId="1" applyNumberFormat="1" applyFont="1" applyFill="1" applyBorder="1" applyAlignment="1">
      <alignment horizontal="right"/>
    </xf>
    <xf numFmtId="43" fontId="12" fillId="0" borderId="7" xfId="1" applyNumberFormat="1" applyFont="1" applyFill="1" applyBorder="1" applyAlignment="1">
      <alignment horizontal="right"/>
    </xf>
    <xf numFmtId="166" fontId="1" fillId="0" borderId="5" xfId="2" quotePrefix="1" applyNumberFormat="1" applyFont="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166" fontId="1" fillId="0" borderId="5" xfId="2" quotePrefix="1" applyNumberFormat="1" applyFont="1" applyFill="1" applyBorder="1" applyAlignment="1">
      <alignment horizontal="right"/>
    </xf>
    <xf numFmtId="164" fontId="0" fillId="2" borderId="0" xfId="1" quotePrefix="1" applyNumberFormat="1" applyFont="1" applyFill="1" applyBorder="1" applyAlignment="1">
      <alignment horizontal="right"/>
    </xf>
    <xf numFmtId="164" fontId="0" fillId="0" borderId="0" xfId="1" quotePrefix="1" applyNumberFormat="1" applyFont="1" applyBorder="1" applyAlignment="1">
      <alignment horizontal="right"/>
    </xf>
    <xf numFmtId="164" fontId="0" fillId="0" borderId="0" xfId="1" quotePrefix="1" applyNumberFormat="1" applyFont="1" applyFill="1" applyBorder="1" applyAlignment="1">
      <alignment horizontal="right"/>
    </xf>
    <xf numFmtId="164" fontId="0" fillId="0" borderId="3" xfId="1"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4" xfId="1" applyNumberFormat="1" applyFont="1" applyFill="1" applyBorder="1" applyAlignment="1">
      <alignment horizontal="right"/>
    </xf>
    <xf numFmtId="164" fontId="0" fillId="0" borderId="5" xfId="1" applyNumberFormat="1" applyFont="1" applyFill="1" applyBorder="1" applyAlignment="1">
      <alignment horizontal="right"/>
    </xf>
    <xf numFmtId="164" fontId="4" fillId="0" borderId="3"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2" fillId="0" borderId="3" xfId="1" applyNumberFormat="1" applyFont="1" applyFill="1" applyBorder="1" applyAlignment="1">
      <alignment horizontal="right"/>
    </xf>
    <xf numFmtId="164" fontId="2" fillId="0" borderId="0" xfId="1" applyNumberFormat="1" applyFont="1" applyFill="1" applyBorder="1" applyAlignment="1">
      <alignment horizontal="right"/>
    </xf>
    <xf numFmtId="164" fontId="2" fillId="0" borderId="4" xfId="1" applyNumberFormat="1" applyFont="1" applyFill="1" applyBorder="1" applyAlignment="1">
      <alignment horizontal="right"/>
    </xf>
    <xf numFmtId="164" fontId="2" fillId="0" borderId="5" xfId="1" applyNumberFormat="1" applyFont="1" applyFill="1" applyBorder="1" applyAlignment="1">
      <alignment horizontal="right"/>
    </xf>
    <xf numFmtId="164" fontId="1" fillId="0" borderId="3" xfId="1" applyNumberFormat="1" applyFont="1" applyFill="1" applyBorder="1" applyAlignment="1">
      <alignment horizontal="right"/>
    </xf>
    <xf numFmtId="164" fontId="1" fillId="0" borderId="0" xfId="1" applyNumberFormat="1" applyFont="1" applyFill="1" applyBorder="1" applyAlignment="1">
      <alignment horizontal="right"/>
    </xf>
    <xf numFmtId="164" fontId="1" fillId="0" borderId="4" xfId="1" applyNumberFormat="1" applyFont="1" applyFill="1" applyBorder="1" applyAlignment="1">
      <alignment horizontal="right"/>
    </xf>
    <xf numFmtId="164" fontId="1" fillId="0" borderId="5" xfId="1" applyNumberFormat="1" applyFont="1" applyFill="1" applyBorder="1" applyAlignment="1">
      <alignment horizontal="right"/>
    </xf>
    <xf numFmtId="43" fontId="2" fillId="0" borderId="2" xfId="1" applyNumberFormat="1" applyFont="1" applyFill="1" applyBorder="1" applyAlignment="1">
      <alignment horizontal="right"/>
    </xf>
    <xf numFmtId="164" fontId="10" fillId="0" borderId="0" xfId="1" applyNumberFormat="1" applyFont="1" applyFill="1" applyBorder="1" applyAlignment="1">
      <alignment horizontal="right"/>
    </xf>
    <xf numFmtId="164" fontId="11" fillId="0" borderId="0" xfId="1" applyNumberFormat="1" applyFont="1" applyFill="1" applyBorder="1" applyAlignment="1">
      <alignment horizontal="right"/>
    </xf>
    <xf numFmtId="164" fontId="12" fillId="0" borderId="0" xfId="1" applyNumberFormat="1" applyFont="1" applyFill="1" applyBorder="1" applyAlignment="1">
      <alignment horizontal="right"/>
    </xf>
    <xf numFmtId="164" fontId="10" fillId="0" borderId="4" xfId="1" applyNumberFormat="1" applyFont="1" applyFill="1" applyBorder="1" applyAlignment="1">
      <alignment horizontal="right"/>
    </xf>
    <xf numFmtId="164" fontId="10" fillId="0" borderId="3" xfId="1" applyNumberFormat="1" applyFont="1" applyFill="1" applyBorder="1" applyAlignment="1">
      <alignment horizontal="right"/>
    </xf>
    <xf numFmtId="164" fontId="11" fillId="0" borderId="4" xfId="1" applyNumberFormat="1" applyFont="1" applyFill="1" applyBorder="1" applyAlignment="1">
      <alignment horizontal="right"/>
    </xf>
    <xf numFmtId="164" fontId="11" fillId="0" borderId="3" xfId="1" applyNumberFormat="1" applyFont="1" applyFill="1" applyBorder="1" applyAlignment="1">
      <alignment horizontal="right"/>
    </xf>
    <xf numFmtId="168" fontId="0" fillId="0" borderId="4" xfId="1" applyNumberFormat="1" applyFont="1" applyFill="1" applyBorder="1" applyAlignment="1">
      <alignment horizontal="left"/>
    </xf>
    <xf numFmtId="168" fontId="0" fillId="0" borderId="0" xfId="1" applyNumberFormat="1" applyFont="1"/>
    <xf numFmtId="9" fontId="0" fillId="0" borderId="0" xfId="2" applyFont="1" applyFill="1" applyBorder="1" applyAlignment="1">
      <alignment horizontal="right"/>
    </xf>
    <xf numFmtId="43" fontId="0" fillId="0" borderId="0" xfId="1" applyNumberFormat="1" applyFont="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43" fontId="12" fillId="0" borderId="0" xfId="1" applyNumberFormat="1" applyFont="1" applyFill="1" applyBorder="1" applyAlignment="1">
      <alignment horizontal="right"/>
    </xf>
    <xf numFmtId="10" fontId="13" fillId="0" borderId="0" xfId="2" applyNumberFormat="1" applyFont="1" applyAlignment="1">
      <alignment horizontal="right"/>
    </xf>
    <xf numFmtId="164" fontId="0" fillId="6" borderId="0" xfId="1" quotePrefix="1" applyNumberFormat="1" applyFont="1" applyFill="1" applyBorder="1" applyAlignment="1">
      <alignment horizontal="right"/>
    </xf>
    <xf numFmtId="166" fontId="0" fillId="6" borderId="0" xfId="2" quotePrefix="1" applyNumberFormat="1" applyFont="1" applyFill="1" applyBorder="1" applyAlignment="1">
      <alignment horizontal="right"/>
    </xf>
    <xf numFmtId="9" fontId="0" fillId="0" borderId="0" xfId="2" applyFont="1" applyAlignment="1">
      <alignment horizontal="right"/>
    </xf>
    <xf numFmtId="169" fontId="0" fillId="2" borderId="4" xfId="1" applyNumberFormat="1" applyFont="1" applyFill="1" applyBorder="1" applyAlignment="1">
      <alignment horizontal="right"/>
    </xf>
    <xf numFmtId="0" fontId="0" fillId="0" borderId="0" xfId="0"/>
    <xf numFmtId="164" fontId="0" fillId="0" borderId="0" xfId="1" applyNumberFormat="1" applyFont="1" applyAlignment="1">
      <alignment horizontal="right"/>
    </xf>
    <xf numFmtId="0" fontId="0" fillId="0" borderId="0" xfId="0" applyAlignment="1">
      <alignment horizontal="right"/>
    </xf>
    <xf numFmtId="165" fontId="1" fillId="0" borderId="5" xfId="1" applyNumberFormat="1" applyFont="1" applyFill="1" applyBorder="1" applyAlignment="1">
      <alignment horizontal="right"/>
    </xf>
    <xf numFmtId="10" fontId="0" fillId="0" borderId="0" xfId="2" applyNumberFormat="1" applyFont="1" applyFill="1"/>
    <xf numFmtId="165" fontId="2" fillId="0" borderId="2" xfId="1" applyNumberFormat="1" applyFont="1" applyFill="1" applyBorder="1" applyAlignment="1">
      <alignment horizontal="right"/>
    </xf>
    <xf numFmtId="43" fontId="12" fillId="6" borderId="0" xfId="1" applyNumberFormat="1" applyFont="1" applyFill="1" applyBorder="1" applyAlignment="1">
      <alignment horizontal="right"/>
    </xf>
    <xf numFmtId="164" fontId="2" fillId="0" borderId="28" xfId="1" quotePrefix="1" applyNumberFormat="1" applyFont="1" applyFill="1" applyBorder="1" applyAlignment="1">
      <alignment horizontal="right"/>
    </xf>
    <xf numFmtId="169" fontId="0" fillId="0" borderId="4" xfId="1" applyNumberFormat="1" applyFont="1" applyFill="1" applyBorder="1" applyAlignment="1">
      <alignment horizontal="right"/>
    </xf>
    <xf numFmtId="43" fontId="0" fillId="0" borderId="4" xfId="1" applyFont="1" applyFill="1" applyBorder="1" applyAlignment="1">
      <alignment horizontal="right"/>
    </xf>
    <xf numFmtId="169" fontId="0" fillId="0" borderId="4" xfId="2" applyNumberFormat="1" applyFont="1" applyFill="1" applyBorder="1" applyAlignment="1">
      <alignment horizontal="right"/>
    </xf>
    <xf numFmtId="43" fontId="0" fillId="0"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26" xfId="0" applyFont="1" applyFill="1" applyBorder="1" applyAlignment="1">
      <alignment horizontal="left"/>
    </xf>
    <xf numFmtId="0" fontId="8" fillId="0" borderId="4" xfId="0" applyFont="1" applyFill="1" applyBorder="1" applyAlignment="1">
      <alignment horizontal="left"/>
    </xf>
    <xf numFmtId="164" fontId="4" fillId="0" borderId="0" xfId="1" quotePrefix="1" applyNumberFormat="1" applyFont="1" applyFill="1" applyBorder="1" applyAlignment="1">
      <alignment horizontal="right"/>
    </xf>
    <xf numFmtId="164" fontId="4" fillId="0" borderId="5" xfId="1" quotePrefix="1" applyNumberFormat="1" applyFont="1" applyFill="1" applyBorder="1" applyAlignment="1">
      <alignment horizontal="right"/>
    </xf>
    <xf numFmtId="0" fontId="67" fillId="0" borderId="4" xfId="0" applyFont="1" applyFill="1" applyBorder="1" applyAlignment="1">
      <alignment horizontal="left"/>
    </xf>
    <xf numFmtId="164" fontId="0" fillId="0" borderId="5" xfId="1" quotePrefix="1" applyNumberFormat="1" applyFont="1" applyFill="1" applyBorder="1" applyAlignment="1">
      <alignment horizontal="right"/>
    </xf>
    <xf numFmtId="166" fontId="0" fillId="0" borderId="3" xfId="2" quotePrefix="1" applyNumberFormat="1" applyFont="1" applyFill="1" applyBorder="1" applyAlignment="1">
      <alignment horizontal="right"/>
    </xf>
    <xf numFmtId="166" fontId="0" fillId="0" borderId="4" xfId="2" quotePrefix="1" applyNumberFormat="1" applyFont="1" applyFill="1" applyBorder="1" applyAlignment="1">
      <alignment horizontal="right"/>
    </xf>
    <xf numFmtId="166" fontId="0" fillId="2" borderId="4" xfId="2" quotePrefix="1" applyNumberFormat="1" applyFont="1" applyFill="1" applyBorder="1" applyAlignment="1">
      <alignment horizontal="right"/>
    </xf>
    <xf numFmtId="166" fontId="0" fillId="2" borderId="3" xfId="2" quotePrefix="1" applyNumberFormat="1" applyFont="1" applyFill="1" applyBorder="1" applyAlignment="1">
      <alignment horizontal="right"/>
    </xf>
    <xf numFmtId="0" fontId="8" fillId="0" borderId="27" xfId="0" applyFont="1" applyFill="1" applyBorder="1" applyAlignment="1">
      <alignment horizontal="left"/>
    </xf>
    <xf numFmtId="164" fontId="2" fillId="0" borderId="25" xfId="1" quotePrefix="1" applyNumberFormat="1" applyFont="1" applyFill="1" applyBorder="1" applyAlignment="1">
      <alignment horizontal="right"/>
    </xf>
    <xf numFmtId="169" fontId="2" fillId="0" borderId="4" xfId="1" applyNumberFormat="1" applyFont="1" applyFill="1" applyBorder="1" applyAlignment="1">
      <alignment horizontal="right"/>
    </xf>
    <xf numFmtId="0" fontId="68" fillId="0" borderId="0" xfId="0" applyFont="1"/>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3" xfId="0" applyFont="1" applyFill="1" applyBorder="1" applyAlignment="1">
      <alignment horizontal="left"/>
    </xf>
    <xf numFmtId="165" fontId="11" fillId="0" borderId="5" xfId="1" applyNumberFormat="1" applyFont="1" applyFill="1" applyBorder="1" applyAlignment="1">
      <alignment horizontal="right"/>
    </xf>
    <xf numFmtId="10" fontId="0" fillId="0" borderId="3" xfId="2" applyNumberFormat="1" applyFont="1" applyFill="1" applyBorder="1" applyAlignment="1">
      <alignment horizontal="left"/>
    </xf>
    <xf numFmtId="10" fontId="0" fillId="0" borderId="4" xfId="2" applyNumberFormat="1" applyFont="1" applyFill="1" applyBorder="1" applyAlignment="1">
      <alignment horizontal="left"/>
    </xf>
    <xf numFmtId="10" fontId="0" fillId="0" borderId="0" xfId="2" quotePrefix="1" applyNumberFormat="1" applyFont="1" applyFill="1" applyBorder="1" applyAlignment="1">
      <alignment horizontal="right"/>
    </xf>
    <xf numFmtId="10" fontId="0" fillId="0" borderId="5" xfId="2" quotePrefix="1" applyNumberFormat="1" applyFont="1" applyFill="1" applyBorder="1" applyAlignment="1">
      <alignment horizontal="right"/>
    </xf>
    <xf numFmtId="10" fontId="0" fillId="0" borderId="0" xfId="2" applyNumberFormat="1" applyFont="1"/>
    <xf numFmtId="10" fontId="0" fillId="12" borderId="0" xfId="2" quotePrefix="1" applyNumberFormat="1" applyFont="1" applyFill="1" applyBorder="1" applyAlignment="1">
      <alignment horizontal="right"/>
    </xf>
    <xf numFmtId="0" fontId="0" fillId="0" borderId="4"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0" fillId="0" borderId="0" xfId="0" applyFill="1" applyAlignment="1">
      <alignment horizontal="right"/>
    </xf>
    <xf numFmtId="165" fontId="11" fillId="0" borderId="0" xfId="1" applyNumberFormat="1" applyFont="1" applyFill="1" applyBorder="1" applyAlignment="1">
      <alignment horizontal="right"/>
    </xf>
    <xf numFmtId="165" fontId="11" fillId="0" borderId="4" xfId="1" applyNumberFormat="1" applyFont="1" applyFill="1" applyBorder="1" applyAlignment="1">
      <alignment horizontal="right"/>
    </xf>
    <xf numFmtId="165" fontId="11" fillId="0" borderId="3" xfId="1" applyNumberFormat="1" applyFont="1" applyFill="1" applyBorder="1" applyAlignment="1">
      <alignment horizontal="right"/>
    </xf>
    <xf numFmtId="165" fontId="12" fillId="0" borderId="4" xfId="1" applyNumberFormat="1" applyFont="1" applyFill="1" applyBorder="1" applyAlignment="1">
      <alignment horizontal="right"/>
    </xf>
    <xf numFmtId="165" fontId="12" fillId="0" borderId="3" xfId="1" applyNumberFormat="1" applyFont="1" applyFill="1" applyBorder="1" applyAlignment="1">
      <alignment horizontal="right"/>
    </xf>
    <xf numFmtId="165" fontId="4" fillId="0" borderId="4" xfId="1" applyNumberFormat="1" applyFont="1" applyFill="1" applyBorder="1" applyAlignment="1">
      <alignment horizontal="right"/>
    </xf>
    <xf numFmtId="165" fontId="12" fillId="6" borderId="4" xfId="1" applyNumberFormat="1" applyFont="1" applyFill="1" applyBorder="1" applyAlignment="1">
      <alignment horizontal="right"/>
    </xf>
    <xf numFmtId="165" fontId="12" fillId="6" borderId="0" xfId="1" applyNumberFormat="1" applyFont="1" applyFill="1" applyBorder="1" applyAlignment="1">
      <alignment horizontal="right"/>
    </xf>
    <xf numFmtId="165" fontId="0" fillId="0" borderId="0" xfId="1" quotePrefix="1" applyNumberFormat="1" applyFont="1" applyBorder="1" applyAlignment="1">
      <alignment horizontal="right"/>
    </xf>
    <xf numFmtId="165" fontId="0" fillId="0" borderId="0" xfId="1" quotePrefix="1" applyNumberFormat="1" applyFont="1" applyFill="1" applyBorder="1" applyAlignment="1">
      <alignment horizontal="right"/>
    </xf>
    <xf numFmtId="165" fontId="0" fillId="2" borderId="0" xfId="1" quotePrefix="1" applyNumberFormat="1" applyFont="1" applyFill="1" applyBorder="1" applyAlignment="1">
      <alignment horizontal="right"/>
    </xf>
    <xf numFmtId="0" fontId="0" fillId="0" borderId="26" xfId="0" applyFont="1" applyFill="1" applyBorder="1" applyAlignment="1">
      <alignment horizontal="left"/>
    </xf>
    <xf numFmtId="0" fontId="0" fillId="0" borderId="27" xfId="0" applyFont="1" applyFill="1" applyBorder="1" applyAlignment="1">
      <alignment horizontal="left"/>
    </xf>
    <xf numFmtId="166" fontId="0" fillId="0" borderId="28" xfId="2" quotePrefix="1" applyNumberFormat="1" applyFont="1" applyFill="1" applyBorder="1" applyAlignment="1">
      <alignment horizontal="right"/>
    </xf>
    <xf numFmtId="166" fontId="1" fillId="0" borderId="25" xfId="2" quotePrefix="1" applyNumberFormat="1" applyFont="1" applyFill="1" applyBorder="1" applyAlignment="1">
      <alignment horizontal="right"/>
    </xf>
    <xf numFmtId="166" fontId="1" fillId="0" borderId="25" xfId="2" quotePrefix="1" applyNumberFormat="1" applyFont="1" applyBorder="1" applyAlignment="1">
      <alignment horizontal="right"/>
    </xf>
    <xf numFmtId="166" fontId="0" fillId="6" borderId="28" xfId="2" quotePrefix="1" applyNumberFormat="1" applyFont="1" applyFill="1" applyBorder="1" applyAlignment="1">
      <alignment horizontal="right"/>
    </xf>
    <xf numFmtId="166" fontId="0" fillId="0" borderId="28" xfId="2" quotePrefix="1" applyNumberFormat="1" applyFont="1" applyBorder="1" applyAlignment="1">
      <alignment horizontal="right"/>
    </xf>
    <xf numFmtId="166" fontId="0" fillId="0" borderId="25" xfId="2" quotePrefix="1" applyNumberFormat="1" applyFont="1" applyFill="1" applyBorder="1" applyAlignment="1">
      <alignment horizontal="right"/>
    </xf>
    <xf numFmtId="166" fontId="0" fillId="2" borderId="28" xfId="2" quotePrefix="1" applyNumberFormat="1" applyFont="1" applyFill="1" applyBorder="1" applyAlignment="1">
      <alignment horizontal="right"/>
    </xf>
    <xf numFmtId="10" fontId="0" fillId="0" borderId="26" xfId="2" applyNumberFormat="1" applyFont="1" applyFill="1" applyBorder="1" applyAlignment="1">
      <alignment horizontal="left"/>
    </xf>
    <xf numFmtId="10" fontId="0" fillId="0" borderId="27" xfId="2" applyNumberFormat="1" applyFont="1" applyFill="1" applyBorder="1" applyAlignment="1">
      <alignment horizontal="left"/>
    </xf>
    <xf numFmtId="10" fontId="0" fillId="0" borderId="28" xfId="2" quotePrefix="1" applyNumberFormat="1" applyFont="1" applyFill="1" applyBorder="1" applyAlignment="1">
      <alignment horizontal="right"/>
    </xf>
    <xf numFmtId="10" fontId="0" fillId="0" borderId="25" xfId="2" quotePrefix="1" applyNumberFormat="1" applyFont="1" applyFill="1" applyBorder="1" applyAlignment="1">
      <alignment horizontal="right"/>
    </xf>
    <xf numFmtId="10" fontId="0" fillId="12" borderId="28" xfId="2" quotePrefix="1" applyNumberFormat="1" applyFont="1" applyFill="1" applyBorder="1" applyAlignment="1">
      <alignment horizontal="right"/>
    </xf>
    <xf numFmtId="10" fontId="8" fillId="0" borderId="3" xfId="2" applyNumberFormat="1" applyFont="1" applyFill="1" applyBorder="1" applyAlignment="1">
      <alignment horizontal="left"/>
    </xf>
    <xf numFmtId="164" fontId="0" fillId="0" borderId="6" xfId="1" quotePrefix="1" applyNumberFormat="1" applyFont="1" applyFill="1" applyBorder="1" applyAlignment="1">
      <alignment horizontal="right"/>
    </xf>
    <xf numFmtId="164" fontId="0" fillId="0" borderId="7" xfId="1" quotePrefix="1" applyNumberFormat="1" applyFont="1" applyFill="1" applyBorder="1" applyAlignment="1">
      <alignment horizontal="right"/>
    </xf>
    <xf numFmtId="164" fontId="0" fillId="0" borderId="10" xfId="1" quotePrefix="1" applyNumberFormat="1" applyFont="1" applyFill="1" applyBorder="1" applyAlignment="1">
      <alignment horizontal="right"/>
    </xf>
    <xf numFmtId="164" fontId="0" fillId="0" borderId="8" xfId="1" quotePrefix="1" applyNumberFormat="1" applyFont="1" applyFill="1" applyBorder="1" applyAlignment="1">
      <alignment horizontal="right"/>
    </xf>
    <xf numFmtId="166" fontId="0" fillId="0" borderId="8" xfId="2" quotePrefix="1" applyNumberFormat="1" applyFont="1" applyFill="1" applyBorder="1" applyAlignment="1">
      <alignment horizontal="right"/>
    </xf>
    <xf numFmtId="43" fontId="0" fillId="0" borderId="6" xfId="1" quotePrefix="1" applyFont="1" applyFill="1" applyBorder="1" applyAlignment="1">
      <alignment horizontal="right"/>
    </xf>
    <xf numFmtId="166" fontId="0" fillId="0" borderId="7" xfId="2" quotePrefix="1" applyNumberFormat="1" applyFont="1" applyFill="1" applyBorder="1" applyAlignment="1">
      <alignment horizontal="right"/>
    </xf>
    <xf numFmtId="166" fontId="0" fillId="2" borderId="10" xfId="2" quotePrefix="1" applyNumberFormat="1" applyFont="1" applyFill="1" applyBorder="1" applyAlignment="1">
      <alignment horizontal="right"/>
    </xf>
    <xf numFmtId="166" fontId="0" fillId="2" borderId="6" xfId="2" quotePrefix="1" applyNumberFormat="1" applyFont="1" applyFill="1" applyBorder="1" applyAlignment="1">
      <alignment horizontal="right"/>
    </xf>
    <xf numFmtId="166" fontId="0" fillId="2" borderId="7" xfId="2" quotePrefix="1" applyNumberFormat="1" applyFont="1" applyFill="1" applyBorder="1" applyAlignment="1">
      <alignment horizontal="right"/>
    </xf>
    <xf numFmtId="0" fontId="2" fillId="0" borderId="29" xfId="0" applyFont="1" applyFill="1" applyBorder="1" applyAlignment="1">
      <alignment horizontal="right"/>
    </xf>
    <xf numFmtId="5" fontId="2" fillId="0" borderId="30" xfId="1" applyNumberFormat="1" applyFont="1" applyBorder="1" applyAlignment="1">
      <alignment horizontal="right"/>
    </xf>
    <xf numFmtId="165" fontId="0" fillId="0" borderId="5" xfId="1" quotePrefix="1" applyNumberFormat="1" applyFont="1" applyFill="1" applyBorder="1" applyAlignment="1">
      <alignment horizontal="right"/>
    </xf>
    <xf numFmtId="5" fontId="2" fillId="0" borderId="4" xfId="1" applyNumberFormat="1" applyFont="1" applyBorder="1" applyAlignment="1">
      <alignment horizontal="right"/>
    </xf>
    <xf numFmtId="166" fontId="0" fillId="13" borderId="0" xfId="2" quotePrefix="1" applyNumberFormat="1" applyFont="1" applyFill="1" applyBorder="1" applyAlignment="1">
      <alignment horizontal="right"/>
    </xf>
    <xf numFmtId="43" fontId="0" fillId="6"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4" borderId="1" xfId="0" applyFont="1" applyFill="1" applyBorder="1" applyAlignment="1">
      <alignment horizontal="left"/>
    </xf>
    <xf numFmtId="0" fontId="15" fillId="4" borderId="2" xfId="0" applyFont="1" applyFill="1" applyBorder="1" applyAlignment="1">
      <alignment horizontal="left"/>
    </xf>
    <xf numFmtId="0" fontId="0"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17" fillId="4" borderId="3" xfId="0" applyFont="1" applyFill="1" applyBorder="1" applyAlignment="1">
      <alignment horizontal="left"/>
    </xf>
    <xf numFmtId="0" fontId="17" fillId="4" borderId="0" xfId="0" applyFont="1" applyFill="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0" fillId="0" borderId="29" xfId="0" applyBorder="1" applyAlignment="1">
      <alignment horizontal="left" vertical="top" wrapText="1"/>
    </xf>
    <xf numFmtId="0" fontId="0" fillId="0" borderId="30" xfId="0" applyBorder="1" applyAlignment="1">
      <alignment horizontal="left" vertical="top" wrapText="1"/>
    </xf>
    <xf numFmtId="0" fontId="2" fillId="0" borderId="6" xfId="0" applyFont="1" applyFill="1" applyBorder="1" applyAlignment="1">
      <alignment horizontal="left"/>
    </xf>
    <xf numFmtId="0" fontId="2" fillId="0" borderId="10" xfId="0" applyFont="1" applyFill="1" applyBorder="1" applyAlignment="1">
      <alignment horizontal="left"/>
    </xf>
    <xf numFmtId="0" fontId="0" fillId="3" borderId="1" xfId="0" applyFont="1" applyFill="1" applyBorder="1" applyAlignment="1">
      <alignment horizontal="left"/>
    </xf>
    <xf numFmtId="0" fontId="0" fillId="3" borderId="11" xfId="0" applyFont="1" applyFill="1" applyBorder="1" applyAlignment="1">
      <alignment horizontal="left"/>
    </xf>
    <xf numFmtId="0" fontId="0" fillId="6" borderId="3" xfId="0" applyFont="1" applyFill="1" applyBorder="1" applyAlignment="1">
      <alignment horizontal="left"/>
    </xf>
    <xf numFmtId="0" fontId="0" fillId="6" borderId="4"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5" fillId="4" borderId="11" xfId="0" applyFont="1" applyFill="1" applyBorder="1" applyAlignment="1">
      <alignment horizontal="left"/>
    </xf>
    <xf numFmtId="0" fontId="2" fillId="0" borderId="12" xfId="0" applyFont="1" applyFill="1" applyBorder="1" applyAlignment="1">
      <alignment horizontal="left" vertical="top" wrapText="1"/>
    </xf>
    <xf numFmtId="0" fontId="0"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0" fillId="0" borderId="6" xfId="0" applyFont="1" applyFill="1" applyBorder="1" applyAlignment="1">
      <alignment horizontal="left"/>
    </xf>
    <xf numFmtId="0" fontId="0" fillId="0" borderId="10" xfId="0" applyFont="1" applyFill="1" applyBorder="1" applyAlignment="1">
      <alignment horizontal="left"/>
    </xf>
  </cellXfs>
  <cellStyles count="329">
    <cellStyle name="_%(SignOnly)" xfId="6"/>
    <cellStyle name="_%(SignSpaceOnly)" xfId="7"/>
    <cellStyle name="_Comma" xfId="8"/>
    <cellStyle name="_Currency" xfId="9"/>
    <cellStyle name="_CurrencySpace" xfId="10"/>
    <cellStyle name="_Euro" xfId="11"/>
    <cellStyle name="_Heading" xfId="12"/>
    <cellStyle name="_Heading_prestemp" xfId="13"/>
    <cellStyle name="_Heading_prestemp_1st Qtr PL FY07" xfId="14"/>
    <cellStyle name="_Heading_prestemp_Financial Statements" xfId="15"/>
    <cellStyle name="_Heading_prestemp_Financial Statementsvs1" xfId="16"/>
    <cellStyle name="_Highlight" xfId="17"/>
    <cellStyle name="_Multiple" xfId="18"/>
    <cellStyle name="_MultipleSpace" xfId="19"/>
    <cellStyle name="_SubHeading" xfId="20"/>
    <cellStyle name="_SubHeading_prestemp" xfId="21"/>
    <cellStyle name="_SubHeading_prestemp_1st Qtr PL FY07" xfId="22"/>
    <cellStyle name="_SubHeading_prestemp_Financial Statements" xfId="23"/>
    <cellStyle name="_SubHeading_prestemp_Financial Statementsvs1" xfId="24"/>
    <cellStyle name="_Table" xfId="25"/>
    <cellStyle name="_TableHead" xfId="26"/>
    <cellStyle name="_TableRowHead" xfId="27"/>
    <cellStyle name="_TableSuperHead" xfId="28"/>
    <cellStyle name="=C:\WINNT\SYSTEM32\COMMAND.COM" xfId="29"/>
    <cellStyle name="=C:\WINNT\SYSTEM32\COMMAND.COM 2" xfId="30"/>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77"/>
    <cellStyle name="Calc Currency (2)" xfId="78"/>
    <cellStyle name="Calc Currency (2) 2" xfId="79"/>
    <cellStyle name="Calc Percent (0)" xfId="80"/>
    <cellStyle name="Calc Percent (0) 2" xfId="81"/>
    <cellStyle name="Calc Percent (1)" xfId="82"/>
    <cellStyle name="Calc Percent (1) 2" xfId="83"/>
    <cellStyle name="Calc Percent (2)" xfId="84"/>
    <cellStyle name="Calc Percent (2) 2" xfId="85"/>
    <cellStyle name="Calc Units (0)" xfId="86"/>
    <cellStyle name="Calc Units (0) 2" xfId="87"/>
    <cellStyle name="Calc Units (1)" xfId="88"/>
    <cellStyle name="Calc Units (1) 2" xfId="89"/>
    <cellStyle name="Calc Units (2)" xfId="90"/>
    <cellStyle name="Calc Units (2) 2" xfId="91"/>
    <cellStyle name="Centered Heading" xfId="92"/>
    <cellStyle name="columns" xfId="93"/>
    <cellStyle name="Comma" xfId="1" builtinId="3"/>
    <cellStyle name="Comma  - Style1" xfId="94"/>
    <cellStyle name="Comma  - Style2" xfId="95"/>
    <cellStyle name="Comma  - Style3" xfId="96"/>
    <cellStyle name="Comma  - Style4" xfId="97"/>
    <cellStyle name="Comma  - Style5" xfId="98"/>
    <cellStyle name="Comma  - Style6" xfId="99"/>
    <cellStyle name="Comma  - Style7" xfId="100"/>
    <cellStyle name="Comma  - Style8" xfId="101"/>
    <cellStyle name="comma (0)" xfId="102"/>
    <cellStyle name="comma (0) 2" xfId="103"/>
    <cellStyle name="comma (0) 2 2" xfId="104"/>
    <cellStyle name="comma (0) 3" xfId="105"/>
    <cellStyle name="Comma [00]" xfId="106"/>
    <cellStyle name="Comma [00] 2" xfId="107"/>
    <cellStyle name="Comma 2" xfId="5"/>
    <cellStyle name="Comma 2 2" xfId="108"/>
    <cellStyle name="Comma 2 2 2" xfId="109"/>
    <cellStyle name="Comma 2 3" xfId="110"/>
    <cellStyle name="Comma 2 4" xfId="111"/>
    <cellStyle name="Comma 2 5" xfId="112"/>
    <cellStyle name="Comma 2 6" xfId="113"/>
    <cellStyle name="Comma 3" xfId="114"/>
    <cellStyle name="Comma 3 2" xfId="115"/>
    <cellStyle name="Comma 4" xfId="116"/>
    <cellStyle name="Comma 4 2" xfId="117"/>
    <cellStyle name="Comma 5" xfId="118"/>
    <cellStyle name="Comma 5 2" xfId="119"/>
    <cellStyle name="Comma Acctg" xfId="120"/>
    <cellStyle name="Comma Acctg 2" xfId="121"/>
    <cellStyle name="Comma0" xfId="122"/>
    <cellStyle name="Company Name" xfId="123"/>
    <cellStyle name="Contracts" xfId="124"/>
    <cellStyle name="CR Comma" xfId="125"/>
    <cellStyle name="CR Currency" xfId="126"/>
    <cellStyle name="curr" xfId="127"/>
    <cellStyle name="Currency [00]" xfId="128"/>
    <cellStyle name="Currency [00] 2" xfId="129"/>
    <cellStyle name="Currency 2" xfId="130"/>
    <cellStyle name="Currency Acctg" xfId="131"/>
    <cellStyle name="Currency0" xfId="132"/>
    <cellStyle name="Data" xfId="133"/>
    <cellStyle name="Date" xfId="134"/>
    <cellStyle name="Date Short" xfId="135"/>
    <cellStyle name="DateJoel" xfId="136"/>
    <cellStyle name="debbie" xfId="137"/>
    <cellStyle name="Dezimal [0]_laroux" xfId="138"/>
    <cellStyle name="Dezimal_laroux" xfId="139"/>
    <cellStyle name="Enter Currency (0)" xfId="140"/>
    <cellStyle name="Enter Currency (0) 2" xfId="141"/>
    <cellStyle name="Enter Currency (2)" xfId="142"/>
    <cellStyle name="Enter Currency (2) 2" xfId="143"/>
    <cellStyle name="Enter Units (0)" xfId="144"/>
    <cellStyle name="Enter Units (0) 2" xfId="145"/>
    <cellStyle name="Enter Units (1)" xfId="146"/>
    <cellStyle name="Enter Units (1) 2" xfId="147"/>
    <cellStyle name="Enter Units (2)" xfId="148"/>
    <cellStyle name="Enter Units (2) 2" xfId="149"/>
    <cellStyle name="eps" xfId="150"/>
    <cellStyle name="Euro" xfId="151"/>
    <cellStyle name="Grey" xfId="152"/>
    <cellStyle name="Header1" xfId="153"/>
    <cellStyle name="Header2" xfId="154"/>
    <cellStyle name="Header2 10" xfId="155"/>
    <cellStyle name="Header2 11" xfId="156"/>
    <cellStyle name="Header2 12" xfId="157"/>
    <cellStyle name="Header2 13" xfId="158"/>
    <cellStyle name="Header2 14" xfId="159"/>
    <cellStyle name="Header2 15" xfId="160"/>
    <cellStyle name="Header2 16" xfId="161"/>
    <cellStyle name="Header2 17" xfId="162"/>
    <cellStyle name="Header2 18" xfId="163"/>
    <cellStyle name="Header2 19" xfId="164"/>
    <cellStyle name="Header2 2" xfId="165"/>
    <cellStyle name="Header2 20" xfId="166"/>
    <cellStyle name="Header2 21" xfId="167"/>
    <cellStyle name="Header2 22" xfId="168"/>
    <cellStyle name="Header2 23" xfId="169"/>
    <cellStyle name="Header2 24" xfId="170"/>
    <cellStyle name="Header2 25" xfId="171"/>
    <cellStyle name="Header2 26" xfId="172"/>
    <cellStyle name="Header2 27" xfId="173"/>
    <cellStyle name="Header2 28" xfId="174"/>
    <cellStyle name="Header2 29" xfId="175"/>
    <cellStyle name="Header2 3" xfId="176"/>
    <cellStyle name="Header2 30" xfId="177"/>
    <cellStyle name="Header2 31" xfId="178"/>
    <cellStyle name="Header2 32" xfId="179"/>
    <cellStyle name="Header2 33" xfId="180"/>
    <cellStyle name="Header2 34" xfId="181"/>
    <cellStyle name="Header2 35" xfId="182"/>
    <cellStyle name="Header2 36" xfId="183"/>
    <cellStyle name="Header2 37" xfId="184"/>
    <cellStyle name="Header2 38" xfId="185"/>
    <cellStyle name="Header2 39" xfId="186"/>
    <cellStyle name="Header2 4" xfId="187"/>
    <cellStyle name="Header2 40" xfId="188"/>
    <cellStyle name="Header2 41" xfId="189"/>
    <cellStyle name="Header2 42" xfId="190"/>
    <cellStyle name="Header2 5" xfId="191"/>
    <cellStyle name="Header2 6" xfId="192"/>
    <cellStyle name="Header2 7" xfId="193"/>
    <cellStyle name="Header2 8" xfId="194"/>
    <cellStyle name="Header2 9" xfId="195"/>
    <cellStyle name="Heading" xfId="196"/>
    <cellStyle name="Heading 1 2" xfId="197"/>
    <cellStyle name="Heading 1 3" xfId="198"/>
    <cellStyle name="Heading 1 4" xfId="199"/>
    <cellStyle name="Heading 2 2" xfId="200"/>
    <cellStyle name="Heading 2 3" xfId="201"/>
    <cellStyle name="Heading 2 4" xfId="202"/>
    <cellStyle name="Heading No Underline" xfId="203"/>
    <cellStyle name="Heading With Underline" xfId="204"/>
    <cellStyle name="Hyperlink 2" xfId="205"/>
    <cellStyle name="Hyperlink 2 2" xfId="206"/>
    <cellStyle name="Hyperlink 2 2 2" xfId="207"/>
    <cellStyle name="Hyperlink 3" xfId="208"/>
    <cellStyle name="Hyperlink 4" xfId="209"/>
    <cellStyle name="Input [yellow]" xfId="210"/>
    <cellStyle name="Link Currency (0)" xfId="211"/>
    <cellStyle name="Link Currency (0) 2" xfId="212"/>
    <cellStyle name="Link Currency (2)" xfId="213"/>
    <cellStyle name="Link Currency (2) 2" xfId="214"/>
    <cellStyle name="Link Units (0)" xfId="215"/>
    <cellStyle name="Link Units (0) 2" xfId="216"/>
    <cellStyle name="Link Units (1)" xfId="217"/>
    <cellStyle name="Link Units (1) 2" xfId="218"/>
    <cellStyle name="Link Units (2)" xfId="219"/>
    <cellStyle name="Link Units (2) 2" xfId="220"/>
    <cellStyle name="Millares [0]_pldt" xfId="221"/>
    <cellStyle name="Millares_pldt" xfId="222"/>
    <cellStyle name="Milliers [0]_AR1194" xfId="223"/>
    <cellStyle name="Milliers_AR1194" xfId="224"/>
    <cellStyle name="Moneda [0]_pldt" xfId="225"/>
    <cellStyle name="Moneda_pldt" xfId="226"/>
    <cellStyle name="Monétaire [0]_AR1194" xfId="227"/>
    <cellStyle name="Monétaire_AR1194" xfId="228"/>
    <cellStyle name="negativ" xfId="229"/>
    <cellStyle name="no dec" xfId="230"/>
    <cellStyle name="nodollars" xfId="231"/>
    <cellStyle name="nodollars 2" xfId="232"/>
    <cellStyle name="Normal" xfId="0" builtinId="0"/>
    <cellStyle name="Normal - Style1" xfId="233"/>
    <cellStyle name="Normal - Style1 2" xfId="234"/>
    <cellStyle name="Normal - Style2" xfId="235"/>
    <cellStyle name="Normal - Style3" xfId="236"/>
    <cellStyle name="Normal - Style4" xfId="237"/>
    <cellStyle name="Normal - Style5" xfId="238"/>
    <cellStyle name="Normal 10" xfId="239"/>
    <cellStyle name="Normal 2" xfId="3"/>
    <cellStyle name="Normal 2 2" xfId="240"/>
    <cellStyle name="Normal 2 2 2" xfId="241"/>
    <cellStyle name="Normal 2 3" xfId="242"/>
    <cellStyle name="Normal 2 3 2" xfId="243"/>
    <cellStyle name="Normal 2 4" xfId="244"/>
    <cellStyle name="Normal 2 5" xfId="245"/>
    <cellStyle name="Normal 2 6" xfId="246"/>
    <cellStyle name="Normal 2 7" xfId="247"/>
    <cellStyle name="Normal 2 8" xfId="248"/>
    <cellStyle name="Normal 3" xfId="4"/>
    <cellStyle name="Normal 3 2" xfId="249"/>
    <cellStyle name="Normal 3 3" xfId="250"/>
    <cellStyle name="Normal 3 4" xfId="251"/>
    <cellStyle name="Normal 4" xfId="252"/>
    <cellStyle name="Normal 5" xfId="253"/>
    <cellStyle name="Normal 5 2" xfId="254"/>
    <cellStyle name="Normal 6" xfId="255"/>
    <cellStyle name="Normal 6 2" xfId="256"/>
    <cellStyle name="Normal 6 3" xfId="257"/>
    <cellStyle name="Normal 7" xfId="258"/>
    <cellStyle name="Normal 7 2" xfId="259"/>
    <cellStyle name="Normal 8" xfId="260"/>
    <cellStyle name="Normal 8 2" xfId="261"/>
    <cellStyle name="Normal 8 3" xfId="262"/>
    <cellStyle name="Normal 9" xfId="263"/>
    <cellStyle name="Number0DecimalStyle" xfId="264"/>
    <cellStyle name="Number0DecimalStyle 2" xfId="265"/>
    <cellStyle name="Number10DecimalStyle" xfId="266"/>
    <cellStyle name="Number1DecimalStyle" xfId="267"/>
    <cellStyle name="Number2DecimalStyle" xfId="268"/>
    <cellStyle name="Number2DecimalStyle 2" xfId="269"/>
    <cellStyle name="Number3DecimalStyle" xfId="270"/>
    <cellStyle name="Number4DecimalStyle" xfId="271"/>
    <cellStyle name="Number5DecimalStyle" xfId="272"/>
    <cellStyle name="Number6DecimalStyle" xfId="273"/>
    <cellStyle name="Number7DecimalStyle" xfId="274"/>
    <cellStyle name="Number8DecimalStyle" xfId="275"/>
    <cellStyle name="Number9DecimalStyle" xfId="276"/>
    <cellStyle name="over" xfId="277"/>
    <cellStyle name="Percent" xfId="2" builtinId="5"/>
    <cellStyle name="percent (0)" xfId="278"/>
    <cellStyle name="Percent [0]" xfId="279"/>
    <cellStyle name="Percent [0] 2" xfId="280"/>
    <cellStyle name="Percent [00]" xfId="281"/>
    <cellStyle name="Percent [00] 2" xfId="282"/>
    <cellStyle name="Percent [2]" xfId="283"/>
    <cellStyle name="Percent 10" xfId="284"/>
    <cellStyle name="Percent 2" xfId="285"/>
    <cellStyle name="Percent 2 2" xfId="286"/>
    <cellStyle name="Percent 2 3" xfId="287"/>
    <cellStyle name="Percent 2 4" xfId="288"/>
    <cellStyle name="Percent 3" xfId="289"/>
    <cellStyle name="Percent 3 2" xfId="290"/>
    <cellStyle name="Percent 4" xfId="291"/>
    <cellStyle name="Percent 6" xfId="292"/>
    <cellStyle name="PERCENTAGE" xfId="293"/>
    <cellStyle name="posit" xfId="294"/>
    <cellStyle name="Powerpoint Style" xfId="295"/>
    <cellStyle name="PrePop Currency (0)" xfId="296"/>
    <cellStyle name="PrePop Currency (0) 2" xfId="297"/>
    <cellStyle name="PrePop Currency (2)" xfId="298"/>
    <cellStyle name="PrePop Currency (2) 2" xfId="299"/>
    <cellStyle name="PrePop Units (0)" xfId="300"/>
    <cellStyle name="PrePop Units (0) 2" xfId="301"/>
    <cellStyle name="PrePop Units (1)" xfId="302"/>
    <cellStyle name="PrePop Units (1) 2" xfId="303"/>
    <cellStyle name="PrePop Units (2)" xfId="304"/>
    <cellStyle name="PrePop Units (2) 2" xfId="305"/>
    <cellStyle name="SingleTopDoubleBott" xfId="306"/>
    <cellStyle name="Standard_A" xfId="307"/>
    <cellStyle name="Style 1" xfId="308"/>
    <cellStyle name="Style 2" xfId="309"/>
    <cellStyle name="Style 3" xfId="310"/>
    <cellStyle name="Style 4" xfId="311"/>
    <cellStyle name="Text Indent A" xfId="312"/>
    <cellStyle name="Text Indent B" xfId="313"/>
    <cellStyle name="Text Indent B 2" xfId="314"/>
    <cellStyle name="Text Indent C" xfId="315"/>
    <cellStyle name="Text Indent C 2" xfId="316"/>
    <cellStyle name="TextStyle" xfId="317"/>
    <cellStyle name="Tickmark" xfId="318"/>
    <cellStyle name="TimStyle" xfId="319"/>
    <cellStyle name="Total 2" xfId="320"/>
    <cellStyle name="Total 3" xfId="321"/>
    <cellStyle name="Total 4" xfId="322"/>
    <cellStyle name="Underline" xfId="323"/>
    <cellStyle name="UnderlineDouble" xfId="324"/>
    <cellStyle name="Währung [0]_RESULTS" xfId="325"/>
    <cellStyle name="Währung_RESULTS" xfId="326"/>
    <cellStyle name="표준_BINV" xfId="327"/>
    <cellStyle name="標準_99B-05PE_IC2" xfId="3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310-4C02-A682-CB4713C95F63}"/>
            </c:ext>
          </c:extLst>
        </c:ser>
        <c:dLbls>
          <c:showLegendKey val="0"/>
          <c:showVal val="0"/>
          <c:showCatName val="0"/>
          <c:showSerName val="0"/>
          <c:showPercent val="0"/>
          <c:showBubbleSize val="0"/>
        </c:dLbls>
        <c:smooth val="0"/>
        <c:axId val="137716480"/>
        <c:axId val="137718400"/>
      </c:lineChart>
      <c:catAx>
        <c:axId val="13771648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7718400"/>
        <c:crosses val="autoZero"/>
        <c:auto val="1"/>
        <c:lblAlgn val="ctr"/>
        <c:lblOffset val="100"/>
        <c:tickLblSkip val="7"/>
        <c:noMultiLvlLbl val="1"/>
      </c:catAx>
      <c:valAx>
        <c:axId val="137718400"/>
        <c:scaling>
          <c:orientation val="minMax"/>
        </c:scaling>
        <c:delete val="0"/>
        <c:axPos val="l"/>
        <c:majorGridlines/>
        <c:numFmt formatCode="0.0\x" sourceLinked="0"/>
        <c:majorTickMark val="out"/>
        <c:minorTickMark val="none"/>
        <c:tickLblPos val="nextTo"/>
        <c:crossAx val="1377164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11</xdr:col>
      <xdr:colOff>718343</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106"/>
  <sheetViews>
    <sheetView showGridLines="0" tabSelected="1" zoomScaleNormal="100" workbookViewId="0">
      <selection activeCell="B2" sqref="B2:C2"/>
    </sheetView>
  </sheetViews>
  <sheetFormatPr defaultRowHeight="14.4" outlineLevelRow="1" outlineLevelCol="1" x14ac:dyDescent="0.3"/>
  <cols>
    <col min="1" max="1" width="1" customWidth="1"/>
    <col min="2" max="2" width="31.6640625" customWidth="1"/>
    <col min="3" max="3" width="26.109375" style="15" customWidth="1"/>
    <col min="4" max="7" width="11.5546875" style="1" hidden="1" customWidth="1" outlineLevel="1"/>
    <col min="8" max="8" width="11.5546875" style="1" customWidth="1" collapsed="1"/>
    <col min="9" max="10" width="11.5546875" style="1" hidden="1" customWidth="1" outlineLevel="1"/>
    <col min="11" max="12" width="11.5546875" style="4" hidden="1" customWidth="1" outlineLevel="1"/>
    <col min="13" max="13" width="11.5546875" style="4" customWidth="1" collapsed="1"/>
    <col min="14" max="15" width="11.5546875" style="1" customWidth="1" outlineLevel="1"/>
    <col min="16" max="17" width="11.5546875" style="4" customWidth="1" outlineLevel="1"/>
    <col min="18" max="18" width="11.5546875" style="4" customWidth="1"/>
    <col min="19" max="20" width="11.5546875" style="1" hidden="1" customWidth="1" outlineLevel="1"/>
    <col min="21" max="22" width="11.5546875" style="4" hidden="1" customWidth="1" outlineLevel="1"/>
    <col min="23" max="23" width="11.5546875" style="4" customWidth="1" collapsed="1"/>
    <col min="24" max="25" width="11.5546875" style="1" hidden="1" customWidth="1" outlineLevel="1"/>
    <col min="26" max="27" width="11.5546875" style="4" hidden="1" customWidth="1" outlineLevel="1"/>
    <col min="28" max="28" width="11.5546875" style="4" customWidth="1" collapsed="1"/>
  </cols>
  <sheetData>
    <row r="1" spans="2:58" s="117" customFormat="1" ht="6" customHeight="1" x14ac:dyDescent="0.3">
      <c r="C1" s="15"/>
      <c r="D1" s="118"/>
      <c r="E1" s="118"/>
      <c r="F1" s="118"/>
      <c r="G1" s="118"/>
      <c r="H1" s="118"/>
      <c r="I1" s="118"/>
      <c r="J1" s="118"/>
      <c r="K1" s="119"/>
      <c r="L1" s="119"/>
      <c r="M1" s="119"/>
      <c r="N1" s="118"/>
      <c r="O1" s="118"/>
      <c r="P1" s="119"/>
      <c r="Q1" s="119"/>
      <c r="R1" s="119"/>
      <c r="S1" s="118"/>
      <c r="T1" s="118"/>
      <c r="U1" s="119"/>
      <c r="V1" s="119"/>
      <c r="W1" s="119"/>
      <c r="X1" s="118"/>
      <c r="Y1" s="118"/>
      <c r="Z1" s="119"/>
      <c r="AA1" s="119"/>
      <c r="AB1" s="119"/>
    </row>
    <row r="2" spans="2:58" ht="45" customHeight="1" x14ac:dyDescent="0.3">
      <c r="B2" s="217" t="s">
        <v>113</v>
      </c>
      <c r="C2" s="218"/>
    </row>
    <row r="3" spans="2:58" x14ac:dyDescent="0.3">
      <c r="B3" s="221" t="s">
        <v>134</v>
      </c>
      <c r="C3" s="222"/>
      <c r="I3" s="16"/>
    </row>
    <row r="4" spans="2:58" x14ac:dyDescent="0.3">
      <c r="B4" s="223" t="s">
        <v>130</v>
      </c>
      <c r="C4" s="224"/>
      <c r="I4" s="16"/>
      <c r="BF4" s="144" t="s">
        <v>114</v>
      </c>
    </row>
    <row r="5" spans="2:58" x14ac:dyDescent="0.3">
      <c r="B5" s="195" t="s">
        <v>98</v>
      </c>
      <c r="C5" s="196">
        <f>C101</f>
        <v>116.60755760692938</v>
      </c>
      <c r="D5" s="115"/>
      <c r="I5" s="16"/>
      <c r="J5" s="16"/>
      <c r="K5" s="16"/>
      <c r="L5" s="27"/>
      <c r="M5" s="158"/>
      <c r="N5" s="27"/>
      <c r="O5" s="27"/>
      <c r="P5" s="27"/>
      <c r="Q5" s="16"/>
      <c r="R5" s="16"/>
      <c r="S5" s="16"/>
      <c r="T5" s="16"/>
      <c r="U5" s="16"/>
      <c r="V5" s="16"/>
      <c r="W5" s="16"/>
      <c r="X5" s="16"/>
      <c r="Y5" s="16"/>
      <c r="Z5" s="16"/>
      <c r="AA5" s="16"/>
      <c r="AB5" s="16"/>
    </row>
    <row r="6" spans="2:58" ht="4.5" customHeight="1" x14ac:dyDescent="0.3">
      <c r="C6" s="36"/>
      <c r="D6" s="121"/>
      <c r="E6" s="121"/>
      <c r="F6" s="121"/>
      <c r="G6" s="121"/>
      <c r="H6" s="121"/>
      <c r="I6" s="121"/>
      <c r="J6" s="25"/>
      <c r="K6" s="25"/>
      <c r="L6" s="25"/>
      <c r="M6" s="26"/>
      <c r="N6" s="25"/>
      <c r="O6" s="25"/>
      <c r="P6" s="25"/>
      <c r="Q6" s="27"/>
      <c r="R6" s="27"/>
      <c r="S6" s="25"/>
      <c r="T6" s="25"/>
      <c r="U6" s="25"/>
      <c r="V6" s="27"/>
      <c r="W6" s="27"/>
      <c r="X6" s="25"/>
      <c r="Y6" s="25"/>
      <c r="Z6" s="25"/>
      <c r="AA6" s="27"/>
      <c r="AB6" s="16"/>
    </row>
    <row r="7" spans="2:58" ht="15.6" x14ac:dyDescent="0.3">
      <c r="B7" s="203" t="s">
        <v>48</v>
      </c>
      <c r="C7" s="204"/>
      <c r="D7" s="52" t="s">
        <v>4</v>
      </c>
      <c r="E7" s="52" t="s">
        <v>3</v>
      </c>
      <c r="F7" s="52" t="s">
        <v>2</v>
      </c>
      <c r="G7" s="52" t="s">
        <v>5</v>
      </c>
      <c r="H7" s="52" t="s">
        <v>5</v>
      </c>
      <c r="I7" s="52" t="s">
        <v>6</v>
      </c>
      <c r="J7" s="52" t="s">
        <v>7</v>
      </c>
      <c r="K7" s="52" t="s">
        <v>8</v>
      </c>
      <c r="L7" s="52" t="s">
        <v>10</v>
      </c>
      <c r="M7" s="52" t="s">
        <v>10</v>
      </c>
      <c r="N7" s="52" t="s">
        <v>11</v>
      </c>
      <c r="O7" s="52" t="s">
        <v>12</v>
      </c>
      <c r="P7" s="52" t="s">
        <v>13</v>
      </c>
      <c r="Q7" s="59" t="s">
        <v>9</v>
      </c>
      <c r="R7" s="59" t="s">
        <v>9</v>
      </c>
      <c r="S7" s="59" t="s">
        <v>14</v>
      </c>
      <c r="T7" s="59" t="s">
        <v>15</v>
      </c>
      <c r="U7" s="59" t="s">
        <v>16</v>
      </c>
      <c r="V7" s="59" t="s">
        <v>17</v>
      </c>
      <c r="W7" s="59" t="s">
        <v>17</v>
      </c>
      <c r="X7" s="59" t="s">
        <v>18</v>
      </c>
      <c r="Y7" s="59" t="s">
        <v>19</v>
      </c>
      <c r="Z7" s="59" t="s">
        <v>20</v>
      </c>
      <c r="AA7" s="59" t="s">
        <v>21</v>
      </c>
      <c r="AB7" s="59" t="s">
        <v>21</v>
      </c>
    </row>
    <row r="8" spans="2:58" ht="16.2" x14ac:dyDescent="0.45">
      <c r="B8" s="207" t="s">
        <v>0</v>
      </c>
      <c r="C8" s="208"/>
      <c r="D8" s="53" t="s">
        <v>23</v>
      </c>
      <c r="E8" s="53" t="s">
        <v>24</v>
      </c>
      <c r="F8" s="53" t="s">
        <v>25</v>
      </c>
      <c r="G8" s="53" t="s">
        <v>26</v>
      </c>
      <c r="H8" s="55" t="s">
        <v>88</v>
      </c>
      <c r="I8" s="53" t="s">
        <v>27</v>
      </c>
      <c r="J8" s="53" t="s">
        <v>95</v>
      </c>
      <c r="K8" s="53" t="s">
        <v>96</v>
      </c>
      <c r="L8" s="53" t="s">
        <v>107</v>
      </c>
      <c r="M8" s="53" t="s">
        <v>108</v>
      </c>
      <c r="N8" s="53" t="s">
        <v>127</v>
      </c>
      <c r="O8" s="53" t="s">
        <v>128</v>
      </c>
      <c r="P8" s="53" t="s">
        <v>129</v>
      </c>
      <c r="Q8" s="60" t="s">
        <v>31</v>
      </c>
      <c r="R8" s="61" t="s">
        <v>32</v>
      </c>
      <c r="S8" s="60" t="s">
        <v>33</v>
      </c>
      <c r="T8" s="60" t="s">
        <v>34</v>
      </c>
      <c r="U8" s="60" t="s">
        <v>35</v>
      </c>
      <c r="V8" s="60" t="s">
        <v>36</v>
      </c>
      <c r="W8" s="61" t="s">
        <v>37</v>
      </c>
      <c r="X8" s="60" t="s">
        <v>38</v>
      </c>
      <c r="Y8" s="60" t="s">
        <v>39</v>
      </c>
      <c r="Z8" s="60" t="s">
        <v>40</v>
      </c>
      <c r="AA8" s="60" t="s">
        <v>41</v>
      </c>
      <c r="AB8" s="61" t="s">
        <v>42</v>
      </c>
    </row>
    <row r="9" spans="2:58" x14ac:dyDescent="0.3">
      <c r="B9" s="211" t="s">
        <v>49</v>
      </c>
      <c r="C9" s="212"/>
      <c r="D9" s="77">
        <v>1270.0889999999999</v>
      </c>
      <c r="E9" s="78">
        <v>1340.4069999999999</v>
      </c>
      <c r="F9" s="78">
        <v>1409.432</v>
      </c>
      <c r="G9" s="79">
        <v>1484.7280000000001</v>
      </c>
      <c r="H9" s="80">
        <f>SUM(D9:G9)</f>
        <v>5504.6559999999999</v>
      </c>
      <c r="I9" s="77">
        <v>1573.1289999999999</v>
      </c>
      <c r="J9" s="94">
        <v>1644.694</v>
      </c>
      <c r="K9" s="94">
        <v>1738.355</v>
      </c>
      <c r="L9" s="94">
        <v>1823.3330000000001</v>
      </c>
      <c r="M9" s="80">
        <f>SUM(I9:L9)</f>
        <v>6779.5110000000004</v>
      </c>
      <c r="N9" s="94">
        <v>1957.7360000000001</v>
      </c>
      <c r="O9" s="94">
        <v>2105.2040000000002</v>
      </c>
      <c r="P9" s="94">
        <v>2290.1880000000001</v>
      </c>
      <c r="Q9" s="94">
        <f>Q41+Q52+Q63</f>
        <v>2470</v>
      </c>
      <c r="R9" s="37">
        <f>SUM(N9:Q9)</f>
        <v>8823.1280000000006</v>
      </c>
      <c r="S9" s="94">
        <f>S41+S52+S63</f>
        <v>2590.5624142804381</v>
      </c>
      <c r="T9" s="94">
        <f>T41+T52+T63</f>
        <v>2784.0298900230123</v>
      </c>
      <c r="U9" s="94">
        <f>U41+U52+U63</f>
        <v>2888.4253995774998</v>
      </c>
      <c r="V9" s="94">
        <f>V41+V52+V63</f>
        <v>3096.5411332343374</v>
      </c>
      <c r="W9" s="37">
        <f>SUM(S9:V9)</f>
        <v>11359.558837115288</v>
      </c>
      <c r="X9" s="94">
        <f>X41+X52+X63</f>
        <v>3503.8222131090306</v>
      </c>
      <c r="Y9" s="94">
        <f>Y41+Y52+Y63</f>
        <v>4033.125315877161</v>
      </c>
      <c r="Z9" s="94">
        <f>Z41+Z52+Z63</f>
        <v>4566.8987149205777</v>
      </c>
      <c r="AA9" s="94">
        <f>AA41+AA52+AA63</f>
        <v>5363.2037049699265</v>
      </c>
      <c r="AB9" s="80">
        <f>SUM(X9:AA9)</f>
        <v>17467.049948876695</v>
      </c>
    </row>
    <row r="10" spans="2:58" s="49" customFormat="1" ht="17.25" customHeight="1" x14ac:dyDescent="0.45">
      <c r="B10" s="64" t="s">
        <v>50</v>
      </c>
      <c r="C10" s="65"/>
      <c r="D10" s="81">
        <v>869.18600000000004</v>
      </c>
      <c r="E10" s="82">
        <v>914.84799999999996</v>
      </c>
      <c r="F10" s="82">
        <v>954.39400000000001</v>
      </c>
      <c r="G10" s="83">
        <v>1014.332</v>
      </c>
      <c r="H10" s="84">
        <f>SUM(D10:G10)</f>
        <v>3752.7599999999998</v>
      </c>
      <c r="I10" s="81">
        <v>1046.4010000000001</v>
      </c>
      <c r="J10" s="95">
        <v>1121.752</v>
      </c>
      <c r="K10" s="95">
        <v>1173.9580000000001</v>
      </c>
      <c r="L10" s="95">
        <v>1249.365</v>
      </c>
      <c r="M10" s="84">
        <f>SUM(I10:L10)</f>
        <v>4591.4760000000006</v>
      </c>
      <c r="N10" s="95">
        <v>1369.54</v>
      </c>
      <c r="O10" s="95">
        <v>1473.098</v>
      </c>
      <c r="P10" s="95">
        <v>1532.8440000000001</v>
      </c>
      <c r="Q10" s="95">
        <f>Q43+Q54+Q65</f>
        <v>1672.6850000000002</v>
      </c>
      <c r="R10" s="58">
        <f>SUM(N10:Q10)</f>
        <v>6048.1670000000004</v>
      </c>
      <c r="S10" s="95">
        <f>S43+S54+S65</f>
        <v>1746.9261903016081</v>
      </c>
      <c r="T10" s="95">
        <f>T43+T54+T65</f>
        <v>1871.1391510404083</v>
      </c>
      <c r="U10" s="95">
        <f>U43+U54+U65</f>
        <v>1924.9505821352482</v>
      </c>
      <c r="V10" s="95">
        <f>V43+V54+V65</f>
        <v>2080.4006024067257</v>
      </c>
      <c r="W10" s="58">
        <f>SUM(S10:V10)</f>
        <v>7623.4165258839903</v>
      </c>
      <c r="X10" s="95">
        <f>X43+X54+X65</f>
        <v>2397.438446235305</v>
      </c>
      <c r="Y10" s="95">
        <f>Y43+Y54+Y65</f>
        <v>2809.1077846842745</v>
      </c>
      <c r="Z10" s="95">
        <f>Z43+Z54+Z65</f>
        <v>3229.5127578797265</v>
      </c>
      <c r="AA10" s="95">
        <f>AA43+AA54+AA65</f>
        <v>3857.7626482403221</v>
      </c>
      <c r="AB10" s="84">
        <f>SUM(X10:AA10)</f>
        <v>12293.821637039626</v>
      </c>
    </row>
    <row r="11" spans="2:58" s="28" customFormat="1" x14ac:dyDescent="0.3">
      <c r="B11" s="62" t="s">
        <v>51</v>
      </c>
      <c r="C11" s="63"/>
      <c r="D11" s="85">
        <f>D9-D10</f>
        <v>400.90299999999991</v>
      </c>
      <c r="E11" s="86">
        <f t="shared" ref="E11:AB11" si="0">E9-E10</f>
        <v>425.55899999999997</v>
      </c>
      <c r="F11" s="86">
        <f t="shared" si="0"/>
        <v>455.03800000000001</v>
      </c>
      <c r="G11" s="87">
        <f t="shared" si="0"/>
        <v>470.39600000000007</v>
      </c>
      <c r="H11" s="88">
        <f t="shared" si="0"/>
        <v>1751.8960000000002</v>
      </c>
      <c r="I11" s="85">
        <f t="shared" si="0"/>
        <v>526.72799999999984</v>
      </c>
      <c r="J11" s="96">
        <f t="shared" si="0"/>
        <v>522.94200000000001</v>
      </c>
      <c r="K11" s="96">
        <f t="shared" si="0"/>
        <v>564.39699999999993</v>
      </c>
      <c r="L11" s="96">
        <f t="shared" si="0"/>
        <v>573.96800000000007</v>
      </c>
      <c r="M11" s="88">
        <f t="shared" si="0"/>
        <v>2188.0349999999999</v>
      </c>
      <c r="N11" s="96">
        <f t="shared" si="0"/>
        <v>588.19600000000014</v>
      </c>
      <c r="O11" s="96">
        <f t="shared" si="0"/>
        <v>632.10600000000022</v>
      </c>
      <c r="P11" s="96">
        <f t="shared" si="0"/>
        <v>757.34400000000005</v>
      </c>
      <c r="Q11" s="96">
        <f t="shared" si="0"/>
        <v>797.31499999999983</v>
      </c>
      <c r="R11" s="38">
        <f t="shared" si="0"/>
        <v>2774.9610000000002</v>
      </c>
      <c r="S11" s="96">
        <f t="shared" si="0"/>
        <v>843.63622397883</v>
      </c>
      <c r="T11" s="96">
        <f t="shared" si="0"/>
        <v>912.89073898260403</v>
      </c>
      <c r="U11" s="96">
        <f t="shared" si="0"/>
        <v>963.47481744225161</v>
      </c>
      <c r="V11" s="96">
        <f t="shared" si="0"/>
        <v>1016.1405308276117</v>
      </c>
      <c r="W11" s="38">
        <f t="shared" si="0"/>
        <v>3736.1423112312978</v>
      </c>
      <c r="X11" s="96">
        <f t="shared" si="0"/>
        <v>1106.3837668737256</v>
      </c>
      <c r="Y11" s="96">
        <f t="shared" si="0"/>
        <v>1224.0175311928865</v>
      </c>
      <c r="Z11" s="96">
        <f t="shared" si="0"/>
        <v>1337.3859570408513</v>
      </c>
      <c r="AA11" s="96">
        <f t="shared" si="0"/>
        <v>1505.4410567296045</v>
      </c>
      <c r="AB11" s="88">
        <f t="shared" si="0"/>
        <v>5173.2283118370688</v>
      </c>
    </row>
    <row r="12" spans="2:58" x14ac:dyDescent="0.3">
      <c r="B12" s="211" t="s">
        <v>52</v>
      </c>
      <c r="C12" s="212"/>
      <c r="D12" s="89">
        <v>137.09800000000001</v>
      </c>
      <c r="E12" s="90">
        <v>120.76300000000001</v>
      </c>
      <c r="F12" s="90">
        <v>145.654</v>
      </c>
      <c r="G12" s="91">
        <v>203.67099999999999</v>
      </c>
      <c r="H12" s="92">
        <f>SUM(D12:G12)</f>
        <v>607.18599999999992</v>
      </c>
      <c r="I12" s="89">
        <v>194.67699999999999</v>
      </c>
      <c r="J12" s="94">
        <v>197.14</v>
      </c>
      <c r="K12" s="94">
        <v>208.102</v>
      </c>
      <c r="L12" s="97">
        <v>224.173</v>
      </c>
      <c r="M12" s="92">
        <f>SUM(I12:L12)</f>
        <v>824.09199999999998</v>
      </c>
      <c r="N12" s="98">
        <v>208.01</v>
      </c>
      <c r="O12" s="94">
        <v>216.029</v>
      </c>
      <c r="P12" s="94">
        <v>282.04300000000001</v>
      </c>
      <c r="Q12" s="97">
        <f>Q45+Q56+Q67</f>
        <v>292.375</v>
      </c>
      <c r="R12" s="120">
        <f>SUM(N12:Q12)</f>
        <v>998.45699999999999</v>
      </c>
      <c r="S12" s="98">
        <f>S45+S56+S67</f>
        <v>303.00798000000003</v>
      </c>
      <c r="T12" s="94">
        <f>T45+T56+T67</f>
        <v>313.88447260000004</v>
      </c>
      <c r="U12" s="94">
        <f>U45+U56+U67</f>
        <v>323.39008675200006</v>
      </c>
      <c r="V12" s="97">
        <f>V45+V56+V67</f>
        <v>345.5788495785601</v>
      </c>
      <c r="W12" s="120">
        <f>SUM(S12:V12)</f>
        <v>1285.8613889305602</v>
      </c>
      <c r="X12" s="98">
        <f>X45+X56+X67</f>
        <v>396.13516891444812</v>
      </c>
      <c r="Y12" s="94">
        <f>Y45+Y56+Y67</f>
        <v>469.23083570297388</v>
      </c>
      <c r="Z12" s="94">
        <f>Z45+Z56+Z67</f>
        <v>436.19188946612132</v>
      </c>
      <c r="AA12" s="97">
        <f>AA45+AA56+AA67</f>
        <v>511.46100237809492</v>
      </c>
      <c r="AB12" s="92">
        <f>SUM(X12:AA12)</f>
        <v>1813.0188964616384</v>
      </c>
    </row>
    <row r="13" spans="2:58" s="49" customFormat="1" x14ac:dyDescent="0.3">
      <c r="B13" s="107" t="s">
        <v>53</v>
      </c>
      <c r="C13" s="108"/>
      <c r="D13" s="89">
        <v>110.31</v>
      </c>
      <c r="E13" s="90">
        <v>115.182</v>
      </c>
      <c r="F13" s="90">
        <v>120.953</v>
      </c>
      <c r="G13" s="91">
        <v>125.876</v>
      </c>
      <c r="H13" s="92">
        <f>SUM(D13:G13)</f>
        <v>472.32100000000003</v>
      </c>
      <c r="I13" s="89">
        <v>143.10599999999999</v>
      </c>
      <c r="J13" s="94">
        <v>155.06100000000001</v>
      </c>
      <c r="K13" s="94">
        <v>171.762</v>
      </c>
      <c r="L13" s="97">
        <v>180.85900000000001</v>
      </c>
      <c r="M13" s="92">
        <f>SUM(I13:L13)</f>
        <v>650.78800000000001</v>
      </c>
      <c r="N13" s="98">
        <v>203.50800000000001</v>
      </c>
      <c r="O13" s="94">
        <v>207.3</v>
      </c>
      <c r="P13" s="94">
        <v>216.09899999999999</v>
      </c>
      <c r="Q13" s="97">
        <f>Q9*Q74</f>
        <v>219.39000000000038</v>
      </c>
      <c r="R13" s="120">
        <f>SUM(N13:Q13)</f>
        <v>846.29700000000025</v>
      </c>
      <c r="S13" s="98">
        <f>S9*S74</f>
        <v>233.15061728523943</v>
      </c>
      <c r="T13" s="94">
        <f>T9*T74</f>
        <v>250.56269010207109</v>
      </c>
      <c r="U13" s="94">
        <f>U9*U74</f>
        <v>259.95828596197498</v>
      </c>
      <c r="V13" s="97">
        <f>V9*V74</f>
        <v>278.68870199109034</v>
      </c>
      <c r="W13" s="120">
        <f>SUM(S13:V13)</f>
        <v>1022.3602953403758</v>
      </c>
      <c r="X13" s="98">
        <f>X9*X74</f>
        <v>315.34399917981273</v>
      </c>
      <c r="Y13" s="94">
        <f>Y9*Y74</f>
        <v>362.98127842894451</v>
      </c>
      <c r="Z13" s="94">
        <f>Z9*Z74</f>
        <v>411.02088434285196</v>
      </c>
      <c r="AA13" s="97">
        <f>AA9*AA74</f>
        <v>482.68833344729336</v>
      </c>
      <c r="AB13" s="92">
        <f>SUM(X13:AA13)</f>
        <v>1572.0344953989027</v>
      </c>
    </row>
    <row r="14" spans="2:58" s="49" customFormat="1" ht="16.2" x14ac:dyDescent="0.45">
      <c r="B14" s="64" t="s">
        <v>54</v>
      </c>
      <c r="C14" s="65"/>
      <c r="D14" s="81">
        <v>55.9</v>
      </c>
      <c r="E14" s="82">
        <v>60.014000000000003</v>
      </c>
      <c r="F14" s="82">
        <v>78.024000000000001</v>
      </c>
      <c r="G14" s="83">
        <v>75.802999999999997</v>
      </c>
      <c r="H14" s="84">
        <f>SUM(D14:G14)</f>
        <v>269.74099999999999</v>
      </c>
      <c r="I14" s="81">
        <v>91.489000000000004</v>
      </c>
      <c r="J14" s="95">
        <v>95.906000000000006</v>
      </c>
      <c r="K14" s="95">
        <v>110.892</v>
      </c>
      <c r="L14" s="99">
        <v>109.042</v>
      </c>
      <c r="M14" s="84">
        <f>SUM(I14:L14)</f>
        <v>407.32900000000006</v>
      </c>
      <c r="N14" s="100">
        <v>127.22499999999999</v>
      </c>
      <c r="O14" s="95">
        <v>138.40700000000001</v>
      </c>
      <c r="P14" s="95">
        <v>153.166</v>
      </c>
      <c r="Q14" s="99">
        <f>Q9*Q75</f>
        <v>160.55000000000001</v>
      </c>
      <c r="R14" s="58">
        <f>SUM(N14:Q14)</f>
        <v>579.34799999999996</v>
      </c>
      <c r="S14" s="100">
        <f>S9*S75</f>
        <v>168.38655692822849</v>
      </c>
      <c r="T14" s="95">
        <f>T9*T75</f>
        <v>180.96194285149579</v>
      </c>
      <c r="U14" s="95">
        <f>U9*U75</f>
        <v>187.74765097253749</v>
      </c>
      <c r="V14" s="99">
        <f>V9*V75</f>
        <v>201.27517366023193</v>
      </c>
      <c r="W14" s="58">
        <f>SUM(S14:V14)</f>
        <v>738.37132441249378</v>
      </c>
      <c r="X14" s="100">
        <f>X9*X75</f>
        <v>227.74844385208701</v>
      </c>
      <c r="Y14" s="95">
        <f>Y9*Y75</f>
        <v>262.15314553201546</v>
      </c>
      <c r="Z14" s="95">
        <f>Z9*Z75</f>
        <v>296.84841646983756</v>
      </c>
      <c r="AA14" s="99">
        <f>AA9*AA75</f>
        <v>348.60824082304526</v>
      </c>
      <c r="AB14" s="84">
        <f>SUM(X14:AA14)</f>
        <v>1135.3582466769853</v>
      </c>
    </row>
    <row r="15" spans="2:58" s="28" customFormat="1" ht="16.2" x14ac:dyDescent="0.45">
      <c r="B15" s="64" t="s">
        <v>28</v>
      </c>
      <c r="C15" s="65"/>
      <c r="D15" s="81">
        <f>SUM(D12:D14)</f>
        <v>303.30799999999999</v>
      </c>
      <c r="E15" s="82">
        <f t="shared" ref="E15:I15" si="1">SUM(E12:E14)</f>
        <v>295.959</v>
      </c>
      <c r="F15" s="82">
        <f t="shared" si="1"/>
        <v>344.63099999999997</v>
      </c>
      <c r="G15" s="83">
        <f t="shared" si="1"/>
        <v>405.35</v>
      </c>
      <c r="H15" s="84">
        <f t="shared" si="1"/>
        <v>1349.248</v>
      </c>
      <c r="I15" s="56">
        <f t="shared" si="1"/>
        <v>429.27200000000005</v>
      </c>
      <c r="J15" s="159">
        <f>SUM(J12:J14)</f>
        <v>448.10700000000003</v>
      </c>
      <c r="K15" s="159">
        <f t="shared" ref="K15:Q15" si="2">SUM(K12:K14)</f>
        <v>490.75600000000003</v>
      </c>
      <c r="L15" s="160">
        <f t="shared" si="2"/>
        <v>514.07400000000007</v>
      </c>
      <c r="M15" s="58">
        <f t="shared" si="2"/>
        <v>1882.2090000000003</v>
      </c>
      <c r="N15" s="161">
        <f t="shared" si="2"/>
        <v>538.74300000000005</v>
      </c>
      <c r="O15" s="159">
        <f>SUM(O12:O14)</f>
        <v>561.73599999999999</v>
      </c>
      <c r="P15" s="159">
        <f t="shared" si="2"/>
        <v>651.30799999999999</v>
      </c>
      <c r="Q15" s="160">
        <f t="shared" si="2"/>
        <v>672.3150000000004</v>
      </c>
      <c r="R15" s="58">
        <f>SUM(R12:R14)</f>
        <v>2424.1020000000003</v>
      </c>
      <c r="S15" s="161">
        <f t="shared" ref="S15" si="3">SUM(S12:S14)</f>
        <v>704.54515421346798</v>
      </c>
      <c r="T15" s="159">
        <f t="shared" ref="T15" si="4">SUM(T12:T14)</f>
        <v>745.40910555356697</v>
      </c>
      <c r="U15" s="159">
        <f t="shared" ref="U15" si="5">SUM(U12:U14)</f>
        <v>771.09602368651258</v>
      </c>
      <c r="V15" s="160">
        <f t="shared" ref="V15" si="6">SUM(V12:V14)</f>
        <v>825.54272522988231</v>
      </c>
      <c r="W15" s="58">
        <f t="shared" ref="W15" si="7">SUM(W12:W14)</f>
        <v>3046.5930086834296</v>
      </c>
      <c r="X15" s="161">
        <f t="shared" ref="X15" si="8">SUM(X12:X14)</f>
        <v>939.22761194634779</v>
      </c>
      <c r="Y15" s="159">
        <f t="shared" ref="Y15" si="9">SUM(Y12:Y14)</f>
        <v>1094.3652596639338</v>
      </c>
      <c r="Z15" s="159">
        <f t="shared" ref="Z15" si="10">SUM(Z12:Z14)</f>
        <v>1144.0611902788107</v>
      </c>
      <c r="AA15" s="160">
        <f t="shared" ref="AA15" si="11">SUM(AA12:AA14)</f>
        <v>1342.7575766484335</v>
      </c>
      <c r="AB15" s="58">
        <f t="shared" ref="AB15" si="12">SUM(AB12:AB14)</f>
        <v>4520.4116385375264</v>
      </c>
    </row>
    <row r="16" spans="2:58" x14ac:dyDescent="0.3">
      <c r="B16" s="225" t="s">
        <v>91</v>
      </c>
      <c r="C16" s="226"/>
      <c r="D16" s="85">
        <f>D11-D15</f>
        <v>97.594999999999914</v>
      </c>
      <c r="E16" s="86">
        <f t="shared" ref="E16:AB16" si="13">E11-E15</f>
        <v>129.59999999999997</v>
      </c>
      <c r="F16" s="86">
        <f t="shared" si="13"/>
        <v>110.40700000000004</v>
      </c>
      <c r="G16" s="87">
        <f t="shared" si="13"/>
        <v>65.046000000000049</v>
      </c>
      <c r="H16" s="88">
        <f t="shared" si="13"/>
        <v>402.64800000000014</v>
      </c>
      <c r="I16" s="30">
        <f t="shared" si="13"/>
        <v>97.45599999999979</v>
      </c>
      <c r="J16" s="11">
        <f t="shared" si="13"/>
        <v>74.83499999999998</v>
      </c>
      <c r="K16" s="11">
        <f>K11-K15</f>
        <v>73.640999999999906</v>
      </c>
      <c r="L16" s="162">
        <f t="shared" si="13"/>
        <v>59.894000000000005</v>
      </c>
      <c r="M16" s="38">
        <f t="shared" si="13"/>
        <v>305.82599999999957</v>
      </c>
      <c r="N16" s="163">
        <f t="shared" si="13"/>
        <v>49.453000000000088</v>
      </c>
      <c r="O16" s="11">
        <f>O11-O15</f>
        <v>70.370000000000232</v>
      </c>
      <c r="P16" s="11">
        <f t="shared" si="13"/>
        <v>106.03600000000006</v>
      </c>
      <c r="Q16" s="165">
        <f t="shared" si="13"/>
        <v>124.99999999999943</v>
      </c>
      <c r="R16" s="38">
        <f>R11-R15</f>
        <v>350.85899999999992</v>
      </c>
      <c r="S16" s="163">
        <f t="shared" si="13"/>
        <v>139.09106976536202</v>
      </c>
      <c r="T16" s="11">
        <f t="shared" si="13"/>
        <v>167.48163342903706</v>
      </c>
      <c r="U16" s="11">
        <f t="shared" si="13"/>
        <v>192.37879375573903</v>
      </c>
      <c r="V16" s="162">
        <f t="shared" si="13"/>
        <v>190.59780559772935</v>
      </c>
      <c r="W16" s="38">
        <f t="shared" si="13"/>
        <v>689.54930254786814</v>
      </c>
      <c r="X16" s="163">
        <f t="shared" si="13"/>
        <v>167.15615492737777</v>
      </c>
      <c r="Y16" s="11">
        <f t="shared" si="13"/>
        <v>129.65227152895272</v>
      </c>
      <c r="Z16" s="11">
        <f t="shared" si="13"/>
        <v>193.32476676204055</v>
      </c>
      <c r="AA16" s="162">
        <f t="shared" si="13"/>
        <v>162.68348008117096</v>
      </c>
      <c r="AB16" s="38">
        <f t="shared" si="13"/>
        <v>652.81667329954234</v>
      </c>
    </row>
    <row r="17" spans="2:28" s="15" customFormat="1" ht="16.2" x14ac:dyDescent="0.45">
      <c r="B17" s="211" t="s">
        <v>121</v>
      </c>
      <c r="C17" s="212"/>
      <c r="D17" s="81">
        <f>D90</f>
        <v>27.440999999999999</v>
      </c>
      <c r="E17" s="82">
        <f t="shared" ref="E17:G17" si="14">E90</f>
        <v>29.285</v>
      </c>
      <c r="F17" s="82">
        <f t="shared" si="14"/>
        <v>29.878</v>
      </c>
      <c r="G17" s="83">
        <f t="shared" si="14"/>
        <v>30.251000000000001</v>
      </c>
      <c r="H17" s="84">
        <f>SUM(D17:G17)</f>
        <v>116.855</v>
      </c>
      <c r="I17" s="56">
        <f>I90</f>
        <v>27.440999999999999</v>
      </c>
      <c r="J17" s="57">
        <f t="shared" ref="J17:L17" si="15">J90</f>
        <v>28.59</v>
      </c>
      <c r="K17" s="57">
        <f t="shared" si="15"/>
        <v>32.834000000000003</v>
      </c>
      <c r="L17" s="164">
        <f t="shared" si="15"/>
        <v>35.86</v>
      </c>
      <c r="M17" s="58">
        <f>SUM(I17:L17)</f>
        <v>124.72500000000001</v>
      </c>
      <c r="N17" s="56">
        <f>N90</f>
        <v>42.421999999999997</v>
      </c>
      <c r="O17" s="57">
        <f t="shared" ref="O17:Q17" si="16">O90</f>
        <v>44.112000000000002</v>
      </c>
      <c r="P17" s="57">
        <f t="shared" si="16"/>
        <v>43.494999999999997</v>
      </c>
      <c r="Q17" s="164">
        <f t="shared" si="16"/>
        <v>46.93</v>
      </c>
      <c r="R17" s="58">
        <f>SUM(N17:Q17)</f>
        <v>176.959</v>
      </c>
      <c r="S17" s="56">
        <f>S90</f>
        <v>51.811248285608762</v>
      </c>
      <c r="T17" s="57">
        <f t="shared" ref="T17:V17" si="17">T90</f>
        <v>55.680597800460248</v>
      </c>
      <c r="U17" s="57">
        <f t="shared" si="17"/>
        <v>57.768507991549995</v>
      </c>
      <c r="V17" s="164">
        <f t="shared" si="17"/>
        <v>61.930822664686751</v>
      </c>
      <c r="W17" s="58">
        <f>SUM(S17:V17)</f>
        <v>227.19117674230577</v>
      </c>
      <c r="X17" s="56">
        <f>X90</f>
        <v>70.076444262180615</v>
      </c>
      <c r="Y17" s="57">
        <f t="shared" ref="Y17:AA17" si="18">Y90</f>
        <v>80.662506317543219</v>
      </c>
      <c r="Z17" s="57">
        <f t="shared" si="18"/>
        <v>91.337974298411552</v>
      </c>
      <c r="AA17" s="164">
        <f t="shared" si="18"/>
        <v>107.26407409939853</v>
      </c>
      <c r="AB17" s="58">
        <f>SUM(X17:AA17)</f>
        <v>349.3409989775339</v>
      </c>
    </row>
    <row r="18" spans="2:28" s="28" customFormat="1" x14ac:dyDescent="0.3">
      <c r="B18" s="225" t="s">
        <v>92</v>
      </c>
      <c r="C18" s="226"/>
      <c r="D18" s="85">
        <f t="shared" ref="D18:H18" si="19">D16+D17</f>
        <v>125.03599999999992</v>
      </c>
      <c r="E18" s="86">
        <f t="shared" si="19"/>
        <v>158.88499999999996</v>
      </c>
      <c r="F18" s="86">
        <f t="shared" si="19"/>
        <v>140.28500000000003</v>
      </c>
      <c r="G18" s="87">
        <f t="shared" si="19"/>
        <v>95.297000000000054</v>
      </c>
      <c r="H18" s="88">
        <f t="shared" si="19"/>
        <v>519.50300000000016</v>
      </c>
      <c r="I18" s="30">
        <f>I16+I17</f>
        <v>124.89699999999979</v>
      </c>
      <c r="J18" s="11">
        <f t="shared" ref="J18:AB18" si="20">J16+J17</f>
        <v>103.42499999999998</v>
      </c>
      <c r="K18" s="11">
        <f>K16+K17</f>
        <v>106.47499999999991</v>
      </c>
      <c r="L18" s="11">
        <f t="shared" si="20"/>
        <v>95.754000000000005</v>
      </c>
      <c r="M18" s="38">
        <f t="shared" si="20"/>
        <v>430.55099999999959</v>
      </c>
      <c r="N18" s="11">
        <f t="shared" si="20"/>
        <v>91.875000000000085</v>
      </c>
      <c r="O18" s="11">
        <f t="shared" si="20"/>
        <v>114.48200000000023</v>
      </c>
      <c r="P18" s="11">
        <f t="shared" si="20"/>
        <v>149.53100000000006</v>
      </c>
      <c r="Q18" s="11">
        <f t="shared" si="20"/>
        <v>171.92999999999944</v>
      </c>
      <c r="R18" s="38">
        <f t="shared" si="20"/>
        <v>527.81799999999998</v>
      </c>
      <c r="S18" s="11">
        <f t="shared" si="20"/>
        <v>190.90231805097079</v>
      </c>
      <c r="T18" s="11">
        <f t="shared" si="20"/>
        <v>223.16223122949731</v>
      </c>
      <c r="U18" s="11">
        <f t="shared" si="20"/>
        <v>250.14730174728902</v>
      </c>
      <c r="V18" s="11">
        <f t="shared" si="20"/>
        <v>252.52862826241611</v>
      </c>
      <c r="W18" s="38">
        <f t="shared" si="20"/>
        <v>916.74047929017388</v>
      </c>
      <c r="X18" s="11">
        <f t="shared" si="20"/>
        <v>237.23259918955839</v>
      </c>
      <c r="Y18" s="11">
        <f t="shared" si="20"/>
        <v>210.31477784649593</v>
      </c>
      <c r="Z18" s="11">
        <f t="shared" si="20"/>
        <v>284.66274106045211</v>
      </c>
      <c r="AA18" s="11">
        <f t="shared" si="20"/>
        <v>269.94755418056945</v>
      </c>
      <c r="AB18" s="38">
        <f t="shared" si="20"/>
        <v>1002.1576722770762</v>
      </c>
    </row>
    <row r="19" spans="2:28" s="15" customFormat="1" x14ac:dyDescent="0.3">
      <c r="B19" s="211" t="s">
        <v>55</v>
      </c>
      <c r="C19" s="212"/>
      <c r="D19" s="89">
        <v>-10.052</v>
      </c>
      <c r="E19" s="90">
        <v>-13.327999999999999</v>
      </c>
      <c r="F19" s="90">
        <v>-13.486000000000001</v>
      </c>
      <c r="G19" s="91">
        <v>-13.353</v>
      </c>
      <c r="H19" s="92">
        <f>SUM(D19:G19)</f>
        <v>-50.219000000000001</v>
      </c>
      <c r="I19" s="45">
        <v>-26.736999999999998</v>
      </c>
      <c r="J19" s="12">
        <v>-35.216999999999999</v>
      </c>
      <c r="K19" s="12">
        <v>-35.332999999999998</v>
      </c>
      <c r="L19" s="12">
        <v>-35.429000000000002</v>
      </c>
      <c r="M19" s="120">
        <f>SUM(I19:L19)</f>
        <v>-132.71600000000001</v>
      </c>
      <c r="N19" s="12">
        <v>-35.536999999999999</v>
      </c>
      <c r="O19" s="12">
        <v>-35.454999999999998</v>
      </c>
      <c r="P19" s="12">
        <v>-35.536000000000001</v>
      </c>
      <c r="Q19" s="12">
        <f>Q76</f>
        <v>-35.4955</v>
      </c>
      <c r="R19" s="120">
        <f>SUM(N19:Q19)</f>
        <v>-142.02349999999998</v>
      </c>
      <c r="S19" s="12">
        <f t="shared" ref="S19:V19" si="21">S76</f>
        <v>-35.4955</v>
      </c>
      <c r="T19" s="12">
        <f t="shared" si="21"/>
        <v>-35.4955</v>
      </c>
      <c r="U19" s="12">
        <f t="shared" si="21"/>
        <v>-35.4955</v>
      </c>
      <c r="V19" s="12">
        <f t="shared" si="21"/>
        <v>-35.4955</v>
      </c>
      <c r="W19" s="120">
        <f>SUM(S19:V19)</f>
        <v>-141.982</v>
      </c>
      <c r="X19" s="12">
        <f t="shared" ref="X19:AA19" si="22">X76</f>
        <v>-35.4955</v>
      </c>
      <c r="Y19" s="12">
        <f t="shared" si="22"/>
        <v>-35.4955</v>
      </c>
      <c r="Z19" s="12">
        <f t="shared" si="22"/>
        <v>-35.4955</v>
      </c>
      <c r="AA19" s="12">
        <f t="shared" si="22"/>
        <v>-35.4955</v>
      </c>
      <c r="AB19" s="120">
        <f>SUM(X19:AA19)</f>
        <v>-141.982</v>
      </c>
    </row>
    <row r="20" spans="2:28" s="15" customFormat="1" ht="16.2" x14ac:dyDescent="0.45">
      <c r="B20" s="211" t="s">
        <v>43</v>
      </c>
      <c r="C20" s="212"/>
      <c r="D20" s="81">
        <v>1.401</v>
      </c>
      <c r="E20" s="82">
        <v>1.1000000000000001</v>
      </c>
      <c r="F20" s="82">
        <v>0.61599999999999999</v>
      </c>
      <c r="G20" s="83">
        <v>-6.1769999999999996</v>
      </c>
      <c r="H20" s="84">
        <f>SUM(D20:G20)</f>
        <v>-3.0599999999999992</v>
      </c>
      <c r="I20" s="56">
        <v>-32.292999999999999</v>
      </c>
      <c r="J20" s="159">
        <v>0.872</v>
      </c>
      <c r="K20" s="159">
        <v>3.93</v>
      </c>
      <c r="L20" s="159">
        <v>-3.734</v>
      </c>
      <c r="M20" s="58">
        <f>SUM(I20:L20)</f>
        <v>-31.225000000000001</v>
      </c>
      <c r="N20" s="159">
        <v>25.963000000000001</v>
      </c>
      <c r="O20" s="159">
        <v>16.317</v>
      </c>
      <c r="P20" s="159">
        <v>8.6270000000000007</v>
      </c>
      <c r="Q20" s="159">
        <f>Q9*Q77</f>
        <v>-3.2366638461532937</v>
      </c>
      <c r="R20" s="58">
        <f>SUM(N20:Q20)</f>
        <v>47.670336153846712</v>
      </c>
      <c r="S20" s="159">
        <f>S9*S77</f>
        <v>12.952812071402191</v>
      </c>
      <c r="T20" s="159">
        <f>T9*T77</f>
        <v>13.920149450115062</v>
      </c>
      <c r="U20" s="159">
        <f>U9*U77</f>
        <v>14.442126997887499</v>
      </c>
      <c r="V20" s="159">
        <f>V9*V77</f>
        <v>15.482705666171688</v>
      </c>
      <c r="W20" s="58">
        <f>SUM(S20:V20)</f>
        <v>56.797794185576443</v>
      </c>
      <c r="X20" s="159">
        <f>X9*X77</f>
        <v>17.519111065545154</v>
      </c>
      <c r="Y20" s="159">
        <f>Y9*Y77</f>
        <v>20.165626579385805</v>
      </c>
      <c r="Z20" s="159">
        <f>Z9*Z77</f>
        <v>22.834493574602888</v>
      </c>
      <c r="AA20" s="159">
        <f>AA9*AA77</f>
        <v>26.816018524849632</v>
      </c>
      <c r="AB20" s="58">
        <f>SUM(X20:AA20)</f>
        <v>87.335249744383475</v>
      </c>
    </row>
    <row r="21" spans="2:28" x14ac:dyDescent="0.3">
      <c r="B21" s="225" t="s">
        <v>56</v>
      </c>
      <c r="C21" s="226"/>
      <c r="D21" s="85">
        <f t="shared" ref="D21:AB21" si="23">D16+D19+D20</f>
        <v>88.943999999999917</v>
      </c>
      <c r="E21" s="86">
        <f t="shared" si="23"/>
        <v>117.37199999999996</v>
      </c>
      <c r="F21" s="86">
        <f t="shared" si="23"/>
        <v>97.537000000000035</v>
      </c>
      <c r="G21" s="87">
        <f t="shared" si="23"/>
        <v>45.516000000000048</v>
      </c>
      <c r="H21" s="88">
        <f t="shared" si="23"/>
        <v>349.36900000000014</v>
      </c>
      <c r="I21" s="30">
        <f t="shared" si="23"/>
        <v>38.425999999999796</v>
      </c>
      <c r="J21" s="11">
        <f t="shared" si="23"/>
        <v>40.489999999999981</v>
      </c>
      <c r="K21" s="11">
        <f t="shared" si="23"/>
        <v>42.237999999999907</v>
      </c>
      <c r="L21" s="11">
        <f t="shared" si="23"/>
        <v>20.731000000000002</v>
      </c>
      <c r="M21" s="38">
        <f t="shared" si="23"/>
        <v>141.88499999999956</v>
      </c>
      <c r="N21" s="11">
        <f t="shared" si="23"/>
        <v>39.87900000000009</v>
      </c>
      <c r="O21" s="11">
        <f t="shared" si="23"/>
        <v>51.232000000000234</v>
      </c>
      <c r="P21" s="11">
        <f t="shared" si="23"/>
        <v>79.127000000000052</v>
      </c>
      <c r="Q21" s="11">
        <f t="shared" si="23"/>
        <v>86.267836153846147</v>
      </c>
      <c r="R21" s="38">
        <f t="shared" si="23"/>
        <v>256.50583615384664</v>
      </c>
      <c r="S21" s="11">
        <f t="shared" si="23"/>
        <v>116.54838183676422</v>
      </c>
      <c r="T21" s="11">
        <f t="shared" si="23"/>
        <v>145.90628287915212</v>
      </c>
      <c r="U21" s="11">
        <f t="shared" si="23"/>
        <v>171.32542075362653</v>
      </c>
      <c r="V21" s="11">
        <f t="shared" si="23"/>
        <v>170.58501126390104</v>
      </c>
      <c r="W21" s="38">
        <f t="shared" si="23"/>
        <v>604.3650967334446</v>
      </c>
      <c r="X21" s="11">
        <f t="shared" si="23"/>
        <v>149.17976599292294</v>
      </c>
      <c r="Y21" s="11">
        <f t="shared" si="23"/>
        <v>114.32239810833853</v>
      </c>
      <c r="Z21" s="11">
        <f t="shared" si="23"/>
        <v>180.66376033664346</v>
      </c>
      <c r="AA21" s="11">
        <f t="shared" si="23"/>
        <v>154.00399860602059</v>
      </c>
      <c r="AB21" s="38">
        <f t="shared" si="23"/>
        <v>598.16992304392579</v>
      </c>
    </row>
    <row r="22" spans="2:28" ht="16.2" x14ac:dyDescent="0.45">
      <c r="B22" s="211" t="s">
        <v>57</v>
      </c>
      <c r="C22" s="212"/>
      <c r="D22" s="81">
        <v>35.829000000000001</v>
      </c>
      <c r="E22" s="82">
        <v>46.353999999999999</v>
      </c>
      <c r="F22" s="82">
        <v>38.241999999999997</v>
      </c>
      <c r="G22" s="83">
        <v>-37.854999999999997</v>
      </c>
      <c r="H22" s="84">
        <f>SUM(D22:G22)</f>
        <v>82.57</v>
      </c>
      <c r="I22" s="56">
        <v>14.73</v>
      </c>
      <c r="J22" s="159">
        <v>14.154999999999999</v>
      </c>
      <c r="K22" s="159">
        <v>12.805999999999999</v>
      </c>
      <c r="L22" s="159">
        <v>-22.446999999999999</v>
      </c>
      <c r="M22" s="148">
        <f>SUM(I22:L22)</f>
        <v>19.243999999999996</v>
      </c>
      <c r="N22" s="159">
        <v>12.221</v>
      </c>
      <c r="O22" s="159">
        <v>10.477</v>
      </c>
      <c r="P22" s="159">
        <v>27.61</v>
      </c>
      <c r="Q22" s="159">
        <f>Q21*Q78</f>
        <v>30.193742653846151</v>
      </c>
      <c r="R22" s="148">
        <f>SUM(N22:Q22)</f>
        <v>80.501742653846151</v>
      </c>
      <c r="S22" s="159">
        <f>S21*S78</f>
        <v>34.964514551029268</v>
      </c>
      <c r="T22" s="159">
        <f>T21*T78</f>
        <v>43.771884863745633</v>
      </c>
      <c r="U22" s="159">
        <f>U21*U78</f>
        <v>51.397626226087958</v>
      </c>
      <c r="V22" s="159">
        <f>V21*V78</f>
        <v>51.175503379170308</v>
      </c>
      <c r="W22" s="148">
        <f>SUM(S22:V22)</f>
        <v>181.30952902003315</v>
      </c>
      <c r="X22" s="159">
        <f>X21*X78</f>
        <v>44.753929797876879</v>
      </c>
      <c r="Y22" s="159">
        <f>Y21*Y78</f>
        <v>34.296719432501561</v>
      </c>
      <c r="Z22" s="159">
        <f>Z21*Z78</f>
        <v>54.199128100993036</v>
      </c>
      <c r="AA22" s="159">
        <f>AA21*AA78</f>
        <v>46.201199581806172</v>
      </c>
      <c r="AB22" s="148">
        <f>SUM(X22:AA22)</f>
        <v>179.45097691317767</v>
      </c>
    </row>
    <row r="23" spans="2:28" x14ac:dyDescent="0.3">
      <c r="B23" s="225" t="s">
        <v>30</v>
      </c>
      <c r="C23" s="226"/>
      <c r="D23" s="85">
        <f>D21-D22</f>
        <v>53.114999999999917</v>
      </c>
      <c r="E23" s="86">
        <f t="shared" ref="E23:AB23" si="24">E21-E22</f>
        <v>71.017999999999958</v>
      </c>
      <c r="F23" s="86">
        <f t="shared" si="24"/>
        <v>59.295000000000037</v>
      </c>
      <c r="G23" s="87">
        <f t="shared" si="24"/>
        <v>83.371000000000038</v>
      </c>
      <c r="H23" s="88">
        <f t="shared" si="24"/>
        <v>266.79900000000015</v>
      </c>
      <c r="I23" s="30">
        <f t="shared" si="24"/>
        <v>23.695999999999795</v>
      </c>
      <c r="J23" s="11">
        <f t="shared" si="24"/>
        <v>26.33499999999998</v>
      </c>
      <c r="K23" s="11">
        <f t="shared" si="24"/>
        <v>29.43199999999991</v>
      </c>
      <c r="L23" s="11">
        <f>L21-L22</f>
        <v>43.177999999999997</v>
      </c>
      <c r="M23" s="38">
        <f t="shared" si="24"/>
        <v>122.64099999999956</v>
      </c>
      <c r="N23" s="11">
        <f t="shared" si="24"/>
        <v>27.65800000000009</v>
      </c>
      <c r="O23" s="11">
        <f t="shared" si="24"/>
        <v>40.755000000000237</v>
      </c>
      <c r="P23" s="11">
        <f t="shared" si="24"/>
        <v>51.517000000000053</v>
      </c>
      <c r="Q23" s="166">
        <f t="shared" si="24"/>
        <v>56.074093499999996</v>
      </c>
      <c r="R23" s="38">
        <f t="shared" si="24"/>
        <v>176.00409350000049</v>
      </c>
      <c r="S23" s="11">
        <f t="shared" si="24"/>
        <v>81.583867285734954</v>
      </c>
      <c r="T23" s="11">
        <f t="shared" si="24"/>
        <v>102.13439801540648</v>
      </c>
      <c r="U23" s="11">
        <f t="shared" si="24"/>
        <v>119.92779452753857</v>
      </c>
      <c r="V23" s="11">
        <f t="shared" si="24"/>
        <v>119.40950788473073</v>
      </c>
      <c r="W23" s="38">
        <f t="shared" si="24"/>
        <v>423.05556771341145</v>
      </c>
      <c r="X23" s="11">
        <f t="shared" si="24"/>
        <v>104.42583619504606</v>
      </c>
      <c r="Y23" s="11">
        <f t="shared" si="24"/>
        <v>80.025678675836971</v>
      </c>
      <c r="Z23" s="11">
        <f t="shared" si="24"/>
        <v>126.46463223565043</v>
      </c>
      <c r="AA23" s="11">
        <f t="shared" si="24"/>
        <v>107.80279902421441</v>
      </c>
      <c r="AB23" s="38">
        <f t="shared" si="24"/>
        <v>418.71894613074812</v>
      </c>
    </row>
    <row r="24" spans="2:28" s="15" customFormat="1" ht="16.2" x14ac:dyDescent="0.45">
      <c r="B24" s="201" t="s">
        <v>119</v>
      </c>
      <c r="C24" s="202"/>
      <c r="D24" s="81">
        <f>D92</f>
        <v>0</v>
      </c>
      <c r="E24" s="82">
        <f t="shared" ref="E24:G24" si="25">E92</f>
        <v>0</v>
      </c>
      <c r="F24" s="82">
        <f t="shared" si="25"/>
        <v>0</v>
      </c>
      <c r="G24" s="83">
        <f t="shared" si="25"/>
        <v>-38.612000000000002</v>
      </c>
      <c r="H24" s="84">
        <f>SUM(D24:G24)</f>
        <v>-38.612000000000002</v>
      </c>
      <c r="I24" s="56">
        <f>I92</f>
        <v>0</v>
      </c>
      <c r="J24" s="57">
        <f t="shared" ref="J24:L24" si="26">J92</f>
        <v>0</v>
      </c>
      <c r="K24" s="57">
        <f t="shared" si="26"/>
        <v>0</v>
      </c>
      <c r="L24" s="164">
        <f t="shared" si="26"/>
        <v>-13.438000000000001</v>
      </c>
      <c r="M24" s="58">
        <f>SUM(I24:L24)</f>
        <v>-13.438000000000001</v>
      </c>
      <c r="N24" s="56">
        <f>N92</f>
        <v>0</v>
      </c>
      <c r="O24" s="57">
        <f t="shared" ref="O24:Q24" si="27">O92</f>
        <v>0</v>
      </c>
      <c r="P24" s="57">
        <f t="shared" si="27"/>
        <v>0</v>
      </c>
      <c r="Q24" s="164">
        <f t="shared" si="27"/>
        <v>0</v>
      </c>
      <c r="R24" s="58">
        <f>SUM(N24:Q24)</f>
        <v>0</v>
      </c>
      <c r="S24" s="56">
        <f>S92</f>
        <v>0</v>
      </c>
      <c r="T24" s="57">
        <f t="shared" ref="T24:V24" si="28">T92</f>
        <v>0</v>
      </c>
      <c r="U24" s="57">
        <f t="shared" si="28"/>
        <v>0</v>
      </c>
      <c r="V24" s="164">
        <f t="shared" si="28"/>
        <v>0</v>
      </c>
      <c r="W24" s="58">
        <f>SUM(S24:V24)</f>
        <v>0</v>
      </c>
      <c r="X24" s="56">
        <f>X92</f>
        <v>0</v>
      </c>
      <c r="Y24" s="57">
        <f t="shared" ref="Y24:AA24" si="29">Y92</f>
        <v>0</v>
      </c>
      <c r="Z24" s="57">
        <f t="shared" si="29"/>
        <v>0</v>
      </c>
      <c r="AA24" s="164">
        <f t="shared" si="29"/>
        <v>0</v>
      </c>
      <c r="AB24" s="58">
        <f>SUM(X24:AA24)</f>
        <v>0</v>
      </c>
    </row>
    <row r="25" spans="2:28" s="49" customFormat="1" x14ac:dyDescent="0.3">
      <c r="B25" s="213" t="s">
        <v>122</v>
      </c>
      <c r="C25" s="214"/>
      <c r="D25" s="85">
        <f>D23+D24</f>
        <v>53.114999999999917</v>
      </c>
      <c r="E25" s="86">
        <f t="shared" ref="E25:AB25" si="30">E23+E24</f>
        <v>71.017999999999958</v>
      </c>
      <c r="F25" s="86">
        <f t="shared" si="30"/>
        <v>59.295000000000037</v>
      </c>
      <c r="G25" s="87">
        <f t="shared" si="30"/>
        <v>44.759000000000036</v>
      </c>
      <c r="H25" s="88">
        <f t="shared" si="30"/>
        <v>228.18700000000015</v>
      </c>
      <c r="I25" s="30">
        <f t="shared" si="30"/>
        <v>23.695999999999795</v>
      </c>
      <c r="J25" s="11">
        <f t="shared" si="30"/>
        <v>26.33499999999998</v>
      </c>
      <c r="K25" s="11">
        <f t="shared" si="30"/>
        <v>29.43199999999991</v>
      </c>
      <c r="L25" s="11">
        <f t="shared" si="30"/>
        <v>29.739999999999995</v>
      </c>
      <c r="M25" s="38">
        <f t="shared" si="30"/>
        <v>109.20299999999956</v>
      </c>
      <c r="N25" s="11">
        <f t="shared" si="30"/>
        <v>27.65800000000009</v>
      </c>
      <c r="O25" s="11">
        <f t="shared" si="30"/>
        <v>40.755000000000237</v>
      </c>
      <c r="P25" s="11">
        <f t="shared" si="30"/>
        <v>51.517000000000053</v>
      </c>
      <c r="Q25" s="11">
        <f t="shared" si="30"/>
        <v>56.074093499999996</v>
      </c>
      <c r="R25" s="38">
        <f t="shared" si="30"/>
        <v>176.00409350000049</v>
      </c>
      <c r="S25" s="11">
        <f t="shared" si="30"/>
        <v>81.583867285734954</v>
      </c>
      <c r="T25" s="11">
        <f t="shared" si="30"/>
        <v>102.13439801540648</v>
      </c>
      <c r="U25" s="11">
        <f t="shared" si="30"/>
        <v>119.92779452753857</v>
      </c>
      <c r="V25" s="11">
        <f t="shared" si="30"/>
        <v>119.40950788473073</v>
      </c>
      <c r="W25" s="38">
        <f t="shared" si="30"/>
        <v>423.05556771341145</v>
      </c>
      <c r="X25" s="11">
        <f t="shared" si="30"/>
        <v>104.42583619504606</v>
      </c>
      <c r="Y25" s="11">
        <f t="shared" si="30"/>
        <v>80.025678675836971</v>
      </c>
      <c r="Z25" s="11">
        <f t="shared" si="30"/>
        <v>126.46463223565043</v>
      </c>
      <c r="AA25" s="11">
        <f t="shared" si="30"/>
        <v>107.80279902421441</v>
      </c>
      <c r="AB25" s="38">
        <f t="shared" si="30"/>
        <v>418.71894613074812</v>
      </c>
    </row>
    <row r="26" spans="2:28" s="117" customFormat="1" x14ac:dyDescent="0.3">
      <c r="B26" s="213" t="s">
        <v>115</v>
      </c>
      <c r="C26" s="214"/>
      <c r="D26" s="85">
        <f t="shared" ref="D26:F26" si="31">D18+D19+D20-D22+D24</f>
        <v>80.555999999999926</v>
      </c>
      <c r="E26" s="86">
        <f t="shared" si="31"/>
        <v>100.30299999999995</v>
      </c>
      <c r="F26" s="86">
        <f t="shared" si="31"/>
        <v>89.17300000000003</v>
      </c>
      <c r="G26" s="87">
        <f>G18+G19+G20-G22+G24</f>
        <v>75.010000000000048</v>
      </c>
      <c r="H26" s="88">
        <f t="shared" ref="H26:AB26" si="32">H18+H19+H20-H22+H24</f>
        <v>345.04200000000014</v>
      </c>
      <c r="I26" s="30">
        <f t="shared" si="32"/>
        <v>51.136999999999787</v>
      </c>
      <c r="J26" s="11">
        <f t="shared" si="32"/>
        <v>54.924999999999983</v>
      </c>
      <c r="K26" s="11">
        <f t="shared" si="32"/>
        <v>62.26599999999992</v>
      </c>
      <c r="L26" s="11">
        <f t="shared" si="32"/>
        <v>65.599999999999994</v>
      </c>
      <c r="M26" s="38">
        <f t="shared" si="32"/>
        <v>233.92799999999957</v>
      </c>
      <c r="N26" s="11">
        <f t="shared" si="32"/>
        <v>70.080000000000084</v>
      </c>
      <c r="O26" s="11">
        <f t="shared" si="32"/>
        <v>84.867000000000218</v>
      </c>
      <c r="P26" s="11">
        <f t="shared" si="32"/>
        <v>95.012000000000057</v>
      </c>
      <c r="Q26" s="11">
        <f t="shared" si="32"/>
        <v>103.00409349999998</v>
      </c>
      <c r="R26" s="38">
        <f t="shared" si="32"/>
        <v>352.96309350000058</v>
      </c>
      <c r="S26" s="11">
        <f t="shared" si="32"/>
        <v>133.39511557134369</v>
      </c>
      <c r="T26" s="11">
        <f t="shared" si="32"/>
        <v>157.81499581586672</v>
      </c>
      <c r="U26" s="11">
        <f t="shared" si="32"/>
        <v>177.69630251908856</v>
      </c>
      <c r="V26" s="11">
        <f t="shared" si="32"/>
        <v>181.3403305494175</v>
      </c>
      <c r="W26" s="38">
        <f t="shared" si="32"/>
        <v>650.24674445571713</v>
      </c>
      <c r="X26" s="11">
        <f t="shared" si="32"/>
        <v>174.50228045722668</v>
      </c>
      <c r="Y26" s="11">
        <f t="shared" si="32"/>
        <v>160.68818499338019</v>
      </c>
      <c r="Z26" s="11">
        <f t="shared" si="32"/>
        <v>217.80260653406197</v>
      </c>
      <c r="AA26" s="11">
        <f t="shared" si="32"/>
        <v>215.06687312361294</v>
      </c>
      <c r="AB26" s="38">
        <f t="shared" si="32"/>
        <v>768.05994510828202</v>
      </c>
    </row>
    <row r="27" spans="2:28" ht="15.75" customHeight="1" x14ac:dyDescent="0.3">
      <c r="B27" s="201" t="s">
        <v>58</v>
      </c>
      <c r="C27" s="202"/>
      <c r="D27" s="89">
        <v>418.71699999999998</v>
      </c>
      <c r="E27" s="90">
        <v>419.97399999999999</v>
      </c>
      <c r="F27" s="90">
        <v>421.19400000000002</v>
      </c>
      <c r="G27" s="91">
        <v>422.24400000000003</v>
      </c>
      <c r="H27" s="92">
        <f>AVERAGE(D27:G27)</f>
        <v>420.53224999999998</v>
      </c>
      <c r="I27" s="45">
        <v>423.62400000000002</v>
      </c>
      <c r="J27" s="12">
        <v>425.34</v>
      </c>
      <c r="K27" s="12">
        <v>426.86900000000003</v>
      </c>
      <c r="L27" s="12">
        <v>427.66800000000001</v>
      </c>
      <c r="M27" s="120">
        <f>AVERAGE(I27:L27)</f>
        <v>425.87525000000005</v>
      </c>
      <c r="N27" s="12">
        <v>428.11700000000002</v>
      </c>
      <c r="O27" s="12">
        <v>428.483</v>
      </c>
      <c r="P27" s="12">
        <v>428.93700000000001</v>
      </c>
      <c r="Q27" s="12">
        <f>P27*(1+Q80)</f>
        <v>430.0093425</v>
      </c>
      <c r="R27" s="120">
        <f>AVERAGE(N27:Q27)</f>
        <v>428.88658562500001</v>
      </c>
      <c r="S27" s="12">
        <f>Q27*(1+S80)</f>
        <v>431.08436585624997</v>
      </c>
      <c r="T27" s="12">
        <f t="shared" ref="T27:V28" si="33">S27*(1+T80)</f>
        <v>432.16207677089056</v>
      </c>
      <c r="U27" s="12">
        <f t="shared" si="33"/>
        <v>433.24248196281775</v>
      </c>
      <c r="V27" s="12">
        <f t="shared" si="33"/>
        <v>434.32558816772479</v>
      </c>
      <c r="W27" s="120">
        <f>AVERAGE(S27:V27)</f>
        <v>432.70362818942078</v>
      </c>
      <c r="X27" s="12">
        <f>V27*(1+X80)</f>
        <v>435.41140213814407</v>
      </c>
      <c r="Y27" s="12">
        <f t="shared" ref="Y27:AA28" si="34">X27*(1+Y80)</f>
        <v>436.49993064348939</v>
      </c>
      <c r="Z27" s="12">
        <f t="shared" si="34"/>
        <v>437.5911804700981</v>
      </c>
      <c r="AA27" s="12">
        <f t="shared" si="34"/>
        <v>438.68515842127334</v>
      </c>
      <c r="AB27" s="120">
        <f>AVERAGE(X27:AA27)</f>
        <v>437.04691791825127</v>
      </c>
    </row>
    <row r="28" spans="2:28" s="49" customFormat="1" ht="15.75" customHeight="1" x14ac:dyDescent="0.3">
      <c r="B28" s="201" t="s">
        <v>59</v>
      </c>
      <c r="C28" s="202"/>
      <c r="D28" s="89">
        <v>430.83499999999998</v>
      </c>
      <c r="E28" s="90">
        <v>431.44099999999997</v>
      </c>
      <c r="F28" s="90">
        <v>432.74200000000002</v>
      </c>
      <c r="G28" s="91">
        <v>432.51400000000001</v>
      </c>
      <c r="H28" s="92">
        <f>AVERAGE(D28:G28)</f>
        <v>431.88300000000004</v>
      </c>
      <c r="I28" s="45">
        <v>433.80900000000003</v>
      </c>
      <c r="J28" s="12">
        <v>436.09699999999998</v>
      </c>
      <c r="K28" s="12">
        <v>437.60599999999999</v>
      </c>
      <c r="L28" s="12">
        <v>438.25700000000001</v>
      </c>
      <c r="M28" s="120">
        <f>AVERAGE(I28:L28)</f>
        <v>436.44225</v>
      </c>
      <c r="N28" s="12">
        <v>437.99299999999999</v>
      </c>
      <c r="O28" s="12">
        <v>438.154</v>
      </c>
      <c r="P28" s="12">
        <v>438.38900000000001</v>
      </c>
      <c r="Q28" s="12">
        <f>P28*(1+Q81)</f>
        <v>439.48497249999997</v>
      </c>
      <c r="R28" s="120">
        <f>AVERAGE(N28:Q28)</f>
        <v>438.50524312499999</v>
      </c>
      <c r="S28" s="12">
        <f>Q28*(1+S81)</f>
        <v>440.58368493124993</v>
      </c>
      <c r="T28" s="12">
        <f t="shared" si="33"/>
        <v>441.68514414357804</v>
      </c>
      <c r="U28" s="12">
        <f t="shared" si="33"/>
        <v>442.78935700393697</v>
      </c>
      <c r="V28" s="12">
        <f t="shared" si="33"/>
        <v>443.89633039644679</v>
      </c>
      <c r="W28" s="120">
        <f>AVERAGE(S28:V28)</f>
        <v>442.23862911880292</v>
      </c>
      <c r="X28" s="12">
        <f>V28*(1+X81)</f>
        <v>445.00607122243787</v>
      </c>
      <c r="Y28" s="12">
        <f t="shared" si="34"/>
        <v>446.11858640049394</v>
      </c>
      <c r="Z28" s="12">
        <f t="shared" si="34"/>
        <v>447.23388286649515</v>
      </c>
      <c r="AA28" s="12">
        <f t="shared" si="34"/>
        <v>448.35196757366134</v>
      </c>
      <c r="AB28" s="120">
        <f>AVERAGE(X28:AA28)</f>
        <v>446.67762701577209</v>
      </c>
    </row>
    <row r="29" spans="2:28" x14ac:dyDescent="0.3">
      <c r="B29" s="213" t="s">
        <v>60</v>
      </c>
      <c r="C29" s="214"/>
      <c r="D29" s="46">
        <f t="shared" ref="D29:L29" si="35">D23/D27</f>
        <v>0.12685178772297259</v>
      </c>
      <c r="E29" s="6">
        <f t="shared" si="35"/>
        <v>0.16910094434417358</v>
      </c>
      <c r="F29" s="6">
        <f t="shared" si="35"/>
        <v>0.14077835866607794</v>
      </c>
      <c r="G29" s="47">
        <f t="shared" si="35"/>
        <v>0.19744744744744752</v>
      </c>
      <c r="H29" s="48">
        <f t="shared" si="35"/>
        <v>0.63443172313181728</v>
      </c>
      <c r="I29" s="46">
        <f t="shared" si="35"/>
        <v>5.5936396427019704E-2</v>
      </c>
      <c r="J29" s="111">
        <f t="shared" si="35"/>
        <v>6.1915173743358212E-2</v>
      </c>
      <c r="K29" s="111">
        <f t="shared" si="35"/>
        <v>6.8948553303238014E-2</v>
      </c>
      <c r="L29" s="111">
        <f t="shared" si="35"/>
        <v>0.10096149349495402</v>
      </c>
      <c r="M29" s="48">
        <f>SUM(I29:L29)</f>
        <v>0.28776161696856994</v>
      </c>
      <c r="N29" s="111">
        <f>N23/N27</f>
        <v>6.4603834932974141E-2</v>
      </c>
      <c r="O29" s="111">
        <f>O23/O27</f>
        <v>9.5114625317691104E-2</v>
      </c>
      <c r="P29" s="111">
        <f>P23/P27</f>
        <v>0.12010388471966758</v>
      </c>
      <c r="Q29" s="111">
        <f>Q23/Q27</f>
        <v>0.13040203539298684</v>
      </c>
      <c r="R29" s="48">
        <f>SUM(N29:Q29)</f>
        <v>0.41022438036331965</v>
      </c>
      <c r="S29" s="111">
        <f>S23/S27</f>
        <v>0.1892526701210501</v>
      </c>
      <c r="T29" s="111">
        <f>T23/T27</f>
        <v>0.2363335505478717</v>
      </c>
      <c r="U29" s="111">
        <f>U23/U27</f>
        <v>0.27681448500664613</v>
      </c>
      <c r="V29" s="111">
        <f>V23/V27</f>
        <v>0.27493086094346808</v>
      </c>
      <c r="W29" s="48">
        <f>SUM(S29:V29)</f>
        <v>0.97733156661903597</v>
      </c>
      <c r="X29" s="111">
        <f>X23/X27</f>
        <v>0.23983257140775247</v>
      </c>
      <c r="Y29" s="111">
        <f>Y23/Y27</f>
        <v>0.18333491727676313</v>
      </c>
      <c r="Z29" s="111">
        <f>Z23/Z27</f>
        <v>0.28900178495323248</v>
      </c>
      <c r="AA29" s="111">
        <f>AA23/AA27</f>
        <v>0.2457407025397709</v>
      </c>
      <c r="AB29" s="48">
        <f>SUM(X29:AA29)</f>
        <v>0.95790997617751894</v>
      </c>
    </row>
    <row r="30" spans="2:28" s="49" customFormat="1" x14ac:dyDescent="0.3">
      <c r="B30" s="213" t="s">
        <v>29</v>
      </c>
      <c r="C30" s="214"/>
      <c r="D30" s="6">
        <f t="shared" ref="D30:L30" si="36">D23/D28</f>
        <v>0.12328385576844945</v>
      </c>
      <c r="E30" s="6">
        <f t="shared" si="36"/>
        <v>0.16460651630234485</v>
      </c>
      <c r="F30" s="6">
        <f t="shared" si="36"/>
        <v>0.1370215971641302</v>
      </c>
      <c r="G30" s="6">
        <f t="shared" si="36"/>
        <v>0.1927590783188522</v>
      </c>
      <c r="H30" s="48">
        <f t="shared" si="36"/>
        <v>0.61775758712429085</v>
      </c>
      <c r="I30" s="6">
        <f t="shared" si="36"/>
        <v>5.4623117547122797E-2</v>
      </c>
      <c r="J30" s="111">
        <f t="shared" si="36"/>
        <v>6.038794121491315E-2</v>
      </c>
      <c r="K30" s="111">
        <f t="shared" si="36"/>
        <v>6.7256847483809432E-2</v>
      </c>
      <c r="L30" s="111">
        <f t="shared" si="36"/>
        <v>9.8522100046319852E-2</v>
      </c>
      <c r="M30" s="48">
        <f t="shared" ref="M30" si="37">SUM(I30:L30)</f>
        <v>0.28079000629216522</v>
      </c>
      <c r="N30" s="111">
        <f>N23/N28</f>
        <v>6.3147127922135948E-2</v>
      </c>
      <c r="O30" s="111">
        <f>O23/O28</f>
        <v>9.3015241216559102E-2</v>
      </c>
      <c r="P30" s="111">
        <f>P23/P28</f>
        <v>0.117514353690444</v>
      </c>
      <c r="Q30" s="123">
        <f>Q23/Q28</f>
        <v>0.12759046840901939</v>
      </c>
      <c r="R30" s="48">
        <f t="shared" ref="R30" si="38">SUM(N30:Q30)</f>
        <v>0.4012671912381584</v>
      </c>
      <c r="S30" s="111">
        <f>S23/S28</f>
        <v>0.18517223872796279</v>
      </c>
      <c r="T30" s="111">
        <f>T23/T28</f>
        <v>0.23123801959299264</v>
      </c>
      <c r="U30" s="111">
        <f>U23/U28</f>
        <v>0.27084615434076986</v>
      </c>
      <c r="V30" s="111">
        <f>V23/V28</f>
        <v>0.26900314264388103</v>
      </c>
      <c r="W30" s="48">
        <f t="shared" ref="W30" si="39">SUM(S30:V30)</f>
        <v>0.95625955530560636</v>
      </c>
      <c r="X30" s="111">
        <f>X23/X28</f>
        <v>0.23466159890400334</v>
      </c>
      <c r="Y30" s="111">
        <f>Y23/Y28</f>
        <v>0.17938207713227966</v>
      </c>
      <c r="Z30" s="111">
        <f>Z23/Z28</f>
        <v>0.28277068683859469</v>
      </c>
      <c r="AA30" s="111">
        <f>AA23/AA28</f>
        <v>0.24044234623884661</v>
      </c>
      <c r="AB30" s="48">
        <f t="shared" ref="AB30" si="40">SUM(X30:AA30)</f>
        <v>0.93725670911372438</v>
      </c>
    </row>
    <row r="31" spans="2:28" s="117" customFormat="1" x14ac:dyDescent="0.3">
      <c r="B31" s="145" t="s">
        <v>123</v>
      </c>
      <c r="C31" s="146"/>
      <c r="D31" s="6">
        <f>D25/D28</f>
        <v>0.12328385576844945</v>
      </c>
      <c r="E31" s="6">
        <f t="shared" ref="E31:AB31" si="41">E25/E28</f>
        <v>0.16460651630234485</v>
      </c>
      <c r="F31" s="6">
        <f t="shared" si="41"/>
        <v>0.1370215971641302</v>
      </c>
      <c r="G31" s="6">
        <f t="shared" si="41"/>
        <v>0.10348566751596489</v>
      </c>
      <c r="H31" s="48">
        <f t="shared" si="41"/>
        <v>0.52835374395380263</v>
      </c>
      <c r="I31" s="6">
        <f t="shared" si="41"/>
        <v>5.4623117547122797E-2</v>
      </c>
      <c r="J31" s="111">
        <f t="shared" si="41"/>
        <v>6.038794121491315E-2</v>
      </c>
      <c r="K31" s="111">
        <f t="shared" si="41"/>
        <v>6.7256847483809432E-2</v>
      </c>
      <c r="L31" s="111">
        <f t="shared" si="41"/>
        <v>6.7859726142423263E-2</v>
      </c>
      <c r="M31" s="48">
        <f t="shared" si="41"/>
        <v>0.25021179778080505</v>
      </c>
      <c r="N31" s="111">
        <f t="shared" si="41"/>
        <v>6.3147127922135948E-2</v>
      </c>
      <c r="O31" s="111">
        <f t="shared" si="41"/>
        <v>9.3015241216559102E-2</v>
      </c>
      <c r="P31" s="111">
        <f t="shared" si="41"/>
        <v>0.117514353690444</v>
      </c>
      <c r="Q31" s="111">
        <f t="shared" si="41"/>
        <v>0.12759046840901939</v>
      </c>
      <c r="R31" s="48">
        <f t="shared" si="41"/>
        <v>0.40137283706281451</v>
      </c>
      <c r="S31" s="111">
        <f t="shared" si="41"/>
        <v>0.18517223872796279</v>
      </c>
      <c r="T31" s="111">
        <f t="shared" si="41"/>
        <v>0.23123801959299264</v>
      </c>
      <c r="U31" s="111">
        <f t="shared" si="41"/>
        <v>0.27084615434076986</v>
      </c>
      <c r="V31" s="111">
        <f t="shared" si="41"/>
        <v>0.26900314264388103</v>
      </c>
      <c r="W31" s="48">
        <f t="shared" si="41"/>
        <v>0.95662282726496484</v>
      </c>
      <c r="X31" s="111">
        <f t="shared" si="41"/>
        <v>0.23466159890400334</v>
      </c>
      <c r="Y31" s="111">
        <f t="shared" si="41"/>
        <v>0.17938207713227966</v>
      </c>
      <c r="Z31" s="111">
        <f t="shared" si="41"/>
        <v>0.28277068683859469</v>
      </c>
      <c r="AA31" s="111">
        <f t="shared" si="41"/>
        <v>0.24044234623884661</v>
      </c>
      <c r="AB31" s="48">
        <f t="shared" si="41"/>
        <v>0.93740747421845516</v>
      </c>
    </row>
    <row r="32" spans="2:28" s="49" customFormat="1" x14ac:dyDescent="0.3">
      <c r="B32" s="219" t="s">
        <v>116</v>
      </c>
      <c r="C32" s="220"/>
      <c r="D32" s="66">
        <f>D26/D28</f>
        <v>0.18697645270231047</v>
      </c>
      <c r="E32" s="66">
        <f t="shared" ref="E32:AB32" si="42">E26/E28</f>
        <v>0.23248369997288149</v>
      </c>
      <c r="F32" s="66">
        <f t="shared" si="42"/>
        <v>0.20606504568542</v>
      </c>
      <c r="G32" s="66">
        <f t="shared" si="42"/>
        <v>0.17342791216006892</v>
      </c>
      <c r="H32" s="68">
        <f t="shared" si="42"/>
        <v>0.79892470877529354</v>
      </c>
      <c r="I32" s="66">
        <f t="shared" si="42"/>
        <v>0.11787906659382305</v>
      </c>
      <c r="J32" s="69">
        <f t="shared" si="42"/>
        <v>0.12594675037892941</v>
      </c>
      <c r="K32" s="69">
        <f t="shared" si="42"/>
        <v>0.14228781141026384</v>
      </c>
      <c r="L32" s="69">
        <f t="shared" si="42"/>
        <v>0.14968386129599753</v>
      </c>
      <c r="M32" s="68">
        <f t="shared" si="42"/>
        <v>0.53598843833290555</v>
      </c>
      <c r="N32" s="69">
        <f t="shared" si="42"/>
        <v>0.16000255711849296</v>
      </c>
      <c r="O32" s="69">
        <f t="shared" si="42"/>
        <v>0.19369217215864792</v>
      </c>
      <c r="P32" s="69">
        <f t="shared" si="42"/>
        <v>0.21672989057663411</v>
      </c>
      <c r="Q32" s="69">
        <f t="shared" si="42"/>
        <v>0.23437455190802908</v>
      </c>
      <c r="R32" s="68">
        <f t="shared" si="42"/>
        <v>0.80492331399418449</v>
      </c>
      <c r="S32" s="69">
        <f t="shared" si="42"/>
        <v>0.30276907687164833</v>
      </c>
      <c r="T32" s="69">
        <f t="shared" si="42"/>
        <v>0.35730202364371577</v>
      </c>
      <c r="U32" s="69">
        <f t="shared" si="42"/>
        <v>0.40131114198733692</v>
      </c>
      <c r="V32" s="69">
        <f t="shared" si="42"/>
        <v>0.40851955317463706</v>
      </c>
      <c r="W32" s="68">
        <f t="shared" si="42"/>
        <v>1.4703526594937841</v>
      </c>
      <c r="X32" s="69">
        <f t="shared" si="42"/>
        <v>0.39213460611417389</v>
      </c>
      <c r="Y32" s="69">
        <f t="shared" si="42"/>
        <v>0.36019163937977161</v>
      </c>
      <c r="Z32" s="69">
        <f t="shared" si="42"/>
        <v>0.48699934168243408</v>
      </c>
      <c r="AA32" s="69">
        <f t="shared" si="42"/>
        <v>0.47968312548618142</v>
      </c>
      <c r="AB32" s="68">
        <f t="shared" si="42"/>
        <v>1.7194949974093106</v>
      </c>
    </row>
    <row r="33" spans="2:28" s="49" customFormat="1" x14ac:dyDescent="0.3">
      <c r="B33" s="43"/>
      <c r="C33" s="43"/>
      <c r="D33" s="122">
        <f>D41+D52+D63-D9</f>
        <v>0</v>
      </c>
      <c r="E33" s="122">
        <f>E41+E52+E63-E9</f>
        <v>0</v>
      </c>
      <c r="F33" s="122">
        <f>F41+F52+F63-F9</f>
        <v>0</v>
      </c>
      <c r="G33" s="122">
        <f>G41+G52+G63-G9</f>
        <v>0</v>
      </c>
      <c r="H33" s="122"/>
      <c r="I33" s="122">
        <f>I41+I52+I63-I9</f>
        <v>0</v>
      </c>
      <c r="J33" s="122">
        <f>J41+J52+J63-J9</f>
        <v>0</v>
      </c>
      <c r="K33" s="122">
        <f>K41+K52+K63-K9</f>
        <v>0</v>
      </c>
      <c r="L33" s="122">
        <f>L41+L52+L63-L9</f>
        <v>0</v>
      </c>
      <c r="M33" s="93"/>
      <c r="N33" s="122">
        <f>N41+N52+N63-N9</f>
        <v>0</v>
      </c>
      <c r="O33" s="122">
        <f>O41+O52+O63-O9</f>
        <v>0</v>
      </c>
      <c r="P33" s="93"/>
      <c r="Q33" s="93"/>
      <c r="R33" s="93"/>
      <c r="S33" s="93"/>
      <c r="T33" s="93"/>
      <c r="U33" s="93"/>
      <c r="V33" s="93"/>
      <c r="W33" s="93"/>
      <c r="X33" s="93"/>
      <c r="Y33" s="93"/>
      <c r="Z33" s="93"/>
      <c r="AA33" s="93"/>
      <c r="AB33" s="93"/>
    </row>
    <row r="34" spans="2:28" hidden="1" x14ac:dyDescent="0.3">
      <c r="B34" s="39"/>
      <c r="C34" s="43"/>
      <c r="D34" s="66"/>
      <c r="E34" s="67"/>
      <c r="F34" s="67"/>
      <c r="G34" s="29"/>
      <c r="H34" s="29"/>
      <c r="I34" s="29"/>
      <c r="J34" s="29"/>
      <c r="K34" s="29"/>
      <c r="L34" s="29"/>
      <c r="M34" s="29"/>
      <c r="N34" s="29"/>
      <c r="O34" s="29"/>
      <c r="P34" s="29"/>
      <c r="Q34" s="29"/>
      <c r="R34" s="29"/>
      <c r="S34" s="29"/>
      <c r="T34" s="29"/>
      <c r="U34" s="29"/>
      <c r="V34" s="29"/>
      <c r="W34" s="29"/>
      <c r="X34" s="29"/>
      <c r="Y34" s="29"/>
      <c r="Z34" s="29"/>
      <c r="AA34" s="29"/>
      <c r="AB34" s="29"/>
    </row>
    <row r="35" spans="2:28" ht="15.6" x14ac:dyDescent="0.3">
      <c r="B35" s="203" t="s">
        <v>22</v>
      </c>
      <c r="C35" s="204"/>
      <c r="D35" s="52" t="s">
        <v>4</v>
      </c>
      <c r="E35" s="52" t="s">
        <v>3</v>
      </c>
      <c r="F35" s="52" t="s">
        <v>2</v>
      </c>
      <c r="G35" s="52" t="s">
        <v>5</v>
      </c>
      <c r="H35" s="52" t="s">
        <v>5</v>
      </c>
      <c r="I35" s="52" t="s">
        <v>6</v>
      </c>
      <c r="J35" s="52" t="s">
        <v>7</v>
      </c>
      <c r="K35" s="52" t="s">
        <v>8</v>
      </c>
      <c r="L35" s="52" t="s">
        <v>10</v>
      </c>
      <c r="M35" s="52" t="s">
        <v>10</v>
      </c>
      <c r="N35" s="52" t="s">
        <v>11</v>
      </c>
      <c r="O35" s="52" t="s">
        <v>12</v>
      </c>
      <c r="P35" s="52" t="s">
        <v>13</v>
      </c>
      <c r="Q35" s="59" t="s">
        <v>9</v>
      </c>
      <c r="R35" s="59" t="s">
        <v>9</v>
      </c>
      <c r="S35" s="59" t="s">
        <v>14</v>
      </c>
      <c r="T35" s="59" t="s">
        <v>15</v>
      </c>
      <c r="U35" s="59" t="s">
        <v>16</v>
      </c>
      <c r="V35" s="59" t="s">
        <v>17</v>
      </c>
      <c r="W35" s="59" t="s">
        <v>17</v>
      </c>
      <c r="X35" s="59" t="s">
        <v>18</v>
      </c>
      <c r="Y35" s="59" t="s">
        <v>19</v>
      </c>
      <c r="Z35" s="59" t="s">
        <v>20</v>
      </c>
      <c r="AA35" s="59" t="s">
        <v>21</v>
      </c>
      <c r="AB35" s="59" t="s">
        <v>21</v>
      </c>
    </row>
    <row r="36" spans="2:28" ht="16.2" x14ac:dyDescent="0.45">
      <c r="B36" s="207" t="s">
        <v>47</v>
      </c>
      <c r="C36" s="208"/>
      <c r="D36" s="53" t="s">
        <v>23</v>
      </c>
      <c r="E36" s="53" t="s">
        <v>24</v>
      </c>
      <c r="F36" s="53" t="s">
        <v>25</v>
      </c>
      <c r="G36" s="53" t="s">
        <v>26</v>
      </c>
      <c r="H36" s="55" t="s">
        <v>88</v>
      </c>
      <c r="I36" s="53" t="s">
        <v>27</v>
      </c>
      <c r="J36" s="53" t="s">
        <v>95</v>
      </c>
      <c r="K36" s="53" t="s">
        <v>96</v>
      </c>
      <c r="L36" s="53" t="s">
        <v>107</v>
      </c>
      <c r="M36" s="53" t="s">
        <v>108</v>
      </c>
      <c r="N36" s="53" t="s">
        <v>127</v>
      </c>
      <c r="O36" s="53" t="s">
        <v>128</v>
      </c>
      <c r="P36" s="53" t="s">
        <v>129</v>
      </c>
      <c r="Q36" s="60" t="s">
        <v>31</v>
      </c>
      <c r="R36" s="61" t="s">
        <v>32</v>
      </c>
      <c r="S36" s="60" t="s">
        <v>33</v>
      </c>
      <c r="T36" s="60" t="s">
        <v>34</v>
      </c>
      <c r="U36" s="60" t="s">
        <v>35</v>
      </c>
      <c r="V36" s="60" t="s">
        <v>36</v>
      </c>
      <c r="W36" s="61" t="s">
        <v>37</v>
      </c>
      <c r="X36" s="60" t="s">
        <v>38</v>
      </c>
      <c r="Y36" s="60" t="s">
        <v>39</v>
      </c>
      <c r="Z36" s="60" t="s">
        <v>40</v>
      </c>
      <c r="AA36" s="60" t="s">
        <v>41</v>
      </c>
      <c r="AB36" s="61" t="s">
        <v>42</v>
      </c>
    </row>
    <row r="37" spans="2:28" s="23" customFormat="1" x14ac:dyDescent="0.3">
      <c r="B37" s="215" t="s">
        <v>61</v>
      </c>
      <c r="C37" s="216"/>
      <c r="D37" s="76"/>
      <c r="E37" s="76"/>
      <c r="F37" s="76"/>
      <c r="G37" s="76"/>
      <c r="H37" s="14"/>
      <c r="I37" s="76"/>
      <c r="J37" s="76"/>
      <c r="K37" s="128"/>
      <c r="L37" s="76"/>
      <c r="M37" s="13"/>
      <c r="N37" s="76"/>
      <c r="O37" s="76"/>
      <c r="P37" s="75"/>
      <c r="Q37" s="76"/>
      <c r="R37" s="14"/>
      <c r="S37" s="168"/>
      <c r="T37" s="168"/>
      <c r="U37" s="168"/>
      <c r="V37" s="168"/>
      <c r="W37" s="14"/>
      <c r="X37" s="167"/>
      <c r="Y37" s="168"/>
      <c r="Z37" s="167"/>
      <c r="AA37" s="167"/>
      <c r="AB37" s="13"/>
    </row>
    <row r="38" spans="2:28" s="23" customFormat="1" hidden="1" outlineLevel="1" x14ac:dyDescent="0.3">
      <c r="B38" s="201" t="s">
        <v>75</v>
      </c>
      <c r="C38" s="202"/>
      <c r="D38" s="76">
        <v>34.377000000000002</v>
      </c>
      <c r="E38" s="76">
        <v>35.085000000000001</v>
      </c>
      <c r="F38" s="76">
        <v>36.265000000000001</v>
      </c>
      <c r="G38" s="76">
        <v>37.698</v>
      </c>
      <c r="H38" s="14"/>
      <c r="I38" s="76">
        <v>40.314999999999998</v>
      </c>
      <c r="J38" s="76">
        <v>41.057000000000002</v>
      </c>
      <c r="K38" s="128">
        <v>42.067999999999998</v>
      </c>
      <c r="L38" s="76">
        <v>43.401000000000003</v>
      </c>
      <c r="M38" s="13"/>
      <c r="N38" s="76">
        <v>45.713999999999999</v>
      </c>
      <c r="O38" s="76">
        <v>47.128999999999998</v>
      </c>
      <c r="P38" s="75">
        <v>47.497</v>
      </c>
      <c r="Q38" s="200">
        <f>P38*(1+Q39)</f>
        <v>48.946999999999996</v>
      </c>
      <c r="R38" s="13"/>
      <c r="S38" s="167">
        <f>Q38*(1+S39)</f>
        <v>50.904879999999999</v>
      </c>
      <c r="T38" s="168">
        <f>S38*(1+T39)</f>
        <v>51.922977600000003</v>
      </c>
      <c r="U38" s="167">
        <f t="shared" ref="U38" si="43">T38*(1+U39)</f>
        <v>52.961437152000002</v>
      </c>
      <c r="V38" s="167">
        <f>U38*(1+V39)</f>
        <v>54.550280266560002</v>
      </c>
      <c r="W38" s="13"/>
      <c r="X38" s="167">
        <f>V38*(1+X39)</f>
        <v>57.277794279888006</v>
      </c>
      <c r="Y38" s="168">
        <f>X38*(1+Y39)</f>
        <v>58.423350165485765</v>
      </c>
      <c r="Z38" s="167">
        <f t="shared" ref="Z38" si="44">Y38*(1+Z39)</f>
        <v>59.59181716879548</v>
      </c>
      <c r="AA38" s="167">
        <f>Z38*(1+AA39)</f>
        <v>61.379571683859346</v>
      </c>
      <c r="AB38" s="13"/>
    </row>
    <row r="39" spans="2:28" s="33" customFormat="1" hidden="1" outlineLevel="1" x14ac:dyDescent="0.3">
      <c r="B39" s="109" t="s">
        <v>63</v>
      </c>
      <c r="C39" s="110"/>
      <c r="D39" s="54">
        <f>D38/31.712-1</f>
        <v>8.4037588294652021E-2</v>
      </c>
      <c r="E39" s="54">
        <f>E38/D38-1</f>
        <v>2.0595165372196522E-2</v>
      </c>
      <c r="F39" s="54">
        <f t="shared" ref="F39:G39" si="45">F38/E38-1</f>
        <v>3.3632606527005837E-2</v>
      </c>
      <c r="G39" s="54">
        <f t="shared" si="45"/>
        <v>3.951468357920862E-2</v>
      </c>
      <c r="H39" s="73"/>
      <c r="I39" s="54">
        <f>I38/G38-1</f>
        <v>6.9420128388773872E-2</v>
      </c>
      <c r="J39" s="54">
        <f>J38/I38-1</f>
        <v>1.8405060151308605E-2</v>
      </c>
      <c r="K39" s="54">
        <f>K38/J38-1</f>
        <v>2.4624302798548214E-2</v>
      </c>
      <c r="L39" s="54">
        <f>L38/K38-1</f>
        <v>3.1686792811638442E-2</v>
      </c>
      <c r="M39" s="70"/>
      <c r="N39" s="54">
        <f>N38/L38-1</f>
        <v>5.3293702910071072E-2</v>
      </c>
      <c r="O39" s="54">
        <f>O38/N38-1</f>
        <v>3.0953318458240453E-2</v>
      </c>
      <c r="P39" s="54">
        <f>P38/O38-1</f>
        <v>7.8083557894290667E-3</v>
      </c>
      <c r="Q39" s="35">
        <v>3.0528243889087703E-2</v>
      </c>
      <c r="R39" s="70"/>
      <c r="S39" s="35">
        <v>0.04</v>
      </c>
      <c r="T39" s="35">
        <v>0.02</v>
      </c>
      <c r="U39" s="35">
        <v>0.02</v>
      </c>
      <c r="V39" s="35">
        <v>0.03</v>
      </c>
      <c r="W39" s="70"/>
      <c r="X39" s="35">
        <v>0.05</v>
      </c>
      <c r="Y39" s="35">
        <v>0.02</v>
      </c>
      <c r="Z39" s="35">
        <v>0.02</v>
      </c>
      <c r="AA39" s="35">
        <v>0.03</v>
      </c>
      <c r="AB39" s="70"/>
    </row>
    <row r="40" spans="2:28" s="23" customFormat="1" hidden="1" outlineLevel="1" x14ac:dyDescent="0.3">
      <c r="B40" s="105" t="s">
        <v>62</v>
      </c>
      <c r="C40" s="106"/>
      <c r="D40" s="76">
        <f>(D38+31.712)/2</f>
        <v>33.044499999999999</v>
      </c>
      <c r="E40" s="76">
        <f>AVERAGE(D38,E38)</f>
        <v>34.731000000000002</v>
      </c>
      <c r="F40" s="76">
        <f t="shared" ref="F40:J40" si="46">AVERAGE(E38,F38)</f>
        <v>35.674999999999997</v>
      </c>
      <c r="G40" s="76">
        <f t="shared" si="46"/>
        <v>36.981499999999997</v>
      </c>
      <c r="H40" s="14"/>
      <c r="I40" s="76">
        <f>AVERAGE(G38,I38)</f>
        <v>39.006500000000003</v>
      </c>
      <c r="J40" s="76">
        <f t="shared" si="46"/>
        <v>40.686</v>
      </c>
      <c r="K40" s="76">
        <f>AVERAGE(J38,K38)</f>
        <v>41.5625</v>
      </c>
      <c r="L40" s="76">
        <f>AVERAGE(K38,L38)</f>
        <v>42.734499999999997</v>
      </c>
      <c r="M40" s="13"/>
      <c r="N40" s="76">
        <f>AVERAGE(L38,N38)</f>
        <v>44.557500000000005</v>
      </c>
      <c r="O40" s="76">
        <v>46.003999999999998</v>
      </c>
      <c r="P40" s="76">
        <v>46.478999999999999</v>
      </c>
      <c r="Q40" s="200">
        <v>47.63</v>
      </c>
      <c r="R40" s="13"/>
      <c r="S40" s="167">
        <f>AVERAGE(Q38,S38)</f>
        <v>49.925939999999997</v>
      </c>
      <c r="T40" s="168">
        <f t="shared" ref="T40:V40" si="47">AVERAGE(S38,T38)</f>
        <v>51.413928800000001</v>
      </c>
      <c r="U40" s="168">
        <f t="shared" si="47"/>
        <v>52.442207375999999</v>
      </c>
      <c r="V40" s="168">
        <f t="shared" si="47"/>
        <v>53.755858709280005</v>
      </c>
      <c r="W40" s="13"/>
      <c r="X40" s="167">
        <f>AVERAGE(V38,X38)</f>
        <v>55.914037273224004</v>
      </c>
      <c r="Y40" s="168">
        <f t="shared" ref="Y40" si="48">AVERAGE(X38,Y38)</f>
        <v>57.850572222686885</v>
      </c>
      <c r="Z40" s="168">
        <f t="shared" ref="Z40" si="49">AVERAGE(Y38,Z38)</f>
        <v>59.007583667140622</v>
      </c>
      <c r="AA40" s="168">
        <f t="shared" ref="AA40" si="50">AVERAGE(Z38,AA38)</f>
        <v>60.485694426327413</v>
      </c>
      <c r="AB40" s="13"/>
    </row>
    <row r="41" spans="2:28" s="15" customFormat="1" hidden="1" outlineLevel="1" x14ac:dyDescent="0.3">
      <c r="B41" s="201" t="s">
        <v>66</v>
      </c>
      <c r="C41" s="202"/>
      <c r="D41" s="76">
        <v>798.61699999999996</v>
      </c>
      <c r="E41" s="76">
        <v>838.22500000000002</v>
      </c>
      <c r="F41" s="76">
        <v>877.15</v>
      </c>
      <c r="G41" s="76">
        <v>917.44200000000001</v>
      </c>
      <c r="H41" s="14"/>
      <c r="I41" s="76">
        <v>984.53200000000004</v>
      </c>
      <c r="J41" s="76">
        <v>1025.913</v>
      </c>
      <c r="K41" s="76">
        <v>1063.961</v>
      </c>
      <c r="L41" s="76">
        <v>1105.933</v>
      </c>
      <c r="M41" s="13"/>
      <c r="N41" s="76">
        <v>1161.241</v>
      </c>
      <c r="O41" s="76">
        <v>1208.271</v>
      </c>
      <c r="P41" s="76">
        <v>1304.3330000000001</v>
      </c>
      <c r="Q41" s="113">
        <f>Q40*Q42</f>
        <v>1397</v>
      </c>
      <c r="R41" s="13"/>
      <c r="S41" s="168">
        <f>S40*S42</f>
        <v>1447.8522599999999</v>
      </c>
      <c r="T41" s="168">
        <f>T40*T42</f>
        <v>1491.0039352000001</v>
      </c>
      <c r="U41" s="168">
        <f t="shared" ref="U41" si="51">U40*U42</f>
        <v>1520.8240139039999</v>
      </c>
      <c r="V41" s="168">
        <f t="shared" ref="V41" si="52">V40*V42</f>
        <v>1558.91990256912</v>
      </c>
      <c r="W41" s="13"/>
      <c r="X41" s="168">
        <f>X40*X42</f>
        <v>1621.507080923496</v>
      </c>
      <c r="Y41" s="168">
        <f>Y40*Y42</f>
        <v>1677.6665944579197</v>
      </c>
      <c r="Z41" s="168">
        <f t="shared" ref="Z41:AA41" si="53">Z40*Z42</f>
        <v>1711.2199263470779</v>
      </c>
      <c r="AA41" s="168">
        <f t="shared" si="53"/>
        <v>1754.0851383634949</v>
      </c>
      <c r="AB41" s="13"/>
    </row>
    <row r="42" spans="2:28" s="15" customFormat="1" hidden="1" outlineLevel="1" x14ac:dyDescent="0.3">
      <c r="B42" s="201" t="s">
        <v>64</v>
      </c>
      <c r="C42" s="202"/>
      <c r="D42" s="76">
        <f>D41/D40</f>
        <v>24.167925070737944</v>
      </c>
      <c r="E42" s="76">
        <f t="shared" ref="E42:G42" si="54">E41/E40</f>
        <v>24.134778727937576</v>
      </c>
      <c r="F42" s="76">
        <f t="shared" si="54"/>
        <v>24.587245970567626</v>
      </c>
      <c r="G42" s="76">
        <f t="shared" si="54"/>
        <v>24.808133796628045</v>
      </c>
      <c r="H42" s="14"/>
      <c r="I42" s="76">
        <f t="shared" ref="I42:P42" si="55">I41/I40</f>
        <v>25.240203555817619</v>
      </c>
      <c r="J42" s="76">
        <f t="shared" si="55"/>
        <v>25.215381212210588</v>
      </c>
      <c r="K42" s="76">
        <f t="shared" si="55"/>
        <v>25.59906165413534</v>
      </c>
      <c r="L42" s="76">
        <f t="shared" si="55"/>
        <v>25.879160865342993</v>
      </c>
      <c r="M42" s="13"/>
      <c r="N42" s="76">
        <f t="shared" si="55"/>
        <v>26.061628233181839</v>
      </c>
      <c r="O42" s="76">
        <f t="shared" si="55"/>
        <v>26.264477001999825</v>
      </c>
      <c r="P42" s="76">
        <f t="shared" si="55"/>
        <v>28.062845586178707</v>
      </c>
      <c r="Q42" s="74">
        <v>29.330254041570438</v>
      </c>
      <c r="R42" s="13"/>
      <c r="S42" s="169">
        <v>29</v>
      </c>
      <c r="T42" s="169">
        <v>29</v>
      </c>
      <c r="U42" s="169">
        <v>29</v>
      </c>
      <c r="V42" s="169">
        <v>29</v>
      </c>
      <c r="W42" s="13"/>
      <c r="X42" s="169">
        <v>29</v>
      </c>
      <c r="Y42" s="169">
        <v>29</v>
      </c>
      <c r="Z42" s="169">
        <v>29</v>
      </c>
      <c r="AA42" s="169">
        <v>29</v>
      </c>
      <c r="AB42" s="13"/>
    </row>
    <row r="43" spans="2:28" s="15" customFormat="1" hidden="1" outlineLevel="1" x14ac:dyDescent="0.3">
      <c r="B43" s="71" t="s">
        <v>89</v>
      </c>
      <c r="C43" s="72"/>
      <c r="D43" s="76">
        <v>517.09400000000005</v>
      </c>
      <c r="E43" s="76">
        <v>546.22299999999996</v>
      </c>
      <c r="F43" s="76">
        <v>565.25099999999998</v>
      </c>
      <c r="G43" s="76">
        <v>573.19299999999998</v>
      </c>
      <c r="H43" s="14"/>
      <c r="I43" s="76">
        <v>582.529</v>
      </c>
      <c r="J43" s="76">
        <v>612.69100000000003</v>
      </c>
      <c r="K43" s="76">
        <v>644.91399999999999</v>
      </c>
      <c r="L43" s="76">
        <v>647.05899999999997</v>
      </c>
      <c r="M43" s="13"/>
      <c r="N43" s="76">
        <v>666.54600000000005</v>
      </c>
      <c r="O43" s="76">
        <v>707.10599999999999</v>
      </c>
      <c r="P43" s="76">
        <v>720.65800000000002</v>
      </c>
      <c r="Q43" s="76">
        <f t="shared" ref="Q43" si="56">Q41*(1-Q44)</f>
        <v>782.32</v>
      </c>
      <c r="R43" s="13"/>
      <c r="S43" s="168">
        <f>S41*(1-S44)</f>
        <v>802.11015204</v>
      </c>
      <c r="T43" s="168">
        <f>T41*(1-T44)</f>
        <v>830.48919190639992</v>
      </c>
      <c r="U43" s="168">
        <f t="shared" ref="U43" si="57">U41*(1-U44)</f>
        <v>848.61979975843201</v>
      </c>
      <c r="V43" s="168">
        <f t="shared" ref="V43" si="58">V41*(1-V44)</f>
        <v>869.87730563356911</v>
      </c>
      <c r="W43" s="13"/>
      <c r="X43" s="168">
        <f>X41*(1-X44)</f>
        <v>924.25903612639286</v>
      </c>
      <c r="Y43" s="168">
        <f>Y41*(1-Y44)</f>
        <v>956.26995884101439</v>
      </c>
      <c r="Z43" s="168">
        <f t="shared" ref="Z43:AA43" si="59">Z41*(1-Z44)</f>
        <v>975.3953580178345</v>
      </c>
      <c r="AA43" s="168">
        <f t="shared" si="59"/>
        <v>999.82852886719218</v>
      </c>
      <c r="AB43" s="13"/>
    </row>
    <row r="44" spans="2:28" s="15" customFormat="1" hidden="1" outlineLevel="1" x14ac:dyDescent="0.3">
      <c r="B44" s="105" t="s">
        <v>90</v>
      </c>
      <c r="C44" s="106"/>
      <c r="D44" s="54">
        <f>(D41-D43)/D41</f>
        <v>0.35251315712037173</v>
      </c>
      <c r="E44" s="54">
        <f t="shared" ref="E44:G44" si="60">(E41-E43)/E41</f>
        <v>0.34835754123296259</v>
      </c>
      <c r="F44" s="54">
        <f t="shared" si="60"/>
        <v>0.35558228353189308</v>
      </c>
      <c r="G44" s="54">
        <f t="shared" si="60"/>
        <v>0.3752269898260599</v>
      </c>
      <c r="H44" s="73"/>
      <c r="I44" s="54">
        <f>(I41-I43)/I41</f>
        <v>0.40831887637984343</v>
      </c>
      <c r="J44" s="54">
        <f t="shared" ref="J44:N44" si="61">(J41-J43)/J41</f>
        <v>0.4027846415826683</v>
      </c>
      <c r="K44" s="54">
        <f t="shared" si="61"/>
        <v>0.39385560185006785</v>
      </c>
      <c r="L44" s="54">
        <f t="shared" si="61"/>
        <v>0.41492025285437728</v>
      </c>
      <c r="M44" s="70"/>
      <c r="N44" s="54">
        <f t="shared" si="61"/>
        <v>0.42600545450944288</v>
      </c>
      <c r="O44" s="54">
        <f>(O41-O43)/O41</f>
        <v>0.41477863823595862</v>
      </c>
      <c r="P44" s="54">
        <f>(P41-P43)/P41</f>
        <v>0.44748925312784393</v>
      </c>
      <c r="Q44" s="35">
        <v>0.44</v>
      </c>
      <c r="R44" s="70"/>
      <c r="S44" s="35">
        <v>0.44600000000000001</v>
      </c>
      <c r="T44" s="35">
        <v>0.443</v>
      </c>
      <c r="U44" s="35">
        <v>0.442</v>
      </c>
      <c r="V44" s="35">
        <v>0.442</v>
      </c>
      <c r="W44" s="70"/>
      <c r="X44" s="35">
        <v>0.43</v>
      </c>
      <c r="Y44" s="35">
        <v>0.43</v>
      </c>
      <c r="Z44" s="35">
        <v>0.43</v>
      </c>
      <c r="AA44" s="35">
        <v>0.43</v>
      </c>
      <c r="AB44" s="70"/>
    </row>
    <row r="45" spans="2:28" s="102" customFormat="1" hidden="1" outlineLevel="1" x14ac:dyDescent="0.3">
      <c r="B45" s="105" t="s">
        <v>67</v>
      </c>
      <c r="C45" s="101"/>
      <c r="D45" s="76">
        <v>80.257999999999996</v>
      </c>
      <c r="E45" s="76">
        <v>64.727000000000004</v>
      </c>
      <c r="F45" s="76">
        <v>61.045000000000002</v>
      </c>
      <c r="G45" s="76">
        <v>87.423000000000002</v>
      </c>
      <c r="H45" s="14"/>
      <c r="I45" s="76">
        <v>89.551000000000002</v>
      </c>
      <c r="J45" s="76">
        <v>73.427000000000007</v>
      </c>
      <c r="K45" s="76">
        <v>74.834999999999994</v>
      </c>
      <c r="L45" s="76">
        <v>79.832999999999998</v>
      </c>
      <c r="M45" s="13"/>
      <c r="N45" s="76">
        <v>81.941999999999993</v>
      </c>
      <c r="O45" s="76">
        <v>86.805999999999997</v>
      </c>
      <c r="P45" s="76">
        <v>108.495</v>
      </c>
      <c r="Q45" s="76">
        <f t="shared" ref="Q45" si="62">Q46*Q40</f>
        <v>99.187000000000012</v>
      </c>
      <c r="R45" s="13"/>
      <c r="S45" s="168">
        <f>S46*S40</f>
        <v>99.851879999999994</v>
      </c>
      <c r="T45" s="168">
        <f>T46*T40</f>
        <v>102.8278576</v>
      </c>
      <c r="U45" s="168">
        <f t="shared" ref="U45" si="63">U46*U40</f>
        <v>104.884414752</v>
      </c>
      <c r="V45" s="168">
        <f t="shared" ref="V45" si="64">V46*V40</f>
        <v>107.51171741856001</v>
      </c>
      <c r="W45" s="13"/>
      <c r="X45" s="168">
        <f>X46*X40</f>
        <v>111.82807454644801</v>
      </c>
      <c r="Y45" s="168">
        <f>Y46*Y40</f>
        <v>115.70114444537377</v>
      </c>
      <c r="Z45" s="168">
        <f t="shared" ref="Z45:AA45" si="65">Z46*Z40</f>
        <v>118.01516733428124</v>
      </c>
      <c r="AA45" s="168">
        <f t="shared" si="65"/>
        <v>120.97138885265483</v>
      </c>
      <c r="AB45" s="13"/>
    </row>
    <row r="46" spans="2:28" s="102" customFormat="1" hidden="1" outlineLevel="1" x14ac:dyDescent="0.3">
      <c r="B46" s="105" t="s">
        <v>68</v>
      </c>
      <c r="C46" s="101"/>
      <c r="D46" s="76">
        <f>D45/D40</f>
        <v>2.42878542571381</v>
      </c>
      <c r="E46" s="76">
        <f t="shared" ref="E46:I46" si="66">E45/E40</f>
        <v>1.8636664651176182</v>
      </c>
      <c r="F46" s="76">
        <f t="shared" si="66"/>
        <v>1.7111422564821306</v>
      </c>
      <c r="G46" s="76">
        <f t="shared" si="66"/>
        <v>2.3639657666671177</v>
      </c>
      <c r="H46" s="14"/>
      <c r="I46" s="76">
        <f t="shared" si="66"/>
        <v>2.2957968543704252</v>
      </c>
      <c r="J46" s="76">
        <f t="shared" ref="J46:L46" si="67">J45/J40</f>
        <v>1.8047239836798901</v>
      </c>
      <c r="K46" s="76">
        <f t="shared" si="67"/>
        <v>1.8005413533834584</v>
      </c>
      <c r="L46" s="76">
        <f t="shared" si="67"/>
        <v>1.8681159250722486</v>
      </c>
      <c r="M46" s="13"/>
      <c r="N46" s="76">
        <f t="shared" ref="N46:P46" si="68">N45/N40</f>
        <v>1.8390170005049651</v>
      </c>
      <c r="O46" s="76">
        <f t="shared" si="68"/>
        <v>1.8869228762716286</v>
      </c>
      <c r="P46" s="76">
        <f t="shared" si="68"/>
        <v>2.3342799974181889</v>
      </c>
      <c r="Q46" s="74">
        <v>2.0824480369515013</v>
      </c>
      <c r="R46" s="13"/>
      <c r="S46" s="74">
        <v>2</v>
      </c>
      <c r="T46" s="74">
        <v>2</v>
      </c>
      <c r="U46" s="74">
        <v>2</v>
      </c>
      <c r="V46" s="74">
        <v>2</v>
      </c>
      <c r="W46" s="13"/>
      <c r="X46" s="169">
        <v>2</v>
      </c>
      <c r="Y46" s="169">
        <v>2</v>
      </c>
      <c r="Z46" s="169">
        <v>2</v>
      </c>
      <c r="AA46" s="169">
        <v>2</v>
      </c>
      <c r="AB46" s="13"/>
    </row>
    <row r="47" spans="2:28" s="15" customFormat="1" hidden="1" outlineLevel="1" x14ac:dyDescent="0.3">
      <c r="B47" s="170" t="s">
        <v>65</v>
      </c>
      <c r="C47" s="171"/>
      <c r="D47" s="172">
        <f>(D41-D43-D45)/D41</f>
        <v>0.25201692425781064</v>
      </c>
      <c r="E47" s="172">
        <f>(E41-E43-E45)/E41</f>
        <v>0.27113841748933765</v>
      </c>
      <c r="F47" s="172">
        <f>(F41-F43-F45)/F41</f>
        <v>0.28598757339109615</v>
      </c>
      <c r="G47" s="172">
        <f>(G41-G43-G45)/G41</f>
        <v>0.27993704234164124</v>
      </c>
      <c r="H47" s="173"/>
      <c r="I47" s="172">
        <f>(I41-I43-I45)/I41</f>
        <v>0.317360939004522</v>
      </c>
      <c r="J47" s="172">
        <f>(J41-J43-J45)/J41</f>
        <v>0.33121229577946665</v>
      </c>
      <c r="K47" s="172">
        <f>(K41-K43-K45)/K41</f>
        <v>0.32351937712002604</v>
      </c>
      <c r="L47" s="172">
        <f>(L41-L43-L45)/L41</f>
        <v>0.34273414393096152</v>
      </c>
      <c r="M47" s="174"/>
      <c r="N47" s="172">
        <f>(N41-N43-N45)/N41</f>
        <v>0.35544129082593529</v>
      </c>
      <c r="O47" s="172">
        <f t="shared" ref="O47:P47" si="69">(O41-O43-O45)/O41</f>
        <v>0.34293548384427003</v>
      </c>
      <c r="P47" s="172">
        <f t="shared" si="69"/>
        <v>0.36430880764344692</v>
      </c>
      <c r="Q47" s="175">
        <f>(Q41-Q43-Q45)/Q41</f>
        <v>0.36899999999999994</v>
      </c>
      <c r="R47" s="174"/>
      <c r="S47" s="176">
        <f>(S41-S43-S45)/S41</f>
        <v>0.37703448275862067</v>
      </c>
      <c r="T47" s="172">
        <f>(T41-T43-T45)/T41</f>
        <v>0.37403448275862078</v>
      </c>
      <c r="U47" s="172">
        <f t="shared" ref="U47:V47" si="70">(U41-U43-U45)/U41</f>
        <v>0.37303448275862067</v>
      </c>
      <c r="V47" s="172">
        <f t="shared" si="70"/>
        <v>0.37303448275862061</v>
      </c>
      <c r="W47" s="174"/>
      <c r="X47" s="176">
        <f>(X41-X43-X45)/X41</f>
        <v>0.36103448275862066</v>
      </c>
      <c r="Y47" s="172">
        <f>(Y41-Y43-Y45)/Y41</f>
        <v>0.3610344827586206</v>
      </c>
      <c r="Z47" s="172">
        <f t="shared" ref="Z47:AA47" si="71">(Z41-Z43-Z45)/Z41</f>
        <v>0.36103448275862066</v>
      </c>
      <c r="AA47" s="172">
        <f t="shared" si="71"/>
        <v>0.36103448275862066</v>
      </c>
      <c r="AB47" s="174"/>
    </row>
    <row r="48" spans="2:28" s="17" customFormat="1" collapsed="1" x14ac:dyDescent="0.3">
      <c r="B48" s="156" t="s">
        <v>69</v>
      </c>
      <c r="C48" s="157"/>
      <c r="D48" s="54"/>
      <c r="E48" s="54"/>
      <c r="F48" s="54"/>
      <c r="G48" s="54"/>
      <c r="H48" s="73"/>
      <c r="I48" s="54"/>
      <c r="J48" s="54"/>
      <c r="K48" s="54"/>
      <c r="L48" s="54"/>
      <c r="M48" s="73"/>
      <c r="N48" s="54"/>
      <c r="O48" s="54"/>
      <c r="P48" s="54"/>
      <c r="Q48" s="54"/>
      <c r="R48" s="73"/>
      <c r="S48" s="54"/>
      <c r="T48" s="54"/>
      <c r="U48" s="54"/>
      <c r="V48" s="54"/>
      <c r="W48" s="73"/>
      <c r="X48" s="54"/>
      <c r="Y48" s="54"/>
      <c r="Z48" s="54"/>
      <c r="AA48" s="54"/>
      <c r="AB48" s="73"/>
    </row>
    <row r="49" spans="2:28" s="23" customFormat="1" hidden="1" outlineLevel="1" x14ac:dyDescent="0.3">
      <c r="B49" s="201" t="s">
        <v>76</v>
      </c>
      <c r="C49" s="202"/>
      <c r="D49" s="76">
        <v>11.755000000000001</v>
      </c>
      <c r="E49" s="76">
        <v>12.907</v>
      </c>
      <c r="F49" s="76">
        <v>14.388999999999999</v>
      </c>
      <c r="G49" s="76">
        <v>16.777999999999999</v>
      </c>
      <c r="H49" s="14"/>
      <c r="I49" s="76">
        <v>19.303999999999998</v>
      </c>
      <c r="J49" s="76">
        <v>21.649000000000001</v>
      </c>
      <c r="K49" s="76">
        <v>23.951000000000001</v>
      </c>
      <c r="L49" s="76">
        <v>27.437999999999999</v>
      </c>
      <c r="M49" s="13"/>
      <c r="N49" s="76">
        <v>31.992999999999999</v>
      </c>
      <c r="O49" s="76">
        <v>36.048000000000002</v>
      </c>
      <c r="P49" s="75">
        <v>39.246000000000002</v>
      </c>
      <c r="Q49" s="113">
        <f>P49*(1+Q50)</f>
        <v>42.996000000000002</v>
      </c>
      <c r="R49" s="13"/>
      <c r="S49" s="75">
        <f>Q49*(1+S50)</f>
        <v>47.295600000000007</v>
      </c>
      <c r="T49" s="76">
        <f>S49*(1+T50)</f>
        <v>52.025160000000014</v>
      </c>
      <c r="U49" s="75">
        <f t="shared" ref="U49" si="72">T49*(1+U50)</f>
        <v>57.227676000000017</v>
      </c>
      <c r="V49" s="75">
        <f>U49*(1+V50)</f>
        <v>61.805890080000019</v>
      </c>
      <c r="W49" s="13"/>
      <c r="X49" s="75">
        <f>V49*(1+X50)</f>
        <v>80.347657104000021</v>
      </c>
      <c r="Y49" s="76">
        <f>X49*(1+Y50)</f>
        <v>96.417188524800025</v>
      </c>
      <c r="Z49" s="75">
        <f t="shared" ref="Z49" si="73">Y49*(1+Z50)</f>
        <v>115.70062622976002</v>
      </c>
      <c r="AA49" s="75">
        <f>Z49*(1+AA50)</f>
        <v>144.62578278720002</v>
      </c>
      <c r="AB49" s="13"/>
    </row>
    <row r="50" spans="2:28" s="33" customFormat="1" hidden="1" outlineLevel="1" x14ac:dyDescent="0.3">
      <c r="B50" s="109" t="s">
        <v>63</v>
      </c>
      <c r="C50" s="110"/>
      <c r="D50" s="54">
        <f>D49/9.722-1</f>
        <v>0.20911335116231244</v>
      </c>
      <c r="E50" s="54">
        <f>E49/D49-1</f>
        <v>9.8000850701828846E-2</v>
      </c>
      <c r="F50" s="54">
        <f t="shared" ref="F50" si="74">F49/E49-1</f>
        <v>0.11482141473618968</v>
      </c>
      <c r="G50" s="54">
        <f t="shared" ref="G50" si="75">G49/F49-1</f>
        <v>0.16602960594898875</v>
      </c>
      <c r="H50" s="73"/>
      <c r="I50" s="54">
        <f>I49/G49-1</f>
        <v>0.15055429729407566</v>
      </c>
      <c r="J50" s="54">
        <f t="shared" ref="J50:L50" si="76">J49/I49-1</f>
        <v>0.12147741400745971</v>
      </c>
      <c r="K50" s="54">
        <f t="shared" si="76"/>
        <v>0.10633285602106324</v>
      </c>
      <c r="L50" s="54">
        <f t="shared" si="76"/>
        <v>0.14558891069266422</v>
      </c>
      <c r="M50" s="70"/>
      <c r="N50" s="54">
        <f>N49/L49-1</f>
        <v>0.16601064217508554</v>
      </c>
      <c r="O50" s="54">
        <f>O49/N49-1</f>
        <v>0.12674647579157949</v>
      </c>
      <c r="P50" s="54">
        <f>P49/O49-1</f>
        <v>8.8715046604527226E-2</v>
      </c>
      <c r="Q50" s="35">
        <v>9.5551138969576455E-2</v>
      </c>
      <c r="R50" s="70"/>
      <c r="S50" s="35">
        <v>0.1</v>
      </c>
      <c r="T50" s="35">
        <v>0.1</v>
      </c>
      <c r="U50" s="35">
        <v>0.1</v>
      </c>
      <c r="V50" s="35">
        <v>0.08</v>
      </c>
      <c r="W50" s="70"/>
      <c r="X50" s="35">
        <v>0.3</v>
      </c>
      <c r="Y50" s="35">
        <v>0.2</v>
      </c>
      <c r="Z50" s="35">
        <v>0.2</v>
      </c>
      <c r="AA50" s="35">
        <v>0.25</v>
      </c>
      <c r="AB50" s="70"/>
    </row>
    <row r="51" spans="2:28" s="23" customFormat="1" hidden="1" outlineLevel="1" x14ac:dyDescent="0.3">
      <c r="B51" s="105" t="s">
        <v>62</v>
      </c>
      <c r="C51" s="106"/>
      <c r="D51" s="76">
        <f>(D49+9.722)/2</f>
        <v>10.7385</v>
      </c>
      <c r="E51" s="76">
        <f>AVERAGE(D49,E49)</f>
        <v>12.331</v>
      </c>
      <c r="F51" s="76">
        <f t="shared" ref="F51:G51" si="77">AVERAGE(E49,F49)</f>
        <v>13.648</v>
      </c>
      <c r="G51" s="76">
        <f t="shared" si="77"/>
        <v>15.583499999999999</v>
      </c>
      <c r="H51" s="14"/>
      <c r="I51" s="76">
        <f>AVERAGE(G49,I49)</f>
        <v>18.040999999999997</v>
      </c>
      <c r="J51" s="76">
        <f t="shared" ref="J51" si="78">AVERAGE(I49,J49)</f>
        <v>20.476500000000001</v>
      </c>
      <c r="K51" s="76">
        <f t="shared" ref="K51:L51" si="79">AVERAGE(J49,K49)</f>
        <v>22.8</v>
      </c>
      <c r="L51" s="76">
        <f t="shared" si="79"/>
        <v>25.694499999999998</v>
      </c>
      <c r="M51" s="13"/>
      <c r="N51" s="76">
        <f>AVERAGE(L49,N49)</f>
        <v>29.715499999999999</v>
      </c>
      <c r="O51" s="76">
        <v>33.892000000000003</v>
      </c>
      <c r="P51" s="76">
        <v>36.798999999999999</v>
      </c>
      <c r="Q51" s="113">
        <v>40.15</v>
      </c>
      <c r="R51" s="13"/>
      <c r="S51" s="75">
        <f>AVERAGE(Q49,S49)</f>
        <v>45.145800000000008</v>
      </c>
      <c r="T51" s="76">
        <f t="shared" ref="T51:V51" si="80">AVERAGE(S49,T49)</f>
        <v>49.660380000000011</v>
      </c>
      <c r="U51" s="76">
        <f t="shared" si="80"/>
        <v>54.626418000000015</v>
      </c>
      <c r="V51" s="76">
        <f t="shared" si="80"/>
        <v>59.516783040000021</v>
      </c>
      <c r="W51" s="13"/>
      <c r="X51" s="75">
        <f>AVERAGE(V49,X49)</f>
        <v>71.076773592000023</v>
      </c>
      <c r="Y51" s="76">
        <f t="shared" ref="Y51" si="81">AVERAGE(X49,Y49)</f>
        <v>88.38242281440003</v>
      </c>
      <c r="Z51" s="76">
        <f t="shared" ref="Z51" si="82">AVERAGE(Y49,Z49)</f>
        <v>106.05890737728002</v>
      </c>
      <c r="AA51" s="76">
        <f t="shared" ref="AA51" si="83">AVERAGE(Z49,AA49)</f>
        <v>130.16320450848002</v>
      </c>
      <c r="AB51" s="13"/>
    </row>
    <row r="52" spans="2:28" s="15" customFormat="1" hidden="1" outlineLevel="1" x14ac:dyDescent="0.3">
      <c r="B52" s="201" t="s">
        <v>70</v>
      </c>
      <c r="C52" s="202"/>
      <c r="D52" s="76">
        <v>267.11799999999999</v>
      </c>
      <c r="E52" s="76">
        <v>307.46100000000001</v>
      </c>
      <c r="F52" s="76">
        <v>345.685</v>
      </c>
      <c r="G52" s="76">
        <v>387.79700000000003</v>
      </c>
      <c r="H52" s="14"/>
      <c r="I52" s="76">
        <v>415.39699999999999</v>
      </c>
      <c r="J52" s="76">
        <v>454.76299999999998</v>
      </c>
      <c r="K52" s="76">
        <v>516.87</v>
      </c>
      <c r="L52" s="76">
        <v>566.40499999999997</v>
      </c>
      <c r="M52" s="13"/>
      <c r="N52" s="76">
        <v>651.74800000000005</v>
      </c>
      <c r="O52" s="76">
        <v>758.20100000000002</v>
      </c>
      <c r="P52" s="76">
        <v>853.48</v>
      </c>
      <c r="Q52" s="113">
        <f>Q51*Q53</f>
        <v>947</v>
      </c>
      <c r="R52" s="13"/>
      <c r="S52" s="76">
        <f>S51*S53</f>
        <v>1021.1716129054381</v>
      </c>
      <c r="T52" s="76">
        <f>T51*T53</f>
        <v>1175.741262396137</v>
      </c>
      <c r="U52" s="76">
        <f t="shared" ref="U52" si="84">U51*U53</f>
        <v>1254.4216574815655</v>
      </c>
      <c r="V52" s="76">
        <f t="shared" ref="V52" si="85">V51*V53</f>
        <v>1428.4027929600006</v>
      </c>
      <c r="W52" s="13"/>
      <c r="X52" s="76">
        <f>X51*X53</f>
        <v>1776.9193398000007</v>
      </c>
      <c r="Y52" s="76">
        <f>Y51*Y53</f>
        <v>2253.7517817672006</v>
      </c>
      <c r="Z52" s="76">
        <f t="shared" ref="Z52:AA52" si="86">Z51*Z53</f>
        <v>2757.5315918092806</v>
      </c>
      <c r="AA52" s="76">
        <f t="shared" si="86"/>
        <v>3514.4065217289608</v>
      </c>
      <c r="AB52" s="13"/>
    </row>
    <row r="53" spans="2:28" s="15" customFormat="1" hidden="1" outlineLevel="1" x14ac:dyDescent="0.3">
      <c r="B53" s="201" t="s">
        <v>71</v>
      </c>
      <c r="C53" s="202"/>
      <c r="D53" s="76">
        <f>D52/D51</f>
        <v>24.874796293709547</v>
      </c>
      <c r="E53" s="76">
        <f t="shared" ref="E53" si="87">E52/E51</f>
        <v>24.933987511150761</v>
      </c>
      <c r="F53" s="76">
        <f t="shared" ref="F53" si="88">F52/F51</f>
        <v>25.32861957796014</v>
      </c>
      <c r="G53" s="76">
        <f t="shared" ref="G53" si="89">G52/G51</f>
        <v>24.885102833124783</v>
      </c>
      <c r="H53" s="14"/>
      <c r="I53" s="76">
        <f t="shared" ref="I53:P53" si="90">I52/I51</f>
        <v>23.02516490216729</v>
      </c>
      <c r="J53" s="76">
        <f t="shared" si="90"/>
        <v>22.209020096207844</v>
      </c>
      <c r="K53" s="76">
        <f t="shared" si="90"/>
        <v>22.669736842105262</v>
      </c>
      <c r="L53" s="76">
        <f t="shared" si="90"/>
        <v>22.043822607951117</v>
      </c>
      <c r="M53" s="13"/>
      <c r="N53" s="76">
        <f t="shared" si="90"/>
        <v>21.932930625431176</v>
      </c>
      <c r="O53" s="76">
        <f t="shared" si="90"/>
        <v>22.371090522837246</v>
      </c>
      <c r="P53" s="76">
        <f t="shared" si="90"/>
        <v>23.193021549498628</v>
      </c>
      <c r="Q53" s="74">
        <v>23.586550435865504</v>
      </c>
      <c r="R53" s="13"/>
      <c r="S53" s="74">
        <v>22.619415602457767</v>
      </c>
      <c r="T53" s="74">
        <v>23.675639662768123</v>
      </c>
      <c r="U53" s="74">
        <v>22.963644760334919</v>
      </c>
      <c r="V53" s="74">
        <v>24</v>
      </c>
      <c r="W53" s="13"/>
      <c r="X53" s="74">
        <v>25</v>
      </c>
      <c r="Y53" s="74">
        <v>25.5</v>
      </c>
      <c r="Z53" s="74">
        <v>26</v>
      </c>
      <c r="AA53" s="74">
        <v>27</v>
      </c>
      <c r="AB53" s="13"/>
    </row>
    <row r="54" spans="2:28" s="15" customFormat="1" hidden="1" outlineLevel="1" x14ac:dyDescent="0.3">
      <c r="B54" s="105" t="s">
        <v>81</v>
      </c>
      <c r="C54" s="106"/>
      <c r="D54" s="76">
        <v>245.267</v>
      </c>
      <c r="E54" s="76">
        <v>266.697</v>
      </c>
      <c r="F54" s="76">
        <v>291.94200000000001</v>
      </c>
      <c r="G54" s="76">
        <v>350.21100000000001</v>
      </c>
      <c r="H54" s="14"/>
      <c r="I54" s="76">
        <v>375.27800000000002</v>
      </c>
      <c r="J54" s="76">
        <v>422.96600000000001</v>
      </c>
      <c r="K54" s="76">
        <v>451.25099999999998</v>
      </c>
      <c r="L54" s="76">
        <v>530.88</v>
      </c>
      <c r="M54" s="13"/>
      <c r="N54" s="76">
        <v>629.899</v>
      </c>
      <c r="O54" s="76">
        <v>698.16200000000003</v>
      </c>
      <c r="P54" s="76">
        <v>748.51499999999999</v>
      </c>
      <c r="Q54" s="76">
        <f t="shared" ref="Q54" si="91">Q52*(1-Q55)</f>
        <v>828.625</v>
      </c>
      <c r="R54" s="13"/>
      <c r="S54" s="76">
        <f>S52*(1-S55)</f>
        <v>885.26215298785803</v>
      </c>
      <c r="T54" s="76">
        <f>T52*(1-T55)</f>
        <v>983.18045984483956</v>
      </c>
      <c r="U54" s="76">
        <f t="shared" ref="U54" si="92">U52*(1-U55)</f>
        <v>1020.8727155627683</v>
      </c>
      <c r="V54" s="76">
        <f t="shared" ref="V54" si="93">V52*(1-V55)</f>
        <v>1157.0062622976006</v>
      </c>
      <c r="W54" s="13"/>
      <c r="X54" s="76">
        <f>X52*(1-X55)</f>
        <v>1421.5354718400006</v>
      </c>
      <c r="Y54" s="76">
        <f>Y52*(1-Y55)</f>
        <v>1803.0014254137604</v>
      </c>
      <c r="Z54" s="76">
        <f t="shared" ref="Z54:AA54" si="94">Z52*(1-Z55)</f>
        <v>2206.0252734474248</v>
      </c>
      <c r="AA54" s="76">
        <f t="shared" si="94"/>
        <v>2811.5252173831686</v>
      </c>
      <c r="AB54" s="13"/>
    </row>
    <row r="55" spans="2:28" s="15" customFormat="1" hidden="1" outlineLevel="1" x14ac:dyDescent="0.3">
      <c r="B55" s="105" t="s">
        <v>72</v>
      </c>
      <c r="C55" s="106"/>
      <c r="D55" s="54">
        <f>(D52-D54)/D52</f>
        <v>8.1802798763093459E-2</v>
      </c>
      <c r="E55" s="54">
        <f t="shared" ref="E55" si="95">(E52-E54)/E52</f>
        <v>0.13258266902143689</v>
      </c>
      <c r="F55" s="54">
        <f t="shared" ref="F55" si="96">(F52-F54)/F52</f>
        <v>0.15546812849848848</v>
      </c>
      <c r="G55" s="54">
        <f t="shared" ref="G55" si="97">(G52-G54)/G52</f>
        <v>9.6921843129266105E-2</v>
      </c>
      <c r="H55" s="73"/>
      <c r="I55" s="54">
        <f>(I52-I54)/I52</f>
        <v>9.657989826599607E-2</v>
      </c>
      <c r="J55" s="54">
        <f t="shared" ref="J55:P55" si="98">(J52-J54)/J52</f>
        <v>6.9919936318477913E-2</v>
      </c>
      <c r="K55" s="54">
        <f t="shared" si="98"/>
        <v>0.12695455336931921</v>
      </c>
      <c r="L55" s="54">
        <f t="shared" si="98"/>
        <v>6.2720138416857155E-2</v>
      </c>
      <c r="M55" s="70"/>
      <c r="N55" s="54">
        <f t="shared" si="98"/>
        <v>3.3523693206576846E-2</v>
      </c>
      <c r="O55" s="54">
        <f t="shared" si="98"/>
        <v>7.9186126106401841E-2</v>
      </c>
      <c r="P55" s="54">
        <f t="shared" si="98"/>
        <v>0.12298472137601353</v>
      </c>
      <c r="Q55" s="35">
        <v>0.125</v>
      </c>
      <c r="R55" s="70"/>
      <c r="S55" s="35">
        <v>0.13309169408939042</v>
      </c>
      <c r="T55" s="35">
        <v>0.16377821269865317</v>
      </c>
      <c r="U55" s="35">
        <v>0.18618057215918984</v>
      </c>
      <c r="V55" s="35">
        <v>0.19</v>
      </c>
      <c r="W55" s="70"/>
      <c r="X55" s="35">
        <v>0.2</v>
      </c>
      <c r="Y55" s="35">
        <v>0.2</v>
      </c>
      <c r="Z55" s="35">
        <v>0.2</v>
      </c>
      <c r="AA55" s="35">
        <v>0.2</v>
      </c>
      <c r="AB55" s="70"/>
    </row>
    <row r="56" spans="2:28" s="102" customFormat="1" hidden="1" outlineLevel="1" x14ac:dyDescent="0.3">
      <c r="B56" s="105" t="s">
        <v>73</v>
      </c>
      <c r="C56" s="101"/>
      <c r="D56" s="76">
        <v>56.84</v>
      </c>
      <c r="E56" s="76">
        <v>56.036000000000001</v>
      </c>
      <c r="F56" s="76">
        <v>84.608999999999995</v>
      </c>
      <c r="G56" s="76">
        <v>116.248</v>
      </c>
      <c r="H56" s="14"/>
      <c r="I56" s="76">
        <v>105.126</v>
      </c>
      <c r="J56" s="76">
        <v>123.71299999999999</v>
      </c>
      <c r="K56" s="76">
        <v>133.267</v>
      </c>
      <c r="L56" s="76">
        <v>144.34</v>
      </c>
      <c r="M56" s="13"/>
      <c r="N56" s="76">
        <v>126.068</v>
      </c>
      <c r="O56" s="76">
        <v>129.22300000000001</v>
      </c>
      <c r="P56" s="76">
        <v>173.548</v>
      </c>
      <c r="Q56" s="76">
        <f>Q57*Q51</f>
        <v>193.18799999999999</v>
      </c>
      <c r="R56" s="13"/>
      <c r="S56" s="76">
        <f>S57*S51</f>
        <v>203.15610000000004</v>
      </c>
      <c r="T56" s="76">
        <f>T57*T51</f>
        <v>211.05661500000005</v>
      </c>
      <c r="U56" s="76">
        <f t="shared" ref="U56" si="99">U57*U51</f>
        <v>218.50567200000006</v>
      </c>
      <c r="V56" s="76">
        <f t="shared" ref="V56" si="100">V57*V51</f>
        <v>238.06713216000009</v>
      </c>
      <c r="W56" s="13"/>
      <c r="X56" s="76">
        <f>X57*X51</f>
        <v>284.30709436800009</v>
      </c>
      <c r="Y56" s="76">
        <f>Y57*Y51</f>
        <v>353.52969125760012</v>
      </c>
      <c r="Z56" s="76">
        <f t="shared" ref="Z56:AA56" si="101">Z57*Z51</f>
        <v>318.17672213184005</v>
      </c>
      <c r="AA56" s="76">
        <f t="shared" si="101"/>
        <v>390.48961352544006</v>
      </c>
      <c r="AB56" s="13"/>
    </row>
    <row r="57" spans="2:28" s="102" customFormat="1" hidden="1" outlineLevel="1" x14ac:dyDescent="0.3">
      <c r="B57" s="105" t="s">
        <v>68</v>
      </c>
      <c r="C57" s="101"/>
      <c r="D57" s="76">
        <f>D56/D51</f>
        <v>5.2931042510592725</v>
      </c>
      <c r="E57" s="76">
        <f t="shared" ref="E57" si="102">E56/E51</f>
        <v>4.5443191955234781</v>
      </c>
      <c r="F57" s="76">
        <f t="shared" ref="F57" si="103">F56/F51</f>
        <v>6.199369871043376</v>
      </c>
      <c r="G57" s="76">
        <f t="shared" ref="G57" si="104">G56/G51</f>
        <v>7.459684923155903</v>
      </c>
      <c r="H57" s="14"/>
      <c r="I57" s="76">
        <f t="shared" ref="I57:K57" si="105">I56/I51</f>
        <v>5.8270605842248226</v>
      </c>
      <c r="J57" s="76">
        <f t="shared" si="105"/>
        <v>6.0417063462994154</v>
      </c>
      <c r="K57" s="76">
        <f t="shared" si="105"/>
        <v>5.8450438596491221</v>
      </c>
      <c r="L57" s="76">
        <f t="shared" ref="L57:P57" si="106">L56/L51</f>
        <v>5.6175446107143561</v>
      </c>
      <c r="M57" s="13"/>
      <c r="N57" s="76">
        <f t="shared" si="106"/>
        <v>4.2424997055408795</v>
      </c>
      <c r="O57" s="76">
        <f t="shared" si="106"/>
        <v>3.8127876785082027</v>
      </c>
      <c r="P57" s="76">
        <f t="shared" si="106"/>
        <v>4.716106415935216</v>
      </c>
      <c r="Q57" s="74">
        <v>4.8116562889165628</v>
      </c>
      <c r="R57" s="13"/>
      <c r="S57" s="74">
        <v>4.5</v>
      </c>
      <c r="T57" s="74">
        <v>4.25</v>
      </c>
      <c r="U57" s="74">
        <v>4</v>
      </c>
      <c r="V57" s="74">
        <v>4</v>
      </c>
      <c r="W57" s="13"/>
      <c r="X57" s="74">
        <v>4</v>
      </c>
      <c r="Y57" s="74">
        <v>4</v>
      </c>
      <c r="Z57" s="74">
        <v>3</v>
      </c>
      <c r="AA57" s="74">
        <v>3</v>
      </c>
      <c r="AB57" s="13"/>
    </row>
    <row r="58" spans="2:28" s="15" customFormat="1" hidden="1" outlineLevel="1" x14ac:dyDescent="0.3">
      <c r="B58" s="170" t="s">
        <v>65</v>
      </c>
      <c r="C58" s="171"/>
      <c r="D58" s="172">
        <f>(D52-D54-D56)/D52</f>
        <v>-0.13098705441041039</v>
      </c>
      <c r="E58" s="172">
        <f>(E52-E54-E56)/E52</f>
        <v>-4.9671340430168347E-2</v>
      </c>
      <c r="F58" s="172">
        <f>(F52-F54-F56)/F52</f>
        <v>-8.9289381951776908E-2</v>
      </c>
      <c r="G58" s="172">
        <f>(G52-G54-G56)/G52</f>
        <v>-0.20284324014884073</v>
      </c>
      <c r="H58" s="173"/>
      <c r="I58" s="172">
        <f>(I52-I54-I56)/I52</f>
        <v>-0.1564936675036171</v>
      </c>
      <c r="J58" s="172">
        <f>(J52-J54-J56)/J52</f>
        <v>-0.20211846610212358</v>
      </c>
      <c r="K58" s="172">
        <f t="shared" ref="K58" si="107">(K52-K54-K56)/K52</f>
        <v>-0.13088010524890198</v>
      </c>
      <c r="L58" s="172">
        <f t="shared" ref="L58:N58" si="108">(L52-L54-L56)/L52</f>
        <v>-0.19211518259902371</v>
      </c>
      <c r="M58" s="174"/>
      <c r="N58" s="172">
        <f t="shared" si="108"/>
        <v>-0.15990689653056081</v>
      </c>
      <c r="O58" s="172">
        <f t="shared" ref="O58:P58" si="109">(O52-O54-O56)/O52</f>
        <v>-9.1247571554244886E-2</v>
      </c>
      <c r="P58" s="172">
        <f t="shared" si="109"/>
        <v>-8.0356891784224546E-2</v>
      </c>
      <c r="Q58" s="175">
        <f>(Q52-Q54-Q56)/Q52</f>
        <v>-7.8999999999999987E-2</v>
      </c>
      <c r="R58" s="174"/>
      <c r="S58" s="176">
        <f>(S52-S54-S56)/S52</f>
        <v>-6.5852437761259125E-2</v>
      </c>
      <c r="T58" s="172">
        <f>(T52-T54-T56)/T52</f>
        <v>-1.5731192771961156E-2</v>
      </c>
      <c r="U58" s="172">
        <f t="shared" ref="U58:V58" si="110">(U52-U54-U56)/U52</f>
        <v>1.1992195629816085E-2</v>
      </c>
      <c r="V58" s="172">
        <f t="shared" si="110"/>
        <v>2.3333333333333251E-2</v>
      </c>
      <c r="W58" s="174"/>
      <c r="X58" s="176">
        <f>(X52-X54-X56)/X52</f>
        <v>3.999999999999998E-2</v>
      </c>
      <c r="Y58" s="172">
        <f>(Y52-Y54-Y56)/Y52</f>
        <v>4.313725490196077E-2</v>
      </c>
      <c r="Z58" s="172">
        <f t="shared" ref="Z58:AA58" si="111">(Z52-Z54-Z56)/Z52</f>
        <v>8.4615384615384523E-2</v>
      </c>
      <c r="AA58" s="172">
        <f t="shared" si="111"/>
        <v>8.8888888888888892E-2</v>
      </c>
      <c r="AB58" s="174"/>
    </row>
    <row r="59" spans="2:28" s="15" customFormat="1" collapsed="1" x14ac:dyDescent="0.3">
      <c r="B59" s="156" t="s">
        <v>74</v>
      </c>
      <c r="C59" s="157"/>
      <c r="D59" s="54"/>
      <c r="E59" s="54"/>
      <c r="F59" s="54"/>
      <c r="G59" s="54"/>
      <c r="H59" s="73"/>
      <c r="I59" s="54"/>
      <c r="J59" s="54"/>
      <c r="K59" s="54"/>
      <c r="L59" s="54"/>
      <c r="M59" s="70"/>
      <c r="N59" s="54"/>
      <c r="O59" s="54"/>
      <c r="P59" s="54"/>
      <c r="Q59" s="199"/>
      <c r="R59" s="70"/>
      <c r="S59" s="31"/>
      <c r="T59" s="54"/>
      <c r="U59" s="54"/>
      <c r="V59" s="54"/>
      <c r="W59" s="70"/>
      <c r="X59" s="31"/>
      <c r="Y59" s="54"/>
      <c r="Z59" s="54"/>
      <c r="AA59" s="54"/>
      <c r="AB59" s="70"/>
    </row>
    <row r="60" spans="2:28" s="23" customFormat="1" hidden="1" outlineLevel="1" x14ac:dyDescent="0.3">
      <c r="B60" s="201" t="s">
        <v>77</v>
      </c>
      <c r="C60" s="202"/>
      <c r="D60" s="76">
        <v>6.5090000000000003</v>
      </c>
      <c r="E60" s="76">
        <v>6.1669999999999998</v>
      </c>
      <c r="F60" s="76">
        <v>5.899</v>
      </c>
      <c r="G60" s="76">
        <v>5.6680000000000001</v>
      </c>
      <c r="H60" s="14"/>
      <c r="I60" s="76">
        <v>5.47</v>
      </c>
      <c r="J60" s="76">
        <v>5.2190000000000003</v>
      </c>
      <c r="K60" s="75">
        <v>4.9710000000000001</v>
      </c>
      <c r="L60" s="75">
        <v>4.7869999999999999</v>
      </c>
      <c r="M60" s="13"/>
      <c r="N60" s="75">
        <v>4.7409999999999997</v>
      </c>
      <c r="O60" s="76">
        <v>4.53</v>
      </c>
      <c r="P60" s="75">
        <v>4.2729999999999997</v>
      </c>
      <c r="Q60" s="75">
        <f>P60*(1+Q61)</f>
        <v>4.1234449999999994</v>
      </c>
      <c r="R60" s="13"/>
      <c r="S60" s="75">
        <f>Q60*(1+S61)</f>
        <v>3.9791244249999993</v>
      </c>
      <c r="T60" s="76">
        <f>S60*(1+T61)</f>
        <v>3.8398550701249992</v>
      </c>
      <c r="U60" s="75">
        <f t="shared" ref="U60" si="112">T60*(1+U61)</f>
        <v>3.7054601426706242</v>
      </c>
      <c r="V60" s="75">
        <f>U60*(1+V61)</f>
        <v>3.5757690376771523</v>
      </c>
      <c r="W60" s="13"/>
      <c r="X60" s="75">
        <f>V60*(1+X61)</f>
        <v>3.450617121358452</v>
      </c>
      <c r="Y60" s="76">
        <f>X60*(1+Y61)</f>
        <v>3.3298455221109062</v>
      </c>
      <c r="Z60" s="75">
        <f t="shared" ref="Z60" si="113">Y60*(1+Z61)</f>
        <v>3.2133009288370245</v>
      </c>
      <c r="AA60" s="75">
        <f>Z60*(1+AA61)</f>
        <v>3.1008353963277284</v>
      </c>
      <c r="AB60" s="13"/>
    </row>
    <row r="61" spans="2:28" s="33" customFormat="1" hidden="1" outlineLevel="1" x14ac:dyDescent="0.3">
      <c r="B61" s="109" t="s">
        <v>63</v>
      </c>
      <c r="C61" s="110"/>
      <c r="D61" s="54">
        <f>D60/6.765-1</f>
        <v>-3.7841832963784072E-2</v>
      </c>
      <c r="E61" s="54">
        <f>E60/D60-1</f>
        <v>-5.2542633277001149E-2</v>
      </c>
      <c r="F61" s="54">
        <f t="shared" ref="F61" si="114">F60/E60-1</f>
        <v>-4.3457110426463386E-2</v>
      </c>
      <c r="G61" s="54">
        <f t="shared" ref="G61" si="115">G60/F60-1</f>
        <v>-3.9159179521952803E-2</v>
      </c>
      <c r="H61" s="73"/>
      <c r="I61" s="54">
        <f>I60/G60-1</f>
        <v>-3.4932956951305605E-2</v>
      </c>
      <c r="J61" s="54">
        <f t="shared" ref="J61:L61" si="116">J60/I60-1</f>
        <v>-4.5886654478976108E-2</v>
      </c>
      <c r="K61" s="54">
        <f t="shared" si="116"/>
        <v>-4.7518681739796897E-2</v>
      </c>
      <c r="L61" s="54">
        <f t="shared" si="116"/>
        <v>-3.7014685174009299E-2</v>
      </c>
      <c r="M61" s="70"/>
      <c r="N61" s="54">
        <f>N60/L60-1</f>
        <v>-9.6093586797577624E-3</v>
      </c>
      <c r="O61" s="54">
        <f>O60/N60-1</f>
        <v>-4.4505378612107016E-2</v>
      </c>
      <c r="P61" s="54">
        <f>P60/O60-1</f>
        <v>-5.6732891832229737E-2</v>
      </c>
      <c r="Q61" s="35">
        <v>-3.5000000000000003E-2</v>
      </c>
      <c r="R61" s="70"/>
      <c r="S61" s="35">
        <v>-3.5000000000000003E-2</v>
      </c>
      <c r="T61" s="35">
        <v>-3.5000000000000003E-2</v>
      </c>
      <c r="U61" s="35">
        <v>-3.5000000000000003E-2</v>
      </c>
      <c r="V61" s="35">
        <v>-3.5000000000000003E-2</v>
      </c>
      <c r="W61" s="70"/>
      <c r="X61" s="35">
        <v>-3.5000000000000003E-2</v>
      </c>
      <c r="Y61" s="35">
        <v>-3.5000000000000003E-2</v>
      </c>
      <c r="Z61" s="35">
        <v>-3.5000000000000003E-2</v>
      </c>
      <c r="AA61" s="35">
        <v>-3.5000000000000003E-2</v>
      </c>
      <c r="AB61" s="70"/>
    </row>
    <row r="62" spans="2:28" s="23" customFormat="1" hidden="1" outlineLevel="1" x14ac:dyDescent="0.3">
      <c r="B62" s="105" t="s">
        <v>62</v>
      </c>
      <c r="C62" s="106"/>
      <c r="D62" s="76">
        <f>(D60+6.765)/2</f>
        <v>6.6370000000000005</v>
      </c>
      <c r="E62" s="76">
        <f>AVERAGE(D60,E60)</f>
        <v>6.3380000000000001</v>
      </c>
      <c r="F62" s="76">
        <f t="shared" ref="F62:G62" si="117">AVERAGE(E60,F60)</f>
        <v>6.0329999999999995</v>
      </c>
      <c r="G62" s="76">
        <f t="shared" si="117"/>
        <v>5.7835000000000001</v>
      </c>
      <c r="H62" s="14"/>
      <c r="I62" s="76">
        <f>AVERAGE(G60,I60)</f>
        <v>5.569</v>
      </c>
      <c r="J62" s="76">
        <f t="shared" ref="J62" si="118">AVERAGE(I60,J60)</f>
        <v>5.3445</v>
      </c>
      <c r="K62" s="76">
        <f t="shared" ref="K62:L62" si="119">AVERAGE(J60,K60)</f>
        <v>5.0950000000000006</v>
      </c>
      <c r="L62" s="76">
        <f t="shared" si="119"/>
        <v>4.8789999999999996</v>
      </c>
      <c r="M62" s="13"/>
      <c r="N62" s="75">
        <f>AVERAGE(L60,N60)</f>
        <v>4.7639999999999993</v>
      </c>
      <c r="O62" s="76">
        <f t="shared" ref="O62:Q62" si="120">AVERAGE(N60,O60)</f>
        <v>4.6355000000000004</v>
      </c>
      <c r="P62" s="76">
        <f t="shared" si="120"/>
        <v>4.4015000000000004</v>
      </c>
      <c r="Q62" s="76">
        <f t="shared" si="120"/>
        <v>4.1982225</v>
      </c>
      <c r="R62" s="13"/>
      <c r="S62" s="75">
        <f>AVERAGE(Q60,S60)</f>
        <v>4.0512847124999993</v>
      </c>
      <c r="T62" s="76">
        <f t="shared" ref="T62:V62" si="121">AVERAGE(S60,T60)</f>
        <v>3.9094897475624992</v>
      </c>
      <c r="U62" s="76">
        <f t="shared" si="121"/>
        <v>3.7726576063978117</v>
      </c>
      <c r="V62" s="76">
        <f t="shared" si="121"/>
        <v>3.6406145901738882</v>
      </c>
      <c r="W62" s="13"/>
      <c r="X62" s="75">
        <f>AVERAGE(V60,X60)</f>
        <v>3.5131930795178024</v>
      </c>
      <c r="Y62" s="76">
        <f t="shared" ref="Y62" si="122">AVERAGE(X60,Y60)</f>
        <v>3.3902313217346789</v>
      </c>
      <c r="Z62" s="76">
        <f t="shared" ref="Z62" si="123">AVERAGE(Y60,Z60)</f>
        <v>3.2715732254739653</v>
      </c>
      <c r="AA62" s="76">
        <f t="shared" ref="AA62" si="124">AVERAGE(Z60,AA60)</f>
        <v>3.1570681625823767</v>
      </c>
      <c r="AB62" s="13"/>
    </row>
    <row r="63" spans="2:28" s="15" customFormat="1" hidden="1" outlineLevel="1" x14ac:dyDescent="0.3">
      <c r="B63" s="201" t="s">
        <v>78</v>
      </c>
      <c r="C63" s="202"/>
      <c r="D63" s="76">
        <v>204.35400000000001</v>
      </c>
      <c r="E63" s="76">
        <v>194.721</v>
      </c>
      <c r="F63" s="76">
        <v>186.59700000000001</v>
      </c>
      <c r="G63" s="76">
        <v>179.489</v>
      </c>
      <c r="H63" s="14"/>
      <c r="I63" s="76">
        <v>173.2</v>
      </c>
      <c r="J63" s="76">
        <v>164.018</v>
      </c>
      <c r="K63" s="76">
        <v>157.524</v>
      </c>
      <c r="L63" s="76">
        <v>150.995</v>
      </c>
      <c r="M63" s="13"/>
      <c r="N63" s="76">
        <v>144.74700000000001</v>
      </c>
      <c r="O63" s="76">
        <v>138.732</v>
      </c>
      <c r="P63" s="76">
        <v>132.375</v>
      </c>
      <c r="Q63" s="76">
        <f t="shared" ref="Q63" si="125">Q62*Q64</f>
        <v>125.99999999999987</v>
      </c>
      <c r="R63" s="13"/>
      <c r="S63" s="76">
        <f>S62*S64</f>
        <v>121.53854137499998</v>
      </c>
      <c r="T63" s="76">
        <f>T62*T64</f>
        <v>117.28469242687498</v>
      </c>
      <c r="U63" s="76">
        <f t="shared" ref="U63" si="126">U62*U64</f>
        <v>113.17972819193434</v>
      </c>
      <c r="V63" s="76">
        <f t="shared" ref="V63" si="127">V62*V64</f>
        <v>109.21843770521664</v>
      </c>
      <c r="W63" s="13"/>
      <c r="X63" s="76">
        <f>X62*X64</f>
        <v>105.39579238553407</v>
      </c>
      <c r="Y63" s="76">
        <f>Y62*Y64</f>
        <v>101.70693965204036</v>
      </c>
      <c r="Z63" s="76">
        <f t="shared" ref="Z63:AA63" si="128">Z62*Z64</f>
        <v>98.147196764218961</v>
      </c>
      <c r="AA63" s="76">
        <f t="shared" si="128"/>
        <v>94.7120448774713</v>
      </c>
      <c r="AB63" s="13"/>
    </row>
    <row r="64" spans="2:28" s="15" customFormat="1" hidden="1" outlineLevel="1" x14ac:dyDescent="0.3">
      <c r="B64" s="201" t="s">
        <v>79</v>
      </c>
      <c r="C64" s="202"/>
      <c r="D64" s="76">
        <f>D63/D62</f>
        <v>30.790116016272414</v>
      </c>
      <c r="E64" s="76">
        <f t="shared" ref="E64" si="129">E63/E62</f>
        <v>30.722783212369833</v>
      </c>
      <c r="F64" s="76">
        <f t="shared" ref="F64" si="130">F63/F62</f>
        <v>30.929388363998015</v>
      </c>
      <c r="G64" s="76">
        <f t="shared" ref="G64" si="131">G63/G62</f>
        <v>31.034667588830292</v>
      </c>
      <c r="H64" s="14"/>
      <c r="I64" s="76">
        <f t="shared" ref="I64:P64" si="132">I63/I62</f>
        <v>31.100736218351589</v>
      </c>
      <c r="J64" s="76">
        <f t="shared" si="132"/>
        <v>30.689119655720834</v>
      </c>
      <c r="K64" s="76">
        <f t="shared" si="132"/>
        <v>30.917369970559367</v>
      </c>
      <c r="L64" s="76">
        <f t="shared" si="132"/>
        <v>30.947940151670426</v>
      </c>
      <c r="M64" s="13"/>
      <c r="N64" s="76">
        <f t="shared" si="132"/>
        <v>30.38350125944585</v>
      </c>
      <c r="O64" s="76">
        <f t="shared" si="132"/>
        <v>29.928163089202886</v>
      </c>
      <c r="P64" s="76">
        <f t="shared" si="132"/>
        <v>30.074974440531633</v>
      </c>
      <c r="Q64" s="74">
        <v>30.012701804156372</v>
      </c>
      <c r="R64" s="13"/>
      <c r="S64" s="74">
        <v>30</v>
      </c>
      <c r="T64" s="74">
        <v>30</v>
      </c>
      <c r="U64" s="74">
        <v>30</v>
      </c>
      <c r="V64" s="74">
        <v>30</v>
      </c>
      <c r="W64" s="13"/>
      <c r="X64" s="74">
        <v>30</v>
      </c>
      <c r="Y64" s="74">
        <v>30</v>
      </c>
      <c r="Z64" s="74">
        <v>30</v>
      </c>
      <c r="AA64" s="74">
        <v>30</v>
      </c>
      <c r="AB64" s="13"/>
    </row>
    <row r="65" spans="2:28" s="15" customFormat="1" hidden="1" outlineLevel="1" x14ac:dyDescent="0.3">
      <c r="B65" s="105" t="s">
        <v>80</v>
      </c>
      <c r="C65" s="106"/>
      <c r="D65" s="76">
        <v>106.825</v>
      </c>
      <c r="E65" s="76">
        <v>101.928</v>
      </c>
      <c r="F65" s="76">
        <v>97.200999999999993</v>
      </c>
      <c r="G65" s="76">
        <v>90.927999999999997</v>
      </c>
      <c r="H65" s="14"/>
      <c r="I65" s="76">
        <v>88.593999999999994</v>
      </c>
      <c r="J65" s="76">
        <v>86.094999999999999</v>
      </c>
      <c r="K65" s="76">
        <v>77.793000000000006</v>
      </c>
      <c r="L65" s="76">
        <v>71.426000000000002</v>
      </c>
      <c r="M65" s="13"/>
      <c r="N65" s="76">
        <v>73.094999999999999</v>
      </c>
      <c r="O65" s="76">
        <v>67.83</v>
      </c>
      <c r="P65" s="76">
        <v>63.670999999999999</v>
      </c>
      <c r="Q65" s="76">
        <f t="shared" ref="Q65" si="133">Q63*(1-Q66)</f>
        <v>61.739999999999938</v>
      </c>
      <c r="R65" s="13"/>
      <c r="S65" s="76">
        <f>S63*(1-S66)</f>
        <v>59.553885273749991</v>
      </c>
      <c r="T65" s="76">
        <f>T63*(1-T66)</f>
        <v>57.469499289168738</v>
      </c>
      <c r="U65" s="76">
        <f t="shared" ref="U65" si="134">U63*(1-U66)</f>
        <v>55.458066814047825</v>
      </c>
      <c r="V65" s="76">
        <f t="shared" ref="V65" si="135">V63*(1-V66)</f>
        <v>53.517034475556152</v>
      </c>
      <c r="W65" s="13"/>
      <c r="X65" s="76">
        <f>X63*(1-X66)</f>
        <v>51.64393826891169</v>
      </c>
      <c r="Y65" s="76">
        <f>Y63*(1-Y66)</f>
        <v>49.836400429499776</v>
      </c>
      <c r="Z65" s="76">
        <f t="shared" ref="Z65:AA65" si="136">Z63*(1-Z66)</f>
        <v>48.092126414467288</v>
      </c>
      <c r="AA65" s="76">
        <f t="shared" si="136"/>
        <v>46.408901989960938</v>
      </c>
      <c r="AB65" s="13"/>
    </row>
    <row r="66" spans="2:28" s="15" customFormat="1" hidden="1" outlineLevel="1" x14ac:dyDescent="0.3">
      <c r="B66" s="105" t="s">
        <v>82</v>
      </c>
      <c r="C66" s="106"/>
      <c r="D66" s="54">
        <f>(D63-D65)/D63</f>
        <v>0.47725515526977697</v>
      </c>
      <c r="E66" s="54">
        <f>(E63-E65)/E63</f>
        <v>0.47654336204107417</v>
      </c>
      <c r="F66" s="54">
        <f t="shared" ref="F66" si="137">(F63-F65)/F63</f>
        <v>0.47908594457574349</v>
      </c>
      <c r="G66" s="54">
        <f t="shared" ref="G66" si="138">(G63-G65)/G63</f>
        <v>0.49340628116486251</v>
      </c>
      <c r="H66" s="73"/>
      <c r="I66" s="54">
        <f>(I63-I65)/I63</f>
        <v>0.48848729792147805</v>
      </c>
      <c r="J66" s="54">
        <f t="shared" ref="J66:P66" si="139">(J63-J65)/J63</f>
        <v>0.47508810008657587</v>
      </c>
      <c r="K66" s="54">
        <f t="shared" si="139"/>
        <v>0.50615144358954822</v>
      </c>
      <c r="L66" s="54">
        <f t="shared" si="139"/>
        <v>0.5269644690221531</v>
      </c>
      <c r="M66" s="70"/>
      <c r="N66" s="54">
        <f t="shared" si="139"/>
        <v>0.49501544073452303</v>
      </c>
      <c r="O66" s="54">
        <f t="shared" si="139"/>
        <v>0.51107170659977508</v>
      </c>
      <c r="P66" s="54">
        <f t="shared" si="139"/>
        <v>0.51901038715769598</v>
      </c>
      <c r="Q66" s="35">
        <v>0.51</v>
      </c>
      <c r="R66" s="70"/>
      <c r="S66" s="35">
        <v>0.51</v>
      </c>
      <c r="T66" s="35">
        <v>0.51</v>
      </c>
      <c r="U66" s="35">
        <v>0.51</v>
      </c>
      <c r="V66" s="35">
        <v>0.51</v>
      </c>
      <c r="W66" s="70"/>
      <c r="X66" s="35">
        <v>0.51</v>
      </c>
      <c r="Y66" s="35">
        <v>0.51</v>
      </c>
      <c r="Z66" s="35">
        <v>0.51</v>
      </c>
      <c r="AA66" s="35">
        <v>0.51</v>
      </c>
      <c r="AB66" s="70"/>
    </row>
    <row r="67" spans="2:28" s="102" customFormat="1" hidden="1" outlineLevel="1" x14ac:dyDescent="0.3">
      <c r="B67" s="105" t="s">
        <v>83</v>
      </c>
      <c r="C67" s="101"/>
      <c r="D67" s="76">
        <v>0</v>
      </c>
      <c r="E67" s="76">
        <v>0</v>
      </c>
      <c r="F67" s="76">
        <v>0</v>
      </c>
      <c r="G67" s="76">
        <v>0</v>
      </c>
      <c r="H67" s="14"/>
      <c r="I67" s="76">
        <v>0</v>
      </c>
      <c r="J67" s="76">
        <v>0</v>
      </c>
      <c r="K67" s="76">
        <v>0</v>
      </c>
      <c r="L67" s="76">
        <f t="shared" ref="L67" si="140">L68*L62</f>
        <v>0</v>
      </c>
      <c r="M67" s="13"/>
      <c r="N67" s="76">
        <f>N68*N62</f>
        <v>0</v>
      </c>
      <c r="O67" s="76">
        <f>O68*O62</f>
        <v>0</v>
      </c>
      <c r="P67" s="76">
        <f t="shared" ref="P67" si="141">P68*P62</f>
        <v>0</v>
      </c>
      <c r="Q67" s="76">
        <f t="shared" ref="Q67" si="142">Q68*Q62</f>
        <v>0</v>
      </c>
      <c r="R67" s="13"/>
      <c r="S67" s="76">
        <f>S68*S62</f>
        <v>0</v>
      </c>
      <c r="T67" s="76">
        <f>T68*T62</f>
        <v>0</v>
      </c>
      <c r="U67" s="76">
        <f t="shared" ref="U67" si="143">U68*U62</f>
        <v>0</v>
      </c>
      <c r="V67" s="76">
        <f t="shared" ref="V67" si="144">V68*V62</f>
        <v>0</v>
      </c>
      <c r="W67" s="13"/>
      <c r="X67" s="76">
        <f>X68*X62</f>
        <v>0</v>
      </c>
      <c r="Y67" s="76">
        <f>Y68*Y62</f>
        <v>0</v>
      </c>
      <c r="Z67" s="76">
        <f t="shared" ref="Z67:AA67" si="145">Z68*Z62</f>
        <v>0</v>
      </c>
      <c r="AA67" s="76">
        <f t="shared" si="145"/>
        <v>0</v>
      </c>
      <c r="AB67" s="13"/>
    </row>
    <row r="68" spans="2:28" s="102" customFormat="1" hidden="1" outlineLevel="1" x14ac:dyDescent="0.3">
      <c r="B68" s="105" t="s">
        <v>68</v>
      </c>
      <c r="C68" s="101"/>
      <c r="D68" s="76">
        <f>D67/D62</f>
        <v>0</v>
      </c>
      <c r="E68" s="76">
        <f t="shared" ref="E68" si="146">E67/E62</f>
        <v>0</v>
      </c>
      <c r="F68" s="76">
        <f t="shared" ref="F68" si="147">F67/F62</f>
        <v>0</v>
      </c>
      <c r="G68" s="76">
        <f t="shared" ref="G68" si="148">G67/G62</f>
        <v>0</v>
      </c>
      <c r="H68" s="14"/>
      <c r="I68" s="76">
        <f t="shared" ref="I68:J68" si="149">I67/I62</f>
        <v>0</v>
      </c>
      <c r="J68" s="76">
        <f t="shared" si="149"/>
        <v>0</v>
      </c>
      <c r="K68" s="76">
        <v>0</v>
      </c>
      <c r="L68" s="76">
        <v>0</v>
      </c>
      <c r="M68" s="13"/>
      <c r="N68" s="76">
        <v>0</v>
      </c>
      <c r="O68" s="76">
        <v>0</v>
      </c>
      <c r="P68" s="76">
        <v>0</v>
      </c>
      <c r="Q68" s="74">
        <v>0</v>
      </c>
      <c r="R68" s="13"/>
      <c r="S68" s="74">
        <v>0</v>
      </c>
      <c r="T68" s="74">
        <v>0</v>
      </c>
      <c r="U68" s="74">
        <v>0</v>
      </c>
      <c r="V68" s="74">
        <v>0</v>
      </c>
      <c r="W68" s="13"/>
      <c r="X68" s="74">
        <v>0</v>
      </c>
      <c r="Y68" s="74">
        <v>0</v>
      </c>
      <c r="Z68" s="74">
        <v>0</v>
      </c>
      <c r="AA68" s="74">
        <v>0</v>
      </c>
      <c r="AB68" s="13"/>
    </row>
    <row r="69" spans="2:28" s="15" customFormat="1" hidden="1" outlineLevel="1" x14ac:dyDescent="0.3">
      <c r="B69" s="170" t="s">
        <v>65</v>
      </c>
      <c r="C69" s="171"/>
      <c r="D69" s="172">
        <f>(D63-D65-D67)/D63</f>
        <v>0.47725515526977697</v>
      </c>
      <c r="E69" s="172">
        <f>(E63-E65-E67)/E63</f>
        <v>0.47654336204107417</v>
      </c>
      <c r="F69" s="172">
        <f>(F63-F65-F67)/F63</f>
        <v>0.47908594457574349</v>
      </c>
      <c r="G69" s="172">
        <f>(G63-G65-G67)/G63</f>
        <v>0.49340628116486251</v>
      </c>
      <c r="H69" s="173"/>
      <c r="I69" s="172">
        <f>(I63-I65-I67)/I63</f>
        <v>0.48848729792147805</v>
      </c>
      <c r="J69" s="172">
        <f>(J63-J65-J67)/J63</f>
        <v>0.47508810008657587</v>
      </c>
      <c r="K69" s="172">
        <f t="shared" ref="K69:L69" si="150">(K63-K65-K67)/K63</f>
        <v>0.50615144358954822</v>
      </c>
      <c r="L69" s="172">
        <f t="shared" si="150"/>
        <v>0.5269644690221531</v>
      </c>
      <c r="M69" s="174"/>
      <c r="N69" s="176">
        <f>(N63-N65-N67)/N63</f>
        <v>0.49501544073452303</v>
      </c>
      <c r="O69" s="172">
        <f>(O63-O65-O67)/O63</f>
        <v>0.51107170659977508</v>
      </c>
      <c r="P69" s="172">
        <f t="shared" ref="P69:Q69" si="151">(P63-P65-P67)/P63</f>
        <v>0.51901038715769598</v>
      </c>
      <c r="Q69" s="172">
        <f t="shared" si="151"/>
        <v>0.51</v>
      </c>
      <c r="R69" s="174"/>
      <c r="S69" s="176">
        <f>(S63-S65-S67)/S63</f>
        <v>0.51</v>
      </c>
      <c r="T69" s="172">
        <f>(T63-T65-T67)/T63</f>
        <v>0.51</v>
      </c>
      <c r="U69" s="172">
        <f t="shared" ref="U69:V69" si="152">(U63-U65-U67)/U63</f>
        <v>0.51</v>
      </c>
      <c r="V69" s="172">
        <f t="shared" si="152"/>
        <v>0.51</v>
      </c>
      <c r="W69" s="174"/>
      <c r="X69" s="176">
        <f>(X63-X65-X67)/X63</f>
        <v>0.51</v>
      </c>
      <c r="Y69" s="172">
        <f>(Y63-Y65-Y67)/Y63</f>
        <v>0.51</v>
      </c>
      <c r="Z69" s="172">
        <f t="shared" ref="Z69:AA69" si="153">(Z63-Z65-Z67)/Z63</f>
        <v>0.51</v>
      </c>
      <c r="AA69" s="172">
        <f t="shared" si="153"/>
        <v>0.51</v>
      </c>
      <c r="AB69" s="174"/>
    </row>
    <row r="70" spans="2:28" s="15" customFormat="1" collapsed="1" x14ac:dyDescent="0.3">
      <c r="B70" s="156" t="s">
        <v>45</v>
      </c>
      <c r="C70" s="157"/>
      <c r="D70" s="54"/>
      <c r="E70" s="54"/>
      <c r="F70" s="54"/>
      <c r="G70" s="54"/>
      <c r="H70" s="73"/>
      <c r="I70" s="54"/>
      <c r="J70" s="54"/>
      <c r="K70" s="54"/>
      <c r="L70" s="54"/>
      <c r="M70" s="70"/>
      <c r="N70" s="31"/>
      <c r="O70" s="54"/>
      <c r="P70" s="54"/>
      <c r="Q70" s="54"/>
      <c r="R70" s="70"/>
      <c r="S70" s="31"/>
      <c r="T70" s="54"/>
      <c r="U70" s="54"/>
      <c r="V70" s="54"/>
      <c r="W70" s="70"/>
      <c r="X70" s="31"/>
      <c r="Y70" s="54"/>
      <c r="Z70" s="54"/>
      <c r="AA70" s="54"/>
      <c r="AB70" s="70"/>
    </row>
    <row r="71" spans="2:28" s="33" customFormat="1" hidden="1" outlineLevel="1" x14ac:dyDescent="0.3">
      <c r="B71" s="209" t="s">
        <v>84</v>
      </c>
      <c r="C71" s="210"/>
      <c r="D71" s="54">
        <f t="shared" ref="D71:AB71" si="154">D11/D9</f>
        <v>0.31564953322168754</v>
      </c>
      <c r="E71" s="54">
        <f t="shared" si="154"/>
        <v>0.31748491316443439</v>
      </c>
      <c r="F71" s="54">
        <f t="shared" si="154"/>
        <v>0.32285204252493205</v>
      </c>
      <c r="G71" s="54">
        <f t="shared" si="154"/>
        <v>0.3168230140470174</v>
      </c>
      <c r="H71" s="32">
        <f t="shared" si="154"/>
        <v>0.31825712633087339</v>
      </c>
      <c r="I71" s="54">
        <f t="shared" si="154"/>
        <v>0.33482823086981417</v>
      </c>
      <c r="J71" s="54">
        <f t="shared" si="154"/>
        <v>0.31795701814440863</v>
      </c>
      <c r="K71" s="54">
        <f t="shared" si="154"/>
        <v>0.32467303859108176</v>
      </c>
      <c r="L71" s="54">
        <f t="shared" si="154"/>
        <v>0.31479055115000937</v>
      </c>
      <c r="M71" s="32">
        <f t="shared" si="154"/>
        <v>0.32274230398033127</v>
      </c>
      <c r="N71" s="54">
        <f t="shared" si="154"/>
        <v>0.3004470469971437</v>
      </c>
      <c r="O71" s="54">
        <f t="shared" si="154"/>
        <v>0.3002587872719224</v>
      </c>
      <c r="P71" s="54">
        <f t="shared" si="154"/>
        <v>0.33069075551876093</v>
      </c>
      <c r="Q71" s="54">
        <f t="shared" si="154"/>
        <v>0.32279959514170031</v>
      </c>
      <c r="R71" s="32">
        <f t="shared" si="154"/>
        <v>0.31450988810317609</v>
      </c>
      <c r="S71" s="54">
        <f t="shared" si="154"/>
        <v>0.32565755579880934</v>
      </c>
      <c r="T71" s="54">
        <f t="shared" si="154"/>
        <v>0.32790263576338913</v>
      </c>
      <c r="U71" s="54">
        <f t="shared" si="154"/>
        <v>0.3335640302786364</v>
      </c>
      <c r="V71" s="54">
        <f t="shared" si="154"/>
        <v>0.32815340959680805</v>
      </c>
      <c r="W71" s="32">
        <f t="shared" si="154"/>
        <v>0.32889853952990972</v>
      </c>
      <c r="X71" s="54">
        <f t="shared" si="154"/>
        <v>0.31576481327572925</v>
      </c>
      <c r="Y71" s="54">
        <f t="shared" si="154"/>
        <v>0.30349107338031622</v>
      </c>
      <c r="Z71" s="54">
        <f t="shared" si="154"/>
        <v>0.29284335837610304</v>
      </c>
      <c r="AA71" s="54">
        <f t="shared" si="154"/>
        <v>0.28069809381555944</v>
      </c>
      <c r="AB71" s="32">
        <f t="shared" si="154"/>
        <v>0.29617069436328936</v>
      </c>
    </row>
    <row r="72" spans="2:28" s="33" customFormat="1" hidden="1" outlineLevel="1" x14ac:dyDescent="0.3">
      <c r="B72" s="209" t="s">
        <v>131</v>
      </c>
      <c r="C72" s="210"/>
      <c r="D72" s="54">
        <f t="shared" ref="D72:AB72" si="155">D16/D9</f>
        <v>7.6841071767411506E-2</v>
      </c>
      <c r="E72" s="54">
        <f t="shared" si="155"/>
        <v>9.6687051022562531E-2</v>
      </c>
      <c r="F72" s="54">
        <f t="shared" si="155"/>
        <v>7.8334392861805352E-2</v>
      </c>
      <c r="G72" s="54">
        <f t="shared" si="155"/>
        <v>4.3810044668114327E-2</v>
      </c>
      <c r="H72" s="32">
        <f t="shared" si="155"/>
        <v>7.3146805177289942E-2</v>
      </c>
      <c r="I72" s="54">
        <f t="shared" si="155"/>
        <v>6.1950418560715488E-2</v>
      </c>
      <c r="J72" s="54">
        <f t="shared" si="155"/>
        <v>4.5500865206536886E-2</v>
      </c>
      <c r="K72" s="54">
        <f t="shared" si="155"/>
        <v>4.2362463363352081E-2</v>
      </c>
      <c r="L72" s="54">
        <f t="shared" si="155"/>
        <v>3.2848634890061228E-2</v>
      </c>
      <c r="M72" s="32">
        <f t="shared" si="155"/>
        <v>4.5110333178897351E-2</v>
      </c>
      <c r="N72" s="54">
        <f t="shared" si="155"/>
        <v>2.5260300673839622E-2</v>
      </c>
      <c r="O72" s="54">
        <f t="shared" si="155"/>
        <v>3.3426689289969155E-2</v>
      </c>
      <c r="P72" s="54">
        <f t="shared" si="155"/>
        <v>4.6300129072373124E-2</v>
      </c>
      <c r="Q72" s="114">
        <f t="shared" si="155"/>
        <v>5.0607287449392482E-2</v>
      </c>
      <c r="R72" s="32">
        <f t="shared" si="155"/>
        <v>3.976582908011761E-2</v>
      </c>
      <c r="S72" s="54">
        <f t="shared" si="155"/>
        <v>5.3691456727166464E-2</v>
      </c>
      <c r="T72" s="54">
        <f t="shared" si="155"/>
        <v>6.0157986819477961E-2</v>
      </c>
      <c r="U72" s="54">
        <f t="shared" si="155"/>
        <v>6.6603345124952487E-2</v>
      </c>
      <c r="V72" s="54">
        <f t="shared" si="155"/>
        <v>6.1551840391233535E-2</v>
      </c>
      <c r="W72" s="32">
        <f t="shared" si="155"/>
        <v>6.0702119900545033E-2</v>
      </c>
      <c r="X72" s="54">
        <f t="shared" si="155"/>
        <v>4.7706802674515797E-2</v>
      </c>
      <c r="Y72" s="54">
        <f t="shared" si="155"/>
        <v>3.2146849248286938E-2</v>
      </c>
      <c r="Z72" s="54">
        <f t="shared" si="155"/>
        <v>4.2331739508569909E-2</v>
      </c>
      <c r="AA72" s="54">
        <f t="shared" si="155"/>
        <v>3.0333265158363619E-2</v>
      </c>
      <c r="AB72" s="32">
        <f t="shared" si="155"/>
        <v>3.7374180254263541E-2</v>
      </c>
    </row>
    <row r="73" spans="2:28" s="33" customFormat="1" hidden="1" outlineLevel="1" x14ac:dyDescent="0.3">
      <c r="B73" s="209" t="s">
        <v>93</v>
      </c>
      <c r="C73" s="210"/>
      <c r="D73" s="54">
        <f t="shared" ref="D73:AB73" si="156">D18/D9</f>
        <v>9.8446644290281965E-2</v>
      </c>
      <c r="E73" s="54">
        <f t="shared" si="156"/>
        <v>0.11853489276018402</v>
      </c>
      <c r="F73" s="54">
        <f t="shared" si="156"/>
        <v>9.9533003365894934E-2</v>
      </c>
      <c r="G73" s="54">
        <f t="shared" si="156"/>
        <v>6.4184820384609195E-2</v>
      </c>
      <c r="H73" s="32">
        <f t="shared" si="156"/>
        <v>9.4375198014190198E-2</v>
      </c>
      <c r="I73" s="54">
        <f t="shared" si="156"/>
        <v>7.9393997567904342E-2</v>
      </c>
      <c r="J73" s="54">
        <f t="shared" si="156"/>
        <v>6.2884038003421905E-2</v>
      </c>
      <c r="K73" s="54">
        <f t="shared" si="156"/>
        <v>6.1250435037722394E-2</v>
      </c>
      <c r="L73" s="54">
        <f t="shared" si="156"/>
        <v>5.2515914536730261E-2</v>
      </c>
      <c r="M73" s="32">
        <f t="shared" si="156"/>
        <v>6.3507677766139706E-2</v>
      </c>
      <c r="N73" s="54">
        <f t="shared" si="156"/>
        <v>4.6929208023962415E-2</v>
      </c>
      <c r="O73" s="54">
        <f t="shared" si="156"/>
        <v>5.4380478091434474E-2</v>
      </c>
      <c r="P73" s="54">
        <f t="shared" si="156"/>
        <v>6.5292019694453057E-2</v>
      </c>
      <c r="Q73" s="54">
        <f t="shared" si="156"/>
        <v>6.9607287449392485E-2</v>
      </c>
      <c r="R73" s="32">
        <f t="shared" si="156"/>
        <v>5.9822094839834576E-2</v>
      </c>
      <c r="S73" s="54">
        <f t="shared" si="156"/>
        <v>7.3691456727166468E-2</v>
      </c>
      <c r="T73" s="54">
        <f t="shared" si="156"/>
        <v>8.0157986819477972E-2</v>
      </c>
      <c r="U73" s="54">
        <f t="shared" si="156"/>
        <v>8.6603345124952491E-2</v>
      </c>
      <c r="V73" s="54">
        <f t="shared" si="156"/>
        <v>8.1551840391233532E-2</v>
      </c>
      <c r="W73" s="32">
        <f t="shared" si="156"/>
        <v>8.070211990054503E-2</v>
      </c>
      <c r="X73" s="54">
        <f t="shared" si="156"/>
        <v>6.7706802674515801E-2</v>
      </c>
      <c r="Y73" s="54">
        <f t="shared" si="156"/>
        <v>5.2146849248286935E-2</v>
      </c>
      <c r="Z73" s="54">
        <f t="shared" si="156"/>
        <v>6.2331739508569906E-2</v>
      </c>
      <c r="AA73" s="54">
        <f t="shared" si="156"/>
        <v>5.0333265158363616E-2</v>
      </c>
      <c r="AB73" s="32">
        <f t="shared" si="156"/>
        <v>5.7374180254263545E-2</v>
      </c>
    </row>
    <row r="74" spans="2:28" s="33" customFormat="1" hidden="1" outlineLevel="1" x14ac:dyDescent="0.3">
      <c r="B74" s="201" t="s">
        <v>85</v>
      </c>
      <c r="C74" s="202"/>
      <c r="D74" s="54">
        <f t="shared" ref="D74:L74" si="157">D13/D9</f>
        <v>8.6852181225095249E-2</v>
      </c>
      <c r="E74" s="54">
        <f t="shared" si="157"/>
        <v>8.5930616596302467E-2</v>
      </c>
      <c r="F74" s="54">
        <f t="shared" si="157"/>
        <v>8.5816839691450181E-2</v>
      </c>
      <c r="G74" s="54">
        <f t="shared" si="157"/>
        <v>8.4780511986033799E-2</v>
      </c>
      <c r="H74" s="32">
        <f t="shared" si="157"/>
        <v>8.5803908545783791E-2</v>
      </c>
      <c r="I74" s="54">
        <f t="shared" si="157"/>
        <v>9.0969017798286089E-2</v>
      </c>
      <c r="J74" s="54">
        <f t="shared" si="157"/>
        <v>9.4279543793556742E-2</v>
      </c>
      <c r="K74" s="54">
        <f t="shared" si="157"/>
        <v>9.8807205662824915E-2</v>
      </c>
      <c r="L74" s="54">
        <f t="shared" si="157"/>
        <v>9.9191425811960846E-2</v>
      </c>
      <c r="M74" s="32"/>
      <c r="N74" s="54">
        <f>N13/N9</f>
        <v>0.10395068589431875</v>
      </c>
      <c r="O74" s="54">
        <f>O13/O9</f>
        <v>9.8470267014503107E-2</v>
      </c>
      <c r="P74" s="54">
        <f>P13/P9</f>
        <v>9.4358629073246381E-2</v>
      </c>
      <c r="Q74" s="35">
        <v>8.8821862348178293E-2</v>
      </c>
      <c r="R74" s="32"/>
      <c r="S74" s="35">
        <v>0.09</v>
      </c>
      <c r="T74" s="35">
        <v>0.09</v>
      </c>
      <c r="U74" s="35">
        <v>0.09</v>
      </c>
      <c r="V74" s="35">
        <v>0.09</v>
      </c>
      <c r="W74" s="32"/>
      <c r="X74" s="35">
        <v>0.09</v>
      </c>
      <c r="Y74" s="35">
        <v>0.09</v>
      </c>
      <c r="Z74" s="35">
        <v>0.09</v>
      </c>
      <c r="AA74" s="35">
        <v>0.09</v>
      </c>
      <c r="AB74" s="32"/>
    </row>
    <row r="75" spans="2:28" s="33" customFormat="1" hidden="1" outlineLevel="1" x14ac:dyDescent="0.3">
      <c r="B75" s="201" t="s">
        <v>86</v>
      </c>
      <c r="C75" s="202"/>
      <c r="D75" s="54">
        <f t="shared" ref="D75:L75" si="158">D14/D9</f>
        <v>4.4012663679474429E-2</v>
      </c>
      <c r="E75" s="54">
        <f t="shared" si="158"/>
        <v>4.4772968210401769E-2</v>
      </c>
      <c r="F75" s="54">
        <f t="shared" si="158"/>
        <v>5.5358470646331287E-2</v>
      </c>
      <c r="G75" s="54">
        <f t="shared" si="158"/>
        <v>5.1055142760155395E-2</v>
      </c>
      <c r="H75" s="32">
        <f t="shared" si="158"/>
        <v>4.9002335477457623E-2</v>
      </c>
      <c r="I75" s="54">
        <f t="shared" si="158"/>
        <v>5.8157341197066489E-2</v>
      </c>
      <c r="J75" s="54">
        <f t="shared" si="158"/>
        <v>5.831236692053355E-2</v>
      </c>
      <c r="K75" s="54">
        <f t="shared" si="158"/>
        <v>6.3791342965044531E-2</v>
      </c>
      <c r="L75" s="54">
        <f t="shared" si="158"/>
        <v>5.9803667240158544E-2</v>
      </c>
      <c r="M75" s="32"/>
      <c r="N75" s="54">
        <f>N14/N9</f>
        <v>6.4985779492229792E-2</v>
      </c>
      <c r="O75" s="54">
        <f>O14/O9</f>
        <v>6.5745172439345551E-2</v>
      </c>
      <c r="P75" s="54">
        <f>P14/P9</f>
        <v>6.6879225635624664E-2</v>
      </c>
      <c r="Q75" s="35">
        <v>6.5000000000000002E-2</v>
      </c>
      <c r="R75" s="32"/>
      <c r="S75" s="35">
        <v>6.5000000000000002E-2</v>
      </c>
      <c r="T75" s="35">
        <v>6.5000000000000002E-2</v>
      </c>
      <c r="U75" s="35">
        <v>6.5000000000000002E-2</v>
      </c>
      <c r="V75" s="35">
        <v>6.5000000000000002E-2</v>
      </c>
      <c r="W75" s="32"/>
      <c r="X75" s="35">
        <v>6.5000000000000002E-2</v>
      </c>
      <c r="Y75" s="35">
        <v>6.5000000000000002E-2</v>
      </c>
      <c r="Z75" s="35">
        <v>6.5000000000000002E-2</v>
      </c>
      <c r="AA75" s="35">
        <v>6.5000000000000002E-2</v>
      </c>
      <c r="AB75" s="32"/>
    </row>
    <row r="76" spans="2:28" s="33" customFormat="1" hidden="1" outlineLevel="1" x14ac:dyDescent="0.3">
      <c r="B76" s="201" t="s">
        <v>133</v>
      </c>
      <c r="C76" s="202"/>
      <c r="D76" s="54"/>
      <c r="E76" s="168">
        <f>AVERAGE(E19,D19)</f>
        <v>-11.69</v>
      </c>
      <c r="F76" s="168">
        <f t="shared" ref="F76:G76" si="159">AVERAGE(F19,E19)</f>
        <v>-13.407</v>
      </c>
      <c r="G76" s="168">
        <f t="shared" si="159"/>
        <v>-13.419499999999999</v>
      </c>
      <c r="H76" s="32"/>
      <c r="I76" s="168">
        <f>AVERAGE(I19,G19)</f>
        <v>-20.044999999999998</v>
      </c>
      <c r="J76" s="168">
        <f>AVERAGE(J19,I19)</f>
        <v>-30.976999999999997</v>
      </c>
      <c r="K76" s="168">
        <f t="shared" ref="K76:L76" si="160">AVERAGE(K19,J19)</f>
        <v>-35.274999999999999</v>
      </c>
      <c r="L76" s="168">
        <f t="shared" si="160"/>
        <v>-35.381</v>
      </c>
      <c r="M76" s="32"/>
      <c r="N76" s="168">
        <f>AVERAGE(N19,L19)</f>
        <v>-35.483000000000004</v>
      </c>
      <c r="O76" s="168">
        <f>AVERAGE(O19,N19)</f>
        <v>-35.495999999999995</v>
      </c>
      <c r="P76" s="168">
        <f t="shared" ref="P76" si="161">AVERAGE(P19,O19)</f>
        <v>-35.4955</v>
      </c>
      <c r="Q76" s="169">
        <f>P76</f>
        <v>-35.4955</v>
      </c>
      <c r="R76" s="197"/>
      <c r="S76" s="169">
        <f>Q76</f>
        <v>-35.4955</v>
      </c>
      <c r="T76" s="169">
        <f>S76</f>
        <v>-35.4955</v>
      </c>
      <c r="U76" s="169">
        <f>T76</f>
        <v>-35.4955</v>
      </c>
      <c r="V76" s="169">
        <f>U76</f>
        <v>-35.4955</v>
      </c>
      <c r="W76" s="197"/>
      <c r="X76" s="169">
        <f>V76</f>
        <v>-35.4955</v>
      </c>
      <c r="Y76" s="169">
        <f>X76</f>
        <v>-35.4955</v>
      </c>
      <c r="Z76" s="169">
        <f>Y76</f>
        <v>-35.4955</v>
      </c>
      <c r="AA76" s="169">
        <f>Z76</f>
        <v>-35.4955</v>
      </c>
      <c r="AB76" s="32"/>
    </row>
    <row r="77" spans="2:28" s="33" customFormat="1" hidden="1" outlineLevel="1" x14ac:dyDescent="0.3">
      <c r="B77" s="201" t="s">
        <v>44</v>
      </c>
      <c r="C77" s="202"/>
      <c r="D77" s="54">
        <f>D20/D9</f>
        <v>1.1030723043818189E-3</v>
      </c>
      <c r="E77" s="54">
        <f>E20/E9</f>
        <v>8.2064626639520696E-4</v>
      </c>
      <c r="F77" s="54">
        <f>F20/F9</f>
        <v>4.370554946957356E-4</v>
      </c>
      <c r="G77" s="54">
        <f>G20/G9</f>
        <v>-4.1603579914974318E-3</v>
      </c>
      <c r="H77" s="32"/>
      <c r="I77" s="54">
        <f>I20/I9</f>
        <v>-2.0527877879055054E-2</v>
      </c>
      <c r="J77" s="54">
        <f>J20/J9</f>
        <v>5.3018981038418091E-4</v>
      </c>
      <c r="K77" s="54">
        <f>K20/K9</f>
        <v>2.2607580154801522E-3</v>
      </c>
      <c r="L77" s="54">
        <f>L20/L9</f>
        <v>-2.0478979977875682E-3</v>
      </c>
      <c r="M77" s="32"/>
      <c r="N77" s="54">
        <f>N20/N9</f>
        <v>1.3261747242733444E-2</v>
      </c>
      <c r="O77" s="54">
        <f>O20/O9</f>
        <v>7.7507927972776027E-3</v>
      </c>
      <c r="P77" s="54">
        <f>P20/P9</f>
        <v>3.7669396573556408E-3</v>
      </c>
      <c r="Q77" s="35">
        <v>-1.3103902211146939E-3</v>
      </c>
      <c r="R77" s="32"/>
      <c r="S77" s="35">
        <v>5.0000000000000001E-3</v>
      </c>
      <c r="T77" s="35">
        <v>5.0000000000000001E-3</v>
      </c>
      <c r="U77" s="35">
        <v>5.0000000000000001E-3</v>
      </c>
      <c r="V77" s="35">
        <v>5.0000000000000001E-3</v>
      </c>
      <c r="W77" s="32"/>
      <c r="X77" s="35">
        <v>5.0000000000000001E-3</v>
      </c>
      <c r="Y77" s="35">
        <v>5.0000000000000001E-3</v>
      </c>
      <c r="Z77" s="35">
        <v>5.0000000000000001E-3</v>
      </c>
      <c r="AA77" s="35">
        <v>5.0000000000000001E-3</v>
      </c>
      <c r="AB77" s="32"/>
    </row>
    <row r="78" spans="2:28" s="33" customFormat="1" hidden="1" outlineLevel="1" x14ac:dyDescent="0.3">
      <c r="B78" s="170" t="s">
        <v>46</v>
      </c>
      <c r="C78" s="171"/>
      <c r="D78" s="172">
        <f t="shared" ref="D78:P78" si="162">D22/D21</f>
        <v>0.40282649757150607</v>
      </c>
      <c r="E78" s="172">
        <f t="shared" si="162"/>
        <v>0.39493235183859876</v>
      </c>
      <c r="F78" s="172">
        <f t="shared" si="162"/>
        <v>0.39207685288659672</v>
      </c>
      <c r="G78" s="172">
        <f t="shared" si="162"/>
        <v>-0.83168556112136294</v>
      </c>
      <c r="H78" s="177">
        <f t="shared" si="162"/>
        <v>0.23634037364505711</v>
      </c>
      <c r="I78" s="172">
        <f t="shared" si="162"/>
        <v>0.38333420080154268</v>
      </c>
      <c r="J78" s="172">
        <f t="shared" si="162"/>
        <v>0.34959249197332692</v>
      </c>
      <c r="K78" s="172">
        <f t="shared" si="162"/>
        <v>0.30318670391590574</v>
      </c>
      <c r="L78" s="172">
        <f t="shared" si="162"/>
        <v>-1.0827745887800877</v>
      </c>
      <c r="M78" s="177">
        <f t="shared" si="162"/>
        <v>0.13563096874229169</v>
      </c>
      <c r="N78" s="172">
        <f t="shared" si="162"/>
        <v>0.30645201735249061</v>
      </c>
      <c r="O78" s="172">
        <f t="shared" si="162"/>
        <v>0.20450109306683231</v>
      </c>
      <c r="P78" s="172">
        <f t="shared" si="162"/>
        <v>0.34893272839865003</v>
      </c>
      <c r="Q78" s="178">
        <v>0.35</v>
      </c>
      <c r="R78" s="177"/>
      <c r="S78" s="178">
        <v>0.3</v>
      </c>
      <c r="T78" s="178">
        <v>0.3</v>
      </c>
      <c r="U78" s="178">
        <v>0.3</v>
      </c>
      <c r="V78" s="178">
        <v>0.3</v>
      </c>
      <c r="W78" s="177"/>
      <c r="X78" s="178">
        <v>0.3</v>
      </c>
      <c r="Y78" s="178">
        <v>0.3</v>
      </c>
      <c r="Z78" s="178">
        <v>0.3</v>
      </c>
      <c r="AA78" s="178">
        <v>0.3</v>
      </c>
      <c r="AB78" s="177"/>
    </row>
    <row r="79" spans="2:28" s="33" customFormat="1" collapsed="1" x14ac:dyDescent="0.3">
      <c r="B79" s="156" t="s">
        <v>126</v>
      </c>
      <c r="C79" s="155"/>
      <c r="D79" s="54"/>
      <c r="E79" s="54"/>
      <c r="F79" s="54"/>
      <c r="G79" s="54"/>
      <c r="H79" s="32"/>
      <c r="I79" s="54"/>
      <c r="J79" s="54"/>
      <c r="K79" s="54"/>
      <c r="L79" s="54"/>
      <c r="M79" s="32"/>
      <c r="N79" s="54"/>
      <c r="O79" s="54"/>
      <c r="P79" s="54"/>
      <c r="Q79" s="54"/>
      <c r="R79" s="32"/>
      <c r="S79" s="54"/>
      <c r="T79" s="54"/>
      <c r="U79" s="54"/>
      <c r="V79" s="54"/>
      <c r="W79" s="32"/>
      <c r="X79" s="54"/>
      <c r="Y79" s="54"/>
      <c r="Z79" s="54"/>
      <c r="AA79" s="54"/>
      <c r="AB79" s="32"/>
    </row>
    <row r="80" spans="2:28" s="153" customFormat="1" ht="15" hidden="1" customHeight="1" outlineLevel="1" x14ac:dyDescent="0.3">
      <c r="B80" s="149" t="s">
        <v>124</v>
      </c>
      <c r="C80" s="150"/>
      <c r="D80" s="151"/>
      <c r="E80" s="151">
        <f t="shared" ref="E80:G81" si="163">E27/D27-1</f>
        <v>3.0020276224753673E-3</v>
      </c>
      <c r="F80" s="151">
        <f t="shared" si="163"/>
        <v>2.9049417344884088E-3</v>
      </c>
      <c r="G80" s="151">
        <f t="shared" si="163"/>
        <v>2.4929130044588632E-3</v>
      </c>
      <c r="H80" s="152"/>
      <c r="I80" s="151">
        <f>I27/G27-1</f>
        <v>3.2682524796090462E-3</v>
      </c>
      <c r="J80" s="151">
        <f t="shared" ref="J80:L81" si="164">J27/I27-1</f>
        <v>4.0507619964873509E-3</v>
      </c>
      <c r="K80" s="151">
        <f t="shared" si="164"/>
        <v>3.5947712418302746E-3</v>
      </c>
      <c r="L80" s="151">
        <f t="shared" si="164"/>
        <v>1.8717686222236019E-3</v>
      </c>
      <c r="M80" s="152"/>
      <c r="N80" s="151">
        <f t="shared" ref="N80:P81" si="165">N27/L27-1</f>
        <v>1.0498798133131704E-3</v>
      </c>
      <c r="O80" s="151">
        <f t="shared" si="165"/>
        <v>6.1232720145159014E-3</v>
      </c>
      <c r="P80" s="151">
        <f t="shared" si="165"/>
        <v>1.9153642579015084E-3</v>
      </c>
      <c r="Q80" s="154">
        <v>2.5000000000000001E-3</v>
      </c>
      <c r="R80" s="152"/>
      <c r="S80" s="154">
        <v>2.5000000000000001E-3</v>
      </c>
      <c r="T80" s="154">
        <v>2.5000000000000001E-3</v>
      </c>
      <c r="U80" s="154">
        <v>2.5000000000000001E-3</v>
      </c>
      <c r="V80" s="154">
        <v>2.5000000000000001E-3</v>
      </c>
      <c r="W80" s="152"/>
      <c r="X80" s="154">
        <v>2.5000000000000001E-3</v>
      </c>
      <c r="Y80" s="154">
        <v>2.5000000000000001E-3</v>
      </c>
      <c r="Z80" s="154">
        <v>2.5000000000000001E-3</v>
      </c>
      <c r="AA80" s="154">
        <v>2.5000000000000001E-3</v>
      </c>
      <c r="AB80" s="152"/>
    </row>
    <row r="81" spans="2:28" s="153" customFormat="1" ht="15" hidden="1" customHeight="1" outlineLevel="1" x14ac:dyDescent="0.3">
      <c r="B81" s="179" t="s">
        <v>125</v>
      </c>
      <c r="C81" s="180"/>
      <c r="D81" s="181"/>
      <c r="E81" s="181">
        <f t="shared" si="163"/>
        <v>1.4065709610406874E-3</v>
      </c>
      <c r="F81" s="181">
        <f t="shared" si="163"/>
        <v>3.0154760442333561E-3</v>
      </c>
      <c r="G81" s="181">
        <f t="shared" si="163"/>
        <v>-5.2687282491648002E-4</v>
      </c>
      <c r="H81" s="182"/>
      <c r="I81" s="181">
        <f>I28/G28-1</f>
        <v>2.9941227335994469E-3</v>
      </c>
      <c r="J81" s="181">
        <f t="shared" si="164"/>
        <v>5.2742105396612615E-3</v>
      </c>
      <c r="K81" s="181">
        <f t="shared" si="164"/>
        <v>3.4602393504197249E-3</v>
      </c>
      <c r="L81" s="181">
        <f t="shared" si="164"/>
        <v>1.4876395661851394E-3</v>
      </c>
      <c r="M81" s="182"/>
      <c r="N81" s="181">
        <f t="shared" si="165"/>
        <v>-6.0238627106923293E-4</v>
      </c>
      <c r="O81" s="181">
        <f t="shared" si="165"/>
        <v>3.9220538341555589E-3</v>
      </c>
      <c r="P81" s="181">
        <f t="shared" si="165"/>
        <v>9.0412403851214407E-4</v>
      </c>
      <c r="Q81" s="183">
        <v>2.5000000000000001E-3</v>
      </c>
      <c r="R81" s="182"/>
      <c r="S81" s="183">
        <v>2.5000000000000001E-3</v>
      </c>
      <c r="T81" s="183">
        <v>2.5000000000000001E-3</v>
      </c>
      <c r="U81" s="183">
        <v>2.5000000000000001E-3</v>
      </c>
      <c r="V81" s="183">
        <v>2.5000000000000001E-3</v>
      </c>
      <c r="W81" s="182"/>
      <c r="X81" s="183">
        <v>2.5000000000000001E-3</v>
      </c>
      <c r="Y81" s="183">
        <v>2.5000000000000001E-3</v>
      </c>
      <c r="Z81" s="183">
        <v>2.5000000000000001E-3</v>
      </c>
      <c r="AA81" s="183">
        <v>2.5000000000000001E-3</v>
      </c>
      <c r="AB81" s="182"/>
    </row>
    <row r="82" spans="2:28" s="153" customFormat="1" ht="15" customHeight="1" collapsed="1" x14ac:dyDescent="0.3">
      <c r="B82" s="184" t="s">
        <v>132</v>
      </c>
      <c r="C82" s="150"/>
      <c r="D82" s="151"/>
      <c r="E82" s="151"/>
      <c r="F82" s="151"/>
      <c r="G82" s="151"/>
      <c r="H82" s="152"/>
      <c r="I82" s="151"/>
      <c r="J82" s="151"/>
      <c r="K82" s="151"/>
      <c r="L82" s="151"/>
      <c r="M82" s="152"/>
      <c r="N82" s="151"/>
      <c r="O82" s="151"/>
      <c r="P82" s="151"/>
      <c r="Q82" s="151"/>
      <c r="R82" s="152"/>
      <c r="S82" s="151"/>
      <c r="T82" s="151"/>
      <c r="U82" s="151"/>
      <c r="V82" s="151"/>
      <c r="W82" s="152"/>
      <c r="X82" s="151"/>
      <c r="Y82" s="151"/>
      <c r="Z82" s="151"/>
      <c r="AA82" s="151"/>
      <c r="AB82" s="152"/>
    </row>
    <row r="83" spans="2:28" s="117" customFormat="1" ht="15" hidden="1" customHeight="1" outlineLevel="1" x14ac:dyDescent="0.3">
      <c r="B83" s="129" t="s">
        <v>102</v>
      </c>
      <c r="C83" s="132"/>
      <c r="D83" s="51">
        <f>D23</f>
        <v>53.114999999999917</v>
      </c>
      <c r="E83" s="51">
        <f>E23</f>
        <v>71.017999999999958</v>
      </c>
      <c r="F83" s="51">
        <f>F23</f>
        <v>59.295000000000037</v>
      </c>
      <c r="G83" s="51">
        <f>G23</f>
        <v>83.371000000000038</v>
      </c>
      <c r="H83" s="14">
        <f>SUM(D83:G83)</f>
        <v>266.79899999999998</v>
      </c>
      <c r="I83" s="51">
        <f>I23</f>
        <v>23.695999999999795</v>
      </c>
      <c r="J83" s="51">
        <f>J23</f>
        <v>26.33499999999998</v>
      </c>
      <c r="K83" s="51">
        <f>K23</f>
        <v>29.43199999999991</v>
      </c>
      <c r="L83" s="51">
        <f>L23</f>
        <v>43.177999999999997</v>
      </c>
      <c r="M83" s="14">
        <f t="shared" ref="M83:M88" si="166">SUM(I83:L83)</f>
        <v>122.64099999999968</v>
      </c>
      <c r="N83" s="51">
        <f>N23</f>
        <v>27.65800000000009</v>
      </c>
      <c r="O83" s="51">
        <f>O23</f>
        <v>40.755000000000237</v>
      </c>
      <c r="P83" s="51">
        <f>P23</f>
        <v>51.517000000000053</v>
      </c>
      <c r="Q83" s="51">
        <f>Q23</f>
        <v>56.074093499999996</v>
      </c>
      <c r="R83" s="14">
        <f t="shared" ref="R83:R88" si="167">SUM(N83:Q83)</f>
        <v>176.00409350000038</v>
      </c>
      <c r="S83" s="51">
        <f>S23</f>
        <v>81.583867285734954</v>
      </c>
      <c r="T83" s="51">
        <f>T23</f>
        <v>102.13439801540648</v>
      </c>
      <c r="U83" s="51">
        <f>U23</f>
        <v>119.92779452753857</v>
      </c>
      <c r="V83" s="51">
        <f>V23</f>
        <v>119.40950788473073</v>
      </c>
      <c r="W83" s="14">
        <f t="shared" ref="W83:W88" si="168">SUM(S83:V83)</f>
        <v>423.05556771341071</v>
      </c>
      <c r="X83" s="51">
        <f>X23</f>
        <v>104.42583619504606</v>
      </c>
      <c r="Y83" s="51">
        <f>Y23</f>
        <v>80.025678675836971</v>
      </c>
      <c r="Z83" s="51">
        <f>Z23</f>
        <v>126.46463223565043</v>
      </c>
      <c r="AA83" s="51">
        <f>AA23</f>
        <v>107.80279902421441</v>
      </c>
      <c r="AB83" s="14">
        <f t="shared" ref="AB83:AB88" si="169">SUM(X83:AA83)</f>
        <v>418.7189461307479</v>
      </c>
    </row>
    <row r="84" spans="2:28" s="15" customFormat="1" ht="15" hidden="1" customHeight="1" outlineLevel="1" x14ac:dyDescent="0.3">
      <c r="B84" s="129" t="s">
        <v>103</v>
      </c>
      <c r="C84" s="130"/>
      <c r="D84" s="76">
        <f t="shared" ref="D84:L84" si="170">-D19-D20</f>
        <v>8.6509999999999998</v>
      </c>
      <c r="E84" s="76">
        <f t="shared" si="170"/>
        <v>12.228</v>
      </c>
      <c r="F84" s="76">
        <f t="shared" si="170"/>
        <v>12.870000000000001</v>
      </c>
      <c r="G84" s="76">
        <f t="shared" si="170"/>
        <v>19.53</v>
      </c>
      <c r="H84" s="136">
        <f t="shared" si="170"/>
        <v>53.279000000000003</v>
      </c>
      <c r="I84" s="76">
        <f t="shared" si="170"/>
        <v>59.03</v>
      </c>
      <c r="J84" s="76">
        <f t="shared" si="170"/>
        <v>34.344999999999999</v>
      </c>
      <c r="K84" s="76">
        <f t="shared" si="170"/>
        <v>31.402999999999999</v>
      </c>
      <c r="L84" s="76">
        <f t="shared" si="170"/>
        <v>39.163000000000004</v>
      </c>
      <c r="M84" s="136">
        <f t="shared" si="166"/>
        <v>163.941</v>
      </c>
      <c r="N84" s="76">
        <f>-N19-N20</f>
        <v>9.5739999999999981</v>
      </c>
      <c r="O84" s="76">
        <f>-O19-O20</f>
        <v>19.137999999999998</v>
      </c>
      <c r="P84" s="76">
        <f>-P19-P20</f>
        <v>26.908999999999999</v>
      </c>
      <c r="Q84" s="76">
        <f>-Q19-Q20</f>
        <v>38.732163846153291</v>
      </c>
      <c r="R84" s="136">
        <f t="shared" si="167"/>
        <v>94.353163846153279</v>
      </c>
      <c r="S84" s="76">
        <f>-S19-S20</f>
        <v>22.542687928597807</v>
      </c>
      <c r="T84" s="76">
        <f>-T19-T20</f>
        <v>21.575350549884938</v>
      </c>
      <c r="U84" s="76">
        <f>-U19-U20</f>
        <v>21.053373002112501</v>
      </c>
      <c r="V84" s="76">
        <f>-V19-V20</f>
        <v>20.01279433382831</v>
      </c>
      <c r="W84" s="136">
        <f t="shared" si="168"/>
        <v>85.184205814423564</v>
      </c>
      <c r="X84" s="76">
        <f>-X19-X20</f>
        <v>17.976388934454846</v>
      </c>
      <c r="Y84" s="76">
        <f>-Y19-Y20</f>
        <v>15.329873420614195</v>
      </c>
      <c r="Z84" s="76">
        <f>-Z19-Z20</f>
        <v>12.661006425397112</v>
      </c>
      <c r="AA84" s="76">
        <f>-AA19-AA20</f>
        <v>8.6794814751503679</v>
      </c>
      <c r="AB84" s="136">
        <f t="shared" si="169"/>
        <v>54.646750255616517</v>
      </c>
    </row>
    <row r="85" spans="2:28" s="15" customFormat="1" ht="15" hidden="1" customHeight="1" outlineLevel="1" x14ac:dyDescent="0.3">
      <c r="B85" s="129" t="s">
        <v>104</v>
      </c>
      <c r="C85" s="130"/>
      <c r="D85" s="76">
        <f>D22</f>
        <v>35.829000000000001</v>
      </c>
      <c r="E85" s="76">
        <f>E22</f>
        <v>46.353999999999999</v>
      </c>
      <c r="F85" s="76">
        <f>F22</f>
        <v>38.241999999999997</v>
      </c>
      <c r="G85" s="76">
        <f>G22</f>
        <v>-37.854999999999997</v>
      </c>
      <c r="H85" s="136">
        <f>SUM(D85:G85)</f>
        <v>82.57</v>
      </c>
      <c r="I85" s="76">
        <f>I22</f>
        <v>14.73</v>
      </c>
      <c r="J85" s="76">
        <f>J22</f>
        <v>14.154999999999999</v>
      </c>
      <c r="K85" s="76">
        <f>K22</f>
        <v>12.805999999999999</v>
      </c>
      <c r="L85" s="76">
        <f>L22</f>
        <v>-22.446999999999999</v>
      </c>
      <c r="M85" s="136">
        <f t="shared" si="166"/>
        <v>19.243999999999996</v>
      </c>
      <c r="N85" s="76">
        <f>N22</f>
        <v>12.221</v>
      </c>
      <c r="O85" s="76">
        <f>O22</f>
        <v>10.477</v>
      </c>
      <c r="P85" s="76">
        <f>P22</f>
        <v>27.61</v>
      </c>
      <c r="Q85" s="76">
        <f>Q22</f>
        <v>30.193742653846151</v>
      </c>
      <c r="R85" s="136">
        <f t="shared" si="167"/>
        <v>80.501742653846151</v>
      </c>
      <c r="S85" s="76">
        <f>S22</f>
        <v>34.964514551029268</v>
      </c>
      <c r="T85" s="76">
        <f>T22</f>
        <v>43.771884863745633</v>
      </c>
      <c r="U85" s="76">
        <f>U22</f>
        <v>51.397626226087958</v>
      </c>
      <c r="V85" s="76">
        <f>V22</f>
        <v>51.175503379170308</v>
      </c>
      <c r="W85" s="136">
        <f t="shared" si="168"/>
        <v>181.30952902003315</v>
      </c>
      <c r="X85" s="76">
        <f>X22</f>
        <v>44.753929797876879</v>
      </c>
      <c r="Y85" s="76">
        <f>Y22</f>
        <v>34.296719432501561</v>
      </c>
      <c r="Z85" s="76">
        <f>Z22</f>
        <v>54.199128100993036</v>
      </c>
      <c r="AA85" s="76">
        <f>AA22</f>
        <v>46.201199581806172</v>
      </c>
      <c r="AB85" s="136">
        <f t="shared" si="169"/>
        <v>179.45097691317767</v>
      </c>
    </row>
    <row r="86" spans="2:28" s="15" customFormat="1" ht="15" hidden="1" customHeight="1" outlineLevel="1" x14ac:dyDescent="0.3">
      <c r="B86" s="129" t="s">
        <v>105</v>
      </c>
      <c r="C86" s="130"/>
      <c r="D86" s="76">
        <v>12.382</v>
      </c>
      <c r="E86" s="76">
        <v>12.977</v>
      </c>
      <c r="F86" s="76">
        <v>14.356999999999999</v>
      </c>
      <c r="G86" s="76">
        <v>14.311999999999999</v>
      </c>
      <c r="H86" s="136">
        <v>54.027999999999999</v>
      </c>
      <c r="I86" s="76">
        <v>15.167</v>
      </c>
      <c r="J86" s="76">
        <v>15.581</v>
      </c>
      <c r="K86" s="76">
        <v>16.047000000000001</v>
      </c>
      <c r="L86" s="76">
        <v>15.488</v>
      </c>
      <c r="M86" s="136">
        <v>62.283000000000001</v>
      </c>
      <c r="N86" s="76">
        <v>14.798</v>
      </c>
      <c r="O86" s="76">
        <v>14.131</v>
      </c>
      <c r="P86" s="76">
        <v>14.41</v>
      </c>
      <c r="Q86" s="76">
        <f>P86</f>
        <v>14.41</v>
      </c>
      <c r="R86" s="136">
        <f t="shared" si="167"/>
        <v>57.748999999999995</v>
      </c>
      <c r="S86" s="76">
        <f>Q86</f>
        <v>14.41</v>
      </c>
      <c r="T86" s="76">
        <f>S86</f>
        <v>14.41</v>
      </c>
      <c r="U86" s="76">
        <f>T86</f>
        <v>14.41</v>
      </c>
      <c r="V86" s="76">
        <f>U86</f>
        <v>14.41</v>
      </c>
      <c r="W86" s="136">
        <f t="shared" si="168"/>
        <v>57.64</v>
      </c>
      <c r="X86" s="76">
        <f>V86</f>
        <v>14.41</v>
      </c>
      <c r="Y86" s="76">
        <f>X86</f>
        <v>14.41</v>
      </c>
      <c r="Z86" s="76">
        <f>Y86</f>
        <v>14.41</v>
      </c>
      <c r="AA86" s="76">
        <f>Z86</f>
        <v>14.41</v>
      </c>
      <c r="AB86" s="136">
        <f t="shared" si="169"/>
        <v>57.64</v>
      </c>
    </row>
    <row r="87" spans="2:28" s="15" customFormat="1" ht="15" hidden="1" customHeight="1" outlineLevel="1" x14ac:dyDescent="0.45">
      <c r="B87" s="129" t="s">
        <v>87</v>
      </c>
      <c r="C87" s="135"/>
      <c r="D87" s="133">
        <v>29.878</v>
      </c>
      <c r="E87" s="133">
        <v>29.285</v>
      </c>
      <c r="F87" s="133">
        <v>29.878</v>
      </c>
      <c r="G87" s="133">
        <v>30.251000000000001</v>
      </c>
      <c r="H87" s="134">
        <f>SUM(D87:G87)</f>
        <v>119.292</v>
      </c>
      <c r="I87" s="133">
        <v>27.440999999999999</v>
      </c>
      <c r="J87" s="133">
        <v>28.59</v>
      </c>
      <c r="K87" s="133">
        <v>32.834000000000003</v>
      </c>
      <c r="L87" s="133">
        <v>35.86</v>
      </c>
      <c r="M87" s="134">
        <f t="shared" si="166"/>
        <v>124.72500000000001</v>
      </c>
      <c r="N87" s="133">
        <f>N17</f>
        <v>42.421999999999997</v>
      </c>
      <c r="O87" s="133">
        <f>O17</f>
        <v>44.112000000000002</v>
      </c>
      <c r="P87" s="133">
        <f>P17</f>
        <v>43.494999999999997</v>
      </c>
      <c r="Q87" s="133">
        <f>Q17</f>
        <v>46.93</v>
      </c>
      <c r="R87" s="134">
        <f t="shared" si="167"/>
        <v>176.959</v>
      </c>
      <c r="S87" s="133">
        <f>S17</f>
        <v>51.811248285608762</v>
      </c>
      <c r="T87" s="133">
        <f>T17</f>
        <v>55.680597800460248</v>
      </c>
      <c r="U87" s="133">
        <f>U17</f>
        <v>57.768507991549995</v>
      </c>
      <c r="V87" s="133">
        <f>V17</f>
        <v>61.930822664686751</v>
      </c>
      <c r="W87" s="134">
        <f t="shared" si="168"/>
        <v>227.19117674230577</v>
      </c>
      <c r="X87" s="133">
        <f>X17</f>
        <v>70.076444262180615</v>
      </c>
      <c r="Y87" s="133">
        <f>Y17</f>
        <v>80.662506317543219</v>
      </c>
      <c r="Z87" s="133">
        <f>Z17</f>
        <v>91.337974298411552</v>
      </c>
      <c r="AA87" s="133">
        <f>AA17</f>
        <v>107.26407409939853</v>
      </c>
      <c r="AB87" s="134">
        <f t="shared" si="169"/>
        <v>349.3409989775339</v>
      </c>
    </row>
    <row r="88" spans="2:28" s="117" customFormat="1" ht="15" hidden="1" customHeight="1" outlineLevel="1" x14ac:dyDescent="0.3">
      <c r="B88" s="131" t="s">
        <v>101</v>
      </c>
      <c r="C88" s="141"/>
      <c r="D88" s="124">
        <f>SUM(D83:D87)</f>
        <v>139.8549999999999</v>
      </c>
      <c r="E88" s="124">
        <f t="shared" ref="E88" si="171">SUM(E83:E87)</f>
        <v>171.86199999999997</v>
      </c>
      <c r="F88" s="124">
        <f t="shared" ref="F88" si="172">SUM(F83:F87)</f>
        <v>154.64200000000005</v>
      </c>
      <c r="G88" s="124">
        <f t="shared" ref="G88" si="173">SUM(G83:G87)</f>
        <v>109.60900000000005</v>
      </c>
      <c r="H88" s="142">
        <f>SUM(D88:G88)</f>
        <v>575.96799999999996</v>
      </c>
      <c r="I88" s="124">
        <f>SUM(I83:I87)</f>
        <v>140.06399999999979</v>
      </c>
      <c r="J88" s="124">
        <f t="shared" ref="J88:Q88" si="174">SUM(J83:J87)</f>
        <v>119.00599999999999</v>
      </c>
      <c r="K88" s="124">
        <f t="shared" si="174"/>
        <v>122.52199999999991</v>
      </c>
      <c r="L88" s="124">
        <f t="shared" si="174"/>
        <v>111.242</v>
      </c>
      <c r="M88" s="142">
        <f t="shared" si="166"/>
        <v>492.83399999999966</v>
      </c>
      <c r="N88" s="124">
        <f t="shared" si="174"/>
        <v>106.67300000000009</v>
      </c>
      <c r="O88" s="124">
        <f t="shared" si="174"/>
        <v>128.61300000000023</v>
      </c>
      <c r="P88" s="124">
        <f t="shared" si="174"/>
        <v>163.94100000000003</v>
      </c>
      <c r="Q88" s="124">
        <f t="shared" si="174"/>
        <v>186.33999999999943</v>
      </c>
      <c r="R88" s="142">
        <f t="shared" si="167"/>
        <v>585.56699999999978</v>
      </c>
      <c r="S88" s="124">
        <f t="shared" ref="S88" si="175">SUM(S83:S87)</f>
        <v>205.31231805097079</v>
      </c>
      <c r="T88" s="124">
        <f t="shared" ref="T88" si="176">SUM(T83:T87)</f>
        <v>237.57223122949731</v>
      </c>
      <c r="U88" s="124">
        <f t="shared" ref="U88" si="177">SUM(U83:U87)</f>
        <v>264.55730174728899</v>
      </c>
      <c r="V88" s="124">
        <f t="shared" ref="V88" si="178">SUM(V83:V87)</f>
        <v>266.9386282624161</v>
      </c>
      <c r="W88" s="142">
        <f t="shared" si="168"/>
        <v>974.3804792901733</v>
      </c>
      <c r="X88" s="124">
        <f t="shared" ref="X88:AA88" si="179">SUM(X83:X87)</f>
        <v>251.64259918955838</v>
      </c>
      <c r="Y88" s="124">
        <f t="shared" si="179"/>
        <v>224.72477784649595</v>
      </c>
      <c r="Z88" s="124">
        <f t="shared" si="179"/>
        <v>299.07274106045213</v>
      </c>
      <c r="AA88" s="124">
        <f t="shared" si="179"/>
        <v>284.35755418056948</v>
      </c>
      <c r="AB88" s="142">
        <f t="shared" si="169"/>
        <v>1059.7976722770759</v>
      </c>
    </row>
    <row r="89" spans="2:28" s="117" customFormat="1" ht="15" customHeight="1" collapsed="1" x14ac:dyDescent="0.3">
      <c r="B89" s="156" t="s">
        <v>100</v>
      </c>
      <c r="C89" s="157"/>
      <c r="D89" s="18"/>
      <c r="E89" s="18"/>
      <c r="F89" s="18"/>
      <c r="G89" s="18"/>
      <c r="H89" s="24"/>
      <c r="I89" s="18"/>
      <c r="J89" s="18"/>
      <c r="K89" s="18"/>
      <c r="L89" s="18"/>
      <c r="M89" s="24"/>
      <c r="N89" s="18"/>
      <c r="O89" s="18"/>
      <c r="P89" s="18"/>
      <c r="Q89" s="18"/>
      <c r="R89" s="24"/>
      <c r="S89" s="18"/>
      <c r="T89" s="18"/>
      <c r="U89" s="18"/>
      <c r="V89" s="18"/>
      <c r="W89" s="24"/>
      <c r="X89" s="18"/>
      <c r="Y89" s="18"/>
      <c r="Z89" s="18"/>
      <c r="AA89" s="18"/>
      <c r="AB89" s="24"/>
    </row>
    <row r="90" spans="2:28" s="15" customFormat="1" ht="15" hidden="1" customHeight="1" outlineLevel="1" x14ac:dyDescent="0.3">
      <c r="B90" s="147" t="s">
        <v>117</v>
      </c>
      <c r="C90" s="135"/>
      <c r="D90" s="51">
        <v>27.440999999999999</v>
      </c>
      <c r="E90" s="51">
        <v>29.285</v>
      </c>
      <c r="F90" s="51">
        <v>29.878</v>
      </c>
      <c r="G90" s="51">
        <v>30.251000000000001</v>
      </c>
      <c r="H90" s="14"/>
      <c r="I90" s="51">
        <v>27.440999999999999</v>
      </c>
      <c r="J90" s="51">
        <v>28.59</v>
      </c>
      <c r="K90" s="51">
        <v>32.834000000000003</v>
      </c>
      <c r="L90" s="51">
        <v>35.86</v>
      </c>
      <c r="M90" s="14"/>
      <c r="N90" s="51">
        <v>42.421999999999997</v>
      </c>
      <c r="O90" s="51">
        <v>44.112000000000002</v>
      </c>
      <c r="P90" s="51">
        <v>43.494999999999997</v>
      </c>
      <c r="Q90" s="51">
        <f>Q91*Q9</f>
        <v>46.93</v>
      </c>
      <c r="R90" s="14"/>
      <c r="S90" s="51">
        <f>S91*S9</f>
        <v>51.811248285608762</v>
      </c>
      <c r="T90" s="51">
        <f>T91*T9</f>
        <v>55.680597800460248</v>
      </c>
      <c r="U90" s="51">
        <f>U91*U9</f>
        <v>57.768507991549995</v>
      </c>
      <c r="V90" s="51">
        <f>V91*V9</f>
        <v>61.930822664686751</v>
      </c>
      <c r="W90" s="14"/>
      <c r="X90" s="51">
        <f>X91*X9</f>
        <v>70.076444262180615</v>
      </c>
      <c r="Y90" s="51">
        <f>Y91*Y9</f>
        <v>80.662506317543219</v>
      </c>
      <c r="Z90" s="51">
        <f>Z91*Z9</f>
        <v>91.337974298411552</v>
      </c>
      <c r="AA90" s="51">
        <f>AA91*AA9</f>
        <v>107.26407409939853</v>
      </c>
      <c r="AB90" s="14"/>
    </row>
    <row r="91" spans="2:28" s="33" customFormat="1" hidden="1" outlineLevel="1" x14ac:dyDescent="0.3">
      <c r="B91" s="201" t="s">
        <v>94</v>
      </c>
      <c r="C91" s="202"/>
      <c r="D91" s="137">
        <f>D90/D9</f>
        <v>2.1605572522870445E-2</v>
      </c>
      <c r="E91" s="54">
        <f>E90/E9</f>
        <v>2.1847841737621485E-2</v>
      </c>
      <c r="F91" s="54">
        <f>F90/F9</f>
        <v>2.1198610504089589E-2</v>
      </c>
      <c r="G91" s="138">
        <f>G90/G9</f>
        <v>2.0374775716494872E-2</v>
      </c>
      <c r="H91" s="32">
        <f>H17/H9</f>
        <v>2.1228392836900253E-2</v>
      </c>
      <c r="I91" s="137">
        <f>I90/I9</f>
        <v>1.7443579007188858E-2</v>
      </c>
      <c r="J91" s="54">
        <f>J90/J9</f>
        <v>1.7383172796885015E-2</v>
      </c>
      <c r="K91" s="54">
        <f>K90/K9</f>
        <v>1.8887971674370313E-2</v>
      </c>
      <c r="L91" s="138">
        <f>L90/L9</f>
        <v>1.9667279646669037E-2</v>
      </c>
      <c r="M91" s="32"/>
      <c r="N91" s="137">
        <f>N90/N9</f>
        <v>2.1668907350122793E-2</v>
      </c>
      <c r="O91" s="54">
        <f>O90/O9</f>
        <v>2.0953788801465319E-2</v>
      </c>
      <c r="P91" s="54">
        <f>P90/P9</f>
        <v>1.8991890622079934E-2</v>
      </c>
      <c r="Q91" s="139">
        <v>1.9E-2</v>
      </c>
      <c r="R91" s="32"/>
      <c r="S91" s="140">
        <v>0.02</v>
      </c>
      <c r="T91" s="35">
        <v>0.02</v>
      </c>
      <c r="U91" s="35">
        <v>0.02</v>
      </c>
      <c r="V91" s="139">
        <v>0.02</v>
      </c>
      <c r="W91" s="32"/>
      <c r="X91" s="140">
        <v>0.02</v>
      </c>
      <c r="Y91" s="35">
        <v>0.02</v>
      </c>
      <c r="Z91" s="35">
        <v>0.02</v>
      </c>
      <c r="AA91" s="139">
        <v>0.02</v>
      </c>
      <c r="AB91" s="32"/>
    </row>
    <row r="92" spans="2:28" s="33" customFormat="1" hidden="1" outlineLevel="1" x14ac:dyDescent="0.3">
      <c r="B92" s="231" t="s">
        <v>118</v>
      </c>
      <c r="C92" s="232"/>
      <c r="D92" s="185"/>
      <c r="E92" s="186"/>
      <c r="F92" s="186"/>
      <c r="G92" s="187">
        <v>-38.612000000000002</v>
      </c>
      <c r="H92" s="188"/>
      <c r="I92" s="185"/>
      <c r="J92" s="186"/>
      <c r="K92" s="186"/>
      <c r="L92" s="186">
        <v>-13.438000000000001</v>
      </c>
      <c r="M92" s="189"/>
      <c r="N92" s="190">
        <v>0</v>
      </c>
      <c r="O92" s="191"/>
      <c r="P92" s="191"/>
      <c r="Q92" s="192"/>
      <c r="R92" s="189"/>
      <c r="S92" s="193"/>
      <c r="T92" s="194"/>
      <c r="U92" s="194"/>
      <c r="V92" s="192"/>
      <c r="W92" s="189"/>
      <c r="X92" s="193"/>
      <c r="Y92" s="194"/>
      <c r="Z92" s="194"/>
      <c r="AA92" s="192"/>
      <c r="AB92" s="189"/>
    </row>
    <row r="93" spans="2:28" collapsed="1" x14ac:dyDescent="0.3">
      <c r="B93" s="39"/>
      <c r="C93" s="40"/>
      <c r="D93" s="34"/>
      <c r="E93" s="112"/>
      <c r="F93" s="112"/>
      <c r="G93" s="112"/>
      <c r="H93" s="112"/>
      <c r="I93" s="112"/>
      <c r="J93" s="34"/>
      <c r="K93" s="34"/>
      <c r="L93" s="34"/>
      <c r="M93" s="34"/>
      <c r="N93" s="34"/>
      <c r="O93" s="34"/>
      <c r="P93" s="34"/>
      <c r="Q93" s="34"/>
      <c r="R93" s="34"/>
      <c r="S93" s="34"/>
      <c r="T93" s="34"/>
      <c r="U93" s="34"/>
      <c r="V93" s="34"/>
      <c r="W93" s="34"/>
      <c r="X93" s="34"/>
      <c r="Y93" s="34"/>
      <c r="Z93" s="34"/>
      <c r="AA93" s="34"/>
      <c r="AB93" s="34"/>
    </row>
    <row r="94" spans="2:28" ht="18" customHeight="1" x14ac:dyDescent="0.45">
      <c r="C94" s="44"/>
      <c r="D94" s="2"/>
      <c r="E94" s="2"/>
      <c r="F94" s="2"/>
      <c r="G94" s="2"/>
      <c r="H94" s="2"/>
      <c r="I94" s="2"/>
      <c r="J94" s="2"/>
      <c r="K94" s="2"/>
      <c r="L94" s="2"/>
      <c r="M94" s="3"/>
      <c r="N94" s="2"/>
      <c r="O94" s="2"/>
      <c r="P94" s="2"/>
      <c r="Q94" s="2"/>
      <c r="R94" s="3"/>
      <c r="S94" s="2"/>
      <c r="T94" s="2"/>
      <c r="U94" s="2"/>
      <c r="V94" s="2"/>
      <c r="W94" s="3"/>
      <c r="X94" s="2"/>
      <c r="Y94" s="2"/>
      <c r="Z94" s="2"/>
      <c r="AA94" s="2"/>
      <c r="AB94" s="3"/>
    </row>
    <row r="95" spans="2:28" ht="15.6" x14ac:dyDescent="0.3">
      <c r="B95" s="203" t="s">
        <v>1</v>
      </c>
      <c r="C95" s="227"/>
      <c r="D95" s="18"/>
      <c r="E95" s="18"/>
      <c r="F95" s="18"/>
      <c r="G95" s="18"/>
      <c r="H95" s="41"/>
      <c r="I95" s="18"/>
      <c r="J95" s="18"/>
      <c r="K95" s="18"/>
      <c r="L95" s="18"/>
      <c r="M95" s="18"/>
      <c r="N95" s="18"/>
      <c r="O95" s="18"/>
      <c r="P95" s="18"/>
      <c r="Q95" s="18"/>
      <c r="R95" s="18"/>
      <c r="S95" s="18"/>
      <c r="T95" s="18"/>
      <c r="U95" s="18"/>
      <c r="V95" s="18"/>
      <c r="W95" s="18"/>
      <c r="X95" s="18"/>
      <c r="Y95" s="18"/>
      <c r="Z95" s="18"/>
      <c r="AA95" s="18"/>
      <c r="AB95" s="18"/>
    </row>
    <row r="96" spans="2:28" x14ac:dyDescent="0.3">
      <c r="B96" s="50" t="s">
        <v>109</v>
      </c>
      <c r="C96" s="127">
        <v>114</v>
      </c>
      <c r="D96" s="20"/>
      <c r="E96" s="103"/>
      <c r="F96" s="8"/>
      <c r="G96" s="8"/>
      <c r="H96" s="41"/>
      <c r="I96" s="9"/>
      <c r="J96" s="10"/>
      <c r="K96" s="7"/>
      <c r="L96" s="7"/>
      <c r="M96" s="10"/>
      <c r="N96" s="9"/>
      <c r="O96" s="10"/>
      <c r="P96" s="7"/>
      <c r="Q96" s="7"/>
      <c r="R96" s="10"/>
      <c r="S96" s="9"/>
      <c r="T96" s="10"/>
      <c r="U96" s="7"/>
      <c r="V96" s="7"/>
      <c r="W96" s="10"/>
      <c r="X96" s="9"/>
      <c r="Y96" s="10"/>
      <c r="Z96" s="7"/>
      <c r="AA96" s="7"/>
      <c r="AB96" s="10"/>
    </row>
    <row r="97" spans="2:28" x14ac:dyDescent="0.3">
      <c r="B97" s="50" t="s">
        <v>110</v>
      </c>
      <c r="C97" s="125">
        <v>136</v>
      </c>
      <c r="D97" s="21"/>
      <c r="E97" s="78"/>
      <c r="F97" s="41"/>
      <c r="G97" s="41"/>
      <c r="H97" s="78"/>
      <c r="I97" s="41"/>
      <c r="J97" s="41"/>
      <c r="K97" s="42"/>
      <c r="L97" s="42"/>
      <c r="M97" s="42"/>
      <c r="N97" s="41"/>
      <c r="O97" s="41"/>
      <c r="P97" s="42"/>
      <c r="Q97" s="42"/>
      <c r="R97" s="42"/>
      <c r="S97" s="41"/>
      <c r="T97" s="41"/>
      <c r="U97" s="42"/>
      <c r="V97" s="42"/>
      <c r="W97" s="42"/>
      <c r="X97" s="41"/>
      <c r="Y97" s="41"/>
    </row>
    <row r="98" spans="2:28" x14ac:dyDescent="0.3">
      <c r="B98" s="50" t="s">
        <v>111</v>
      </c>
      <c r="C98" s="125">
        <v>102</v>
      </c>
      <c r="D98" s="21"/>
      <c r="E98" s="78"/>
      <c r="F98" s="41"/>
      <c r="G98" s="41"/>
      <c r="H98" s="41"/>
      <c r="I98" s="41"/>
      <c r="J98" s="41"/>
      <c r="K98" s="42"/>
      <c r="L98" s="42"/>
      <c r="M98" s="42"/>
      <c r="N98" s="41"/>
      <c r="O98" s="41"/>
      <c r="P98" s="42"/>
      <c r="Q98" s="42"/>
      <c r="R98" s="42"/>
      <c r="S98" s="41"/>
      <c r="T98" s="41"/>
      <c r="U98" s="42"/>
      <c r="V98" s="42"/>
      <c r="W98" s="42"/>
      <c r="X98" s="41"/>
      <c r="Y98" s="41"/>
    </row>
    <row r="99" spans="2:28" x14ac:dyDescent="0.3">
      <c r="B99" s="50" t="s">
        <v>97</v>
      </c>
      <c r="C99" s="116">
        <v>124.4</v>
      </c>
      <c r="D99" s="21"/>
      <c r="E99" s="78"/>
      <c r="F99" s="41"/>
      <c r="G99" s="41"/>
      <c r="H99" s="41"/>
      <c r="I99" s="41"/>
      <c r="J99" s="41"/>
      <c r="K99" s="42"/>
      <c r="L99" s="42"/>
      <c r="M99" s="42"/>
      <c r="N99" s="41"/>
      <c r="O99" s="41"/>
      <c r="P99" s="42"/>
      <c r="Q99" s="42"/>
      <c r="R99" s="42"/>
      <c r="S99" s="41"/>
      <c r="T99" s="41"/>
      <c r="U99" s="42"/>
      <c r="V99" s="42"/>
      <c r="W99" s="42"/>
      <c r="X99" s="41"/>
      <c r="Y99" s="41"/>
    </row>
    <row r="100" spans="2:28" s="117" customFormat="1" x14ac:dyDescent="0.3">
      <c r="B100" s="5" t="s">
        <v>99</v>
      </c>
      <c r="C100" s="126">
        <v>-2.3511310730880592</v>
      </c>
      <c r="D100" s="21"/>
      <c r="E100" s="78"/>
      <c r="F100" s="41"/>
      <c r="G100" s="41"/>
      <c r="H100" s="41"/>
      <c r="I100" s="41"/>
      <c r="J100" s="41"/>
      <c r="K100" s="42"/>
      <c r="L100" s="42"/>
      <c r="M100" s="42"/>
      <c r="N100" s="41"/>
      <c r="O100" s="41"/>
      <c r="P100" s="42"/>
      <c r="Q100" s="42"/>
      <c r="R100" s="42"/>
      <c r="S100" s="41"/>
      <c r="T100" s="41"/>
      <c r="U100" s="42"/>
      <c r="V100" s="42"/>
      <c r="W100" s="42"/>
      <c r="X100" s="41"/>
      <c r="Y100" s="41"/>
      <c r="Z100" s="119"/>
      <c r="AA100" s="119"/>
      <c r="AB100" s="119"/>
    </row>
    <row r="101" spans="2:28" x14ac:dyDescent="0.3">
      <c r="B101" s="19" t="s">
        <v>98</v>
      </c>
      <c r="C101" s="198">
        <f>(W30)*C99+C100</f>
        <v>116.60755760692938</v>
      </c>
      <c r="D101" s="22"/>
      <c r="E101" s="78"/>
      <c r="F101" s="41"/>
      <c r="G101" s="104"/>
      <c r="H101" s="41"/>
      <c r="I101" s="41"/>
      <c r="J101" s="41"/>
      <c r="K101" s="42"/>
      <c r="L101" s="42"/>
      <c r="M101" s="42"/>
      <c r="N101" s="41"/>
      <c r="O101" s="41"/>
      <c r="P101" s="42"/>
      <c r="Q101" s="42"/>
      <c r="R101" s="42"/>
      <c r="S101" s="41"/>
      <c r="T101" s="41"/>
      <c r="U101" s="42"/>
      <c r="V101" s="42"/>
      <c r="W101" s="42"/>
      <c r="X101" s="41"/>
      <c r="Y101" s="41"/>
    </row>
    <row r="102" spans="2:28" s="117" customFormat="1" x14ac:dyDescent="0.3">
      <c r="B102" s="19" t="s">
        <v>106</v>
      </c>
      <c r="C102" s="143">
        <f>(C101*K28)/(Q88+S88+T88+U88)</f>
        <v>57.09241779239624</v>
      </c>
      <c r="D102" s="22"/>
      <c r="E102" s="78"/>
      <c r="F102" s="41"/>
      <c r="G102" s="104"/>
      <c r="H102" s="41"/>
      <c r="I102" s="41"/>
      <c r="J102" s="41"/>
      <c r="K102" s="42"/>
      <c r="L102" s="42"/>
      <c r="M102" s="42"/>
      <c r="N102" s="41"/>
      <c r="O102" s="41"/>
      <c r="P102" s="42"/>
      <c r="Q102" s="42"/>
      <c r="R102" s="42"/>
      <c r="S102" s="41"/>
      <c r="T102" s="41"/>
      <c r="U102" s="42"/>
      <c r="V102" s="42"/>
      <c r="W102" s="42"/>
      <c r="X102" s="41"/>
      <c r="Y102" s="41"/>
      <c r="Z102" s="119"/>
      <c r="AA102" s="119"/>
      <c r="AB102" s="119"/>
    </row>
    <row r="103" spans="2:28" s="117" customFormat="1" ht="108" customHeight="1" x14ac:dyDescent="0.3">
      <c r="B103" s="228" t="s">
        <v>135</v>
      </c>
      <c r="C103" s="206"/>
      <c r="D103" s="22"/>
      <c r="E103" s="78"/>
      <c r="F103" s="41"/>
      <c r="G103" s="104"/>
      <c r="H103" s="41"/>
      <c r="I103" s="41"/>
      <c r="J103" s="41"/>
      <c r="K103" s="42"/>
      <c r="L103" s="42"/>
      <c r="M103" s="42"/>
      <c r="N103" s="41"/>
      <c r="O103" s="41"/>
      <c r="P103" s="42"/>
      <c r="Q103" s="42"/>
      <c r="R103" s="42"/>
      <c r="S103" s="41"/>
      <c r="T103" s="41"/>
      <c r="U103" s="42"/>
      <c r="V103" s="42"/>
      <c r="W103" s="42"/>
      <c r="X103" s="41"/>
      <c r="Y103" s="41"/>
      <c r="Z103" s="119"/>
      <c r="AA103" s="119"/>
      <c r="AB103" s="119"/>
    </row>
    <row r="104" spans="2:28" s="117" customFormat="1" ht="48" customHeight="1" x14ac:dyDescent="0.3">
      <c r="B104" s="205" t="s">
        <v>112</v>
      </c>
      <c r="C104" s="206"/>
      <c r="D104" s="22"/>
      <c r="E104" s="78"/>
      <c r="F104" s="41"/>
      <c r="G104" s="104"/>
      <c r="H104" s="41"/>
      <c r="I104" s="41"/>
      <c r="J104" s="41"/>
      <c r="K104" s="42"/>
      <c r="L104" s="42"/>
      <c r="M104" s="42"/>
      <c r="N104" s="41"/>
      <c r="O104" s="41"/>
      <c r="P104" s="42"/>
      <c r="Q104" s="42"/>
      <c r="R104" s="42"/>
      <c r="S104" s="41"/>
      <c r="T104" s="41"/>
      <c r="U104" s="42"/>
      <c r="V104" s="42"/>
      <c r="W104" s="42"/>
      <c r="X104" s="41"/>
      <c r="Y104" s="41"/>
      <c r="Z104" s="119"/>
      <c r="AA104" s="119"/>
      <c r="AB104" s="119"/>
    </row>
    <row r="105" spans="2:28" s="117" customFormat="1" ht="200.4" customHeight="1" x14ac:dyDescent="0.3">
      <c r="B105" s="229" t="s">
        <v>120</v>
      </c>
      <c r="C105" s="230"/>
      <c r="D105" s="22"/>
      <c r="E105" s="78"/>
      <c r="F105" s="41"/>
      <c r="G105" s="104"/>
      <c r="H105" s="41"/>
      <c r="I105" s="41"/>
      <c r="J105" s="41"/>
      <c r="K105" s="42"/>
      <c r="L105" s="42"/>
      <c r="M105" s="42"/>
      <c r="N105" s="41"/>
      <c r="O105" s="41"/>
      <c r="P105" s="42"/>
      <c r="Q105" s="42"/>
      <c r="R105" s="42"/>
      <c r="S105" s="41"/>
      <c r="T105" s="41"/>
      <c r="U105" s="42"/>
      <c r="V105" s="42"/>
      <c r="W105" s="42"/>
      <c r="X105" s="41"/>
      <c r="Y105" s="41"/>
      <c r="Z105" s="119"/>
      <c r="AA105" s="119"/>
      <c r="AB105" s="119"/>
    </row>
    <row r="106" spans="2:28" ht="7.5" customHeight="1" x14ac:dyDescent="0.3">
      <c r="B106" s="15"/>
      <c r="C106" s="1"/>
    </row>
  </sheetData>
  <dataConsolidate/>
  <mergeCells count="48">
    <mergeCell ref="B105:C105"/>
    <mergeCell ref="B91:C91"/>
    <mergeCell ref="B92:C92"/>
    <mergeCell ref="B74:C74"/>
    <mergeCell ref="B75:C75"/>
    <mergeCell ref="B76:C76"/>
    <mergeCell ref="B25:C25"/>
    <mergeCell ref="B24:C24"/>
    <mergeCell ref="B17:C17"/>
    <mergeCell ref="B72:C72"/>
    <mergeCell ref="B95:C95"/>
    <mergeCell ref="B12:C12"/>
    <mergeCell ref="B22:C22"/>
    <mergeCell ref="B21:C21"/>
    <mergeCell ref="B16:C16"/>
    <mergeCell ref="B20:C20"/>
    <mergeCell ref="B18:C18"/>
    <mergeCell ref="B19:C19"/>
    <mergeCell ref="B28:C28"/>
    <mergeCell ref="B26:C26"/>
    <mergeCell ref="B37:C37"/>
    <mergeCell ref="B2:C2"/>
    <mergeCell ref="B30:C30"/>
    <mergeCell ref="B32:C32"/>
    <mergeCell ref="B3:C3"/>
    <mergeCell ref="B4:C4"/>
    <mergeCell ref="B7:C7"/>
    <mergeCell ref="B8:C8"/>
    <mergeCell ref="B29:C29"/>
    <mergeCell ref="B27:C27"/>
    <mergeCell ref="B23:C23"/>
    <mergeCell ref="B9:C9"/>
    <mergeCell ref="B42:C42"/>
    <mergeCell ref="B35:C35"/>
    <mergeCell ref="B104:C104"/>
    <mergeCell ref="B36:C36"/>
    <mergeCell ref="B77:C77"/>
    <mergeCell ref="B73:C73"/>
    <mergeCell ref="B49:C49"/>
    <mergeCell ref="B52:C52"/>
    <mergeCell ref="B53:C53"/>
    <mergeCell ref="B60:C60"/>
    <mergeCell ref="B63:C63"/>
    <mergeCell ref="B64:C64"/>
    <mergeCell ref="B71:C71"/>
    <mergeCell ref="B38:C38"/>
    <mergeCell ref="B41:C41"/>
    <mergeCell ref="B103:C103"/>
  </mergeCells>
  <pageMargins left="0.7" right="0.7" top="0.75" bottom="0.75" header="0.3" footer="0.3"/>
  <pageSetup scale="40" orientation="landscape" r:id="rId1"/>
  <headerFooter>
    <oddFooter>&amp;CGutenberg Research LLC prohibits the redistribution of this document in whole or part without the written permission. 
© Gutenberg Research LLC 2016.</oddFooter>
  </headerFooter>
  <rowBreaks count="2" manualBreakCount="2">
    <brk id="92" max="16383" man="1"/>
    <brk id="9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2015-07-15T14:40:12Z</cp:lastPrinted>
  <dcterms:created xsi:type="dcterms:W3CDTF">2014-10-18T18:34:10Z</dcterms:created>
  <dcterms:modified xsi:type="dcterms:W3CDTF">2016-11-28T01:01:48Z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