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johnm\OneDrive\Documents\Gutenberg\19-Procrastinators guide to modeling\SBUX\Files to publish\"/>
    </mc:Choice>
  </mc:AlternateContent>
  <xr:revisionPtr revIDLastSave="0" documentId="13_ncr:1_{15D81649-A9BB-4E58-AEA0-D2E0A9583613}" xr6:coauthVersionLast="47" xr6:coauthVersionMax="47" xr10:uidLastSave="{00000000-0000-0000-0000-000000000000}"/>
  <bookViews>
    <workbookView xWindow="-96" yWindow="-96" windowWidth="23232" windowHeight="12552" tabRatio="767" xr2:uid="{00000000-000D-0000-FFFF-FFFF00000000}"/>
  </bookViews>
  <sheets>
    <sheet name="Income Statement &amp; Segments" sheetId="36" r:id="rId1"/>
    <sheet name="Recon of ASRs" sheetId="31" state="hidden" r:id="rId2"/>
  </sheets>
  <definedNames>
    <definedName name="DATA">#REF!</definedName>
    <definedName name="_xlnm.Print_Area" localSheetId="0">'Income Statement &amp; Segments'!$B$1:$AB$316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39" i="36" l="1"/>
  <c r="AQ139" i="36"/>
  <c r="AL139" i="36"/>
  <c r="AG139" i="36"/>
  <c r="AB139" i="36"/>
  <c r="AV90" i="36"/>
  <c r="AQ90" i="36"/>
  <c r="AL90" i="36"/>
  <c r="AG90" i="36"/>
  <c r="AB90" i="36"/>
  <c r="W90" i="36"/>
  <c r="AV57" i="36"/>
  <c r="AQ57" i="36"/>
  <c r="AL57" i="36"/>
  <c r="AG57" i="36"/>
  <c r="AB57" i="36"/>
  <c r="W57" i="36"/>
  <c r="AR167" i="36"/>
  <c r="AR166" i="36"/>
  <c r="AR164" i="36"/>
  <c r="AM167" i="36"/>
  <c r="AM166" i="36"/>
  <c r="AM164" i="36"/>
  <c r="AH167" i="36"/>
  <c r="AH166" i="36"/>
  <c r="AH164" i="36"/>
  <c r="AC167" i="36"/>
  <c r="AC166" i="36"/>
  <c r="AC164" i="36"/>
  <c r="X164" i="36"/>
  <c r="X165" i="36"/>
  <c r="Y165" i="36" s="1"/>
  <c r="Z165" i="36" s="1"/>
  <c r="AA165" i="36" s="1"/>
  <c r="AC165" i="36" s="1"/>
  <c r="AD165" i="36" s="1"/>
  <c r="AE165" i="36" s="1"/>
  <c r="AF165" i="36" s="1"/>
  <c r="AH165" i="36" s="1"/>
  <c r="AI165" i="36" s="1"/>
  <c r="AJ165" i="36" s="1"/>
  <c r="AK165" i="36" s="1"/>
  <c r="AM165" i="36" s="1"/>
  <c r="AN165" i="36" s="1"/>
  <c r="AO165" i="36" s="1"/>
  <c r="AP165" i="36" s="1"/>
  <c r="AR165" i="36" s="1"/>
  <c r="AS165" i="36" s="1"/>
  <c r="AT165" i="36" s="1"/>
  <c r="AU165" i="36" s="1"/>
  <c r="X166" i="36"/>
  <c r="X167" i="36"/>
  <c r="X163" i="36"/>
  <c r="Y163" i="36" s="1"/>
  <c r="Z163" i="36" s="1"/>
  <c r="AA163" i="36" s="1"/>
  <c r="AC163" i="36" s="1"/>
  <c r="AD163" i="36" s="1"/>
  <c r="AE163" i="36" s="1"/>
  <c r="AF163" i="36" s="1"/>
  <c r="AH163" i="36" s="1"/>
  <c r="AI163" i="36" s="1"/>
  <c r="AJ163" i="36" s="1"/>
  <c r="AK163" i="36" s="1"/>
  <c r="AM163" i="36" s="1"/>
  <c r="AN163" i="36" s="1"/>
  <c r="AO163" i="36" s="1"/>
  <c r="AP163" i="36" s="1"/>
  <c r="AR163" i="36" s="1"/>
  <c r="AS163" i="36" s="1"/>
  <c r="AT163" i="36" s="1"/>
  <c r="AU163" i="36" s="1"/>
  <c r="AR119" i="36"/>
  <c r="AS119" i="36" s="1"/>
  <c r="AT119" i="36" s="1"/>
  <c r="AU119" i="36" s="1"/>
  <c r="AS116" i="36"/>
  <c r="AS115" i="36" s="1"/>
  <c r="AR116" i="36"/>
  <c r="AR113" i="36"/>
  <c r="AS113" i="36" s="1"/>
  <c r="AR112" i="36"/>
  <c r="AS111" i="36"/>
  <c r="AS110" i="36" s="1"/>
  <c r="AR111" i="36"/>
  <c r="AU108" i="36"/>
  <c r="AT108" i="36"/>
  <c r="AS108" i="36"/>
  <c r="AR108" i="36"/>
  <c r="AN119" i="36"/>
  <c r="AO119" i="36" s="1"/>
  <c r="AP119" i="36" s="1"/>
  <c r="AM119" i="36"/>
  <c r="AM116" i="36"/>
  <c r="AN116" i="36" s="1"/>
  <c r="AN113" i="36"/>
  <c r="AO113" i="36" s="1"/>
  <c r="AM113" i="36"/>
  <c r="AN112" i="36"/>
  <c r="AM112" i="36"/>
  <c r="AM111" i="36"/>
  <c r="AN111" i="36" s="1"/>
  <c r="AP108" i="36"/>
  <c r="AO108" i="36"/>
  <c r="AN108" i="36"/>
  <c r="AM108" i="36"/>
  <c r="AH119" i="36"/>
  <c r="AI119" i="36" s="1"/>
  <c r="AJ119" i="36" s="1"/>
  <c r="AK119" i="36" s="1"/>
  <c r="AH116" i="36"/>
  <c r="AH115" i="36" s="1"/>
  <c r="AH113" i="36"/>
  <c r="AI113" i="36" s="1"/>
  <c r="AH111" i="36"/>
  <c r="AH110" i="36" s="1"/>
  <c r="AK108" i="36"/>
  <c r="AJ108" i="36"/>
  <c r="AI108" i="36"/>
  <c r="AH108" i="36"/>
  <c r="AD119" i="36"/>
  <c r="AE119" i="36" s="1"/>
  <c r="AF119" i="36" s="1"/>
  <c r="AC119" i="36"/>
  <c r="AC116" i="36"/>
  <c r="AC115" i="36" s="1"/>
  <c r="AD113" i="36"/>
  <c r="AE113" i="36" s="1"/>
  <c r="AC113" i="36"/>
  <c r="AC112" i="36"/>
  <c r="AC111" i="36"/>
  <c r="AC110" i="36" s="1"/>
  <c r="AC118" i="36" s="1"/>
  <c r="AF108" i="36"/>
  <c r="AE108" i="36"/>
  <c r="AD108" i="36"/>
  <c r="AC108" i="36"/>
  <c r="AC120" i="36" s="1"/>
  <c r="AC121" i="36" s="1"/>
  <c r="AA119" i="36"/>
  <c r="Z119" i="36"/>
  <c r="Y119" i="36"/>
  <c r="X119" i="36"/>
  <c r="V119" i="36"/>
  <c r="AU91" i="36"/>
  <c r="AT91" i="36"/>
  <c r="AS91" i="36"/>
  <c r="AR91" i="36"/>
  <c r="AU88" i="36"/>
  <c r="AT88" i="36"/>
  <c r="AS88" i="36"/>
  <c r="AR88" i="36"/>
  <c r="AS83" i="36"/>
  <c r="AS85" i="36" s="1"/>
  <c r="AS87" i="36" s="1"/>
  <c r="AR83" i="36"/>
  <c r="AR85" i="36" s="1"/>
  <c r="AR87" i="36" s="1"/>
  <c r="AR92" i="36" s="1"/>
  <c r="AR78" i="36"/>
  <c r="AR95" i="36" s="1"/>
  <c r="AR76" i="36"/>
  <c r="AS74" i="36"/>
  <c r="AT74" i="36" s="1"/>
  <c r="AR74" i="36"/>
  <c r="AS76" i="36" s="1"/>
  <c r="AS78" i="36" s="1"/>
  <c r="AP91" i="36"/>
  <c r="AO91" i="36"/>
  <c r="AN91" i="36"/>
  <c r="AM91" i="36"/>
  <c r="AP88" i="36"/>
  <c r="AO88" i="36"/>
  <c r="AN88" i="36"/>
  <c r="AM88" i="36"/>
  <c r="AN87" i="36"/>
  <c r="AN92" i="36" s="1"/>
  <c r="AM87" i="36"/>
  <c r="AM92" i="36" s="1"/>
  <c r="AN85" i="36"/>
  <c r="AM85" i="36"/>
  <c r="AN83" i="36"/>
  <c r="AO83" i="36" s="1"/>
  <c r="AM83" i="36"/>
  <c r="AM90" i="36" s="1"/>
  <c r="AN78" i="36"/>
  <c r="AN95" i="36" s="1"/>
  <c r="AM78" i="36"/>
  <c r="AM79" i="36" s="1"/>
  <c r="AN76" i="36"/>
  <c r="AM76" i="36"/>
  <c r="AN74" i="36"/>
  <c r="AM74" i="36"/>
  <c r="AK91" i="36"/>
  <c r="AJ91" i="36"/>
  <c r="AI91" i="36"/>
  <c r="AH91" i="36"/>
  <c r="AK88" i="36"/>
  <c r="AJ88" i="36"/>
  <c r="AI88" i="36"/>
  <c r="AH88" i="36"/>
  <c r="AI85" i="36"/>
  <c r="AI87" i="36" s="1"/>
  <c r="AH85" i="36"/>
  <c r="AH87" i="36" s="1"/>
  <c r="AI83" i="36"/>
  <c r="AJ83" i="36" s="1"/>
  <c r="AH83" i="36"/>
  <c r="AH90" i="36" s="1"/>
  <c r="AI76" i="36"/>
  <c r="AI78" i="36" s="1"/>
  <c r="AH76" i="36"/>
  <c r="AH78" i="36" s="1"/>
  <c r="AI74" i="36"/>
  <c r="AJ74" i="36" s="1"/>
  <c r="AH74" i="36"/>
  <c r="AF91" i="36"/>
  <c r="AE91" i="36"/>
  <c r="AD91" i="36"/>
  <c r="AC91" i="36"/>
  <c r="AF88" i="36"/>
  <c r="AE88" i="36"/>
  <c r="AD88" i="36"/>
  <c r="AC88" i="36"/>
  <c r="AD83" i="36"/>
  <c r="AD85" i="36" s="1"/>
  <c r="AD87" i="36" s="1"/>
  <c r="AC83" i="36"/>
  <c r="AC85" i="36" s="1"/>
  <c r="AC87" i="36" s="1"/>
  <c r="AD74" i="36"/>
  <c r="AE74" i="36" s="1"/>
  <c r="AC74" i="36"/>
  <c r="AD76" i="36" s="1"/>
  <c r="AD78" i="36" s="1"/>
  <c r="AU58" i="36"/>
  <c r="AT58" i="36"/>
  <c r="AS58" i="36"/>
  <c r="AR58" i="36"/>
  <c r="AU55" i="36"/>
  <c r="AT55" i="36"/>
  <c r="AS55" i="36"/>
  <c r="AR55" i="36"/>
  <c r="AR50" i="36"/>
  <c r="AR52" i="36" s="1"/>
  <c r="AR54" i="36" s="1"/>
  <c r="AR41" i="36"/>
  <c r="AP58" i="36"/>
  <c r="AO58" i="36"/>
  <c r="AN58" i="36"/>
  <c r="AM58" i="36"/>
  <c r="AP55" i="36"/>
  <c r="AO55" i="36"/>
  <c r="AN55" i="36"/>
  <c r="AM55" i="36"/>
  <c r="AM50" i="36"/>
  <c r="AM52" i="36" s="1"/>
  <c r="AM54" i="36" s="1"/>
  <c r="AM43" i="36"/>
  <c r="AM45" i="36" s="1"/>
  <c r="AM41" i="36"/>
  <c r="AN41" i="36" s="1"/>
  <c r="AK58" i="36"/>
  <c r="AJ58" i="36"/>
  <c r="AI58" i="36"/>
  <c r="AH58" i="36"/>
  <c r="AK55" i="36"/>
  <c r="AJ55" i="36"/>
  <c r="AI55" i="36"/>
  <c r="AH55" i="36"/>
  <c r="AH50" i="36"/>
  <c r="AH57" i="36" s="1"/>
  <c r="AH41" i="36"/>
  <c r="AF58" i="36"/>
  <c r="AE58" i="36"/>
  <c r="AD58" i="36"/>
  <c r="AC58" i="36"/>
  <c r="AF55" i="36"/>
  <c r="AE55" i="36"/>
  <c r="AD55" i="36"/>
  <c r="AC55" i="36"/>
  <c r="AC50" i="36"/>
  <c r="AD50" i="36" s="1"/>
  <c r="AC41" i="36"/>
  <c r="AC43" i="36" s="1"/>
  <c r="AC45" i="36" s="1"/>
  <c r="AV22" i="36"/>
  <c r="AV21" i="36"/>
  <c r="AQ22" i="36"/>
  <c r="AQ21" i="36"/>
  <c r="AL22" i="36"/>
  <c r="AL21" i="36"/>
  <c r="AG22" i="36"/>
  <c r="AG21" i="36"/>
  <c r="AT113" i="36" l="1"/>
  <c r="AS112" i="36"/>
  <c r="AS118" i="36" s="1"/>
  <c r="AS120" i="36" s="1"/>
  <c r="AS121" i="36" s="1"/>
  <c r="AT116" i="36"/>
  <c r="AT111" i="36"/>
  <c r="AR110" i="36"/>
  <c r="AR115" i="36"/>
  <c r="AO111" i="36"/>
  <c r="AN110" i="36"/>
  <c r="AP113" i="36"/>
  <c r="AP112" i="36" s="1"/>
  <c r="AO112" i="36"/>
  <c r="AO116" i="36"/>
  <c r="AN115" i="36"/>
  <c r="AM110" i="36"/>
  <c r="AM115" i="36"/>
  <c r="AJ113" i="36"/>
  <c r="AI112" i="36"/>
  <c r="AH112" i="36"/>
  <c r="AH118" i="36" s="1"/>
  <c r="AH120" i="36" s="1"/>
  <c r="AH121" i="36" s="1"/>
  <c r="AI111" i="36"/>
  <c r="AI116" i="36"/>
  <c r="AF113" i="36"/>
  <c r="AF112" i="36" s="1"/>
  <c r="AE112" i="36"/>
  <c r="AD116" i="36"/>
  <c r="AD111" i="36"/>
  <c r="AD112" i="36"/>
  <c r="AU74" i="36"/>
  <c r="AU76" i="36"/>
  <c r="AU78" i="36" s="1"/>
  <c r="AT76" i="36"/>
  <c r="AT78" i="36" s="1"/>
  <c r="AS95" i="36"/>
  <c r="AS79" i="36"/>
  <c r="AR97" i="36"/>
  <c r="AR100" i="36"/>
  <c r="AR93" i="36"/>
  <c r="AR103" i="36" s="1"/>
  <c r="AR105" i="36" s="1"/>
  <c r="AR106" i="36" s="1"/>
  <c r="AS92" i="36"/>
  <c r="AR79" i="36"/>
  <c r="AR90" i="36"/>
  <c r="AS90" i="36"/>
  <c r="AT83" i="36"/>
  <c r="AO85" i="36"/>
  <c r="AO87" i="36" s="1"/>
  <c r="AP83" i="36"/>
  <c r="AO90" i="36"/>
  <c r="AM97" i="36"/>
  <c r="AM100" i="36"/>
  <c r="AM93" i="36"/>
  <c r="AN97" i="36"/>
  <c r="AN100" i="36"/>
  <c r="AN93" i="36"/>
  <c r="AN103" i="36" s="1"/>
  <c r="AN105" i="36" s="1"/>
  <c r="AN106" i="36" s="1"/>
  <c r="AM95" i="36"/>
  <c r="AN79" i="36"/>
  <c r="AN90" i="36"/>
  <c r="AO74" i="36"/>
  <c r="AH95" i="36"/>
  <c r="AH79" i="36"/>
  <c r="AJ90" i="36"/>
  <c r="AJ85" i="36"/>
  <c r="AJ87" i="36" s="1"/>
  <c r="AK83" i="36"/>
  <c r="AI92" i="36"/>
  <c r="AJ76" i="36"/>
  <c r="AJ78" i="36" s="1"/>
  <c r="AK76" i="36"/>
  <c r="AK78" i="36" s="1"/>
  <c r="AK74" i="36"/>
  <c r="AI95" i="36"/>
  <c r="AI79" i="36"/>
  <c r="AH92" i="36"/>
  <c r="AI90" i="36"/>
  <c r="AD95" i="36"/>
  <c r="AD79" i="36"/>
  <c r="AF74" i="36"/>
  <c r="AF76" i="36"/>
  <c r="AF78" i="36" s="1"/>
  <c r="AD92" i="36"/>
  <c r="AE76" i="36"/>
  <c r="AE78" i="36" s="1"/>
  <c r="AC90" i="36"/>
  <c r="AD90" i="36"/>
  <c r="AE83" i="36"/>
  <c r="AC76" i="36"/>
  <c r="AC78" i="36" s="1"/>
  <c r="AS43" i="36"/>
  <c r="AS45" i="36" s="1"/>
  <c r="AR59" i="36"/>
  <c r="AR57" i="36"/>
  <c r="AS41" i="36"/>
  <c r="AS50" i="36"/>
  <c r="AR43" i="36"/>
  <c r="AR45" i="36" s="1"/>
  <c r="AO43" i="36"/>
  <c r="AO45" i="36" s="1"/>
  <c r="AN43" i="36"/>
  <c r="AN45" i="36" s="1"/>
  <c r="AO41" i="36"/>
  <c r="AM46" i="36"/>
  <c r="AM62" i="36"/>
  <c r="AM59" i="36"/>
  <c r="AN50" i="36"/>
  <c r="AM57" i="36"/>
  <c r="AI43" i="36"/>
  <c r="AI45" i="36" s="1"/>
  <c r="AI41" i="36"/>
  <c r="AI50" i="36"/>
  <c r="AH43" i="36"/>
  <c r="AH45" i="36" s="1"/>
  <c r="AH52" i="36"/>
  <c r="AH54" i="36" s="1"/>
  <c r="AH59" i="36" s="1"/>
  <c r="AD52" i="36"/>
  <c r="AD54" i="36" s="1"/>
  <c r="AE50" i="36"/>
  <c r="AC62" i="36"/>
  <c r="AC46" i="36"/>
  <c r="AC57" i="36"/>
  <c r="AC52" i="36"/>
  <c r="AC54" i="36" s="1"/>
  <c r="AC59" i="36" s="1"/>
  <c r="AD41" i="36"/>
  <c r="AT115" i="36" l="1"/>
  <c r="AU116" i="36"/>
  <c r="AU115" i="36" s="1"/>
  <c r="AU113" i="36"/>
  <c r="AU112" i="36" s="1"/>
  <c r="AT112" i="36"/>
  <c r="AT110" i="36"/>
  <c r="AU111" i="36"/>
  <c r="AU110" i="36" s="1"/>
  <c r="AR118" i="36"/>
  <c r="AR120" i="36" s="1"/>
  <c r="AR121" i="36" s="1"/>
  <c r="AM118" i="36"/>
  <c r="AM120" i="36" s="1"/>
  <c r="AM121" i="36" s="1"/>
  <c r="AP116" i="36"/>
  <c r="AP115" i="36" s="1"/>
  <c r="AO115" i="36"/>
  <c r="AP111" i="36"/>
  <c r="AP110" i="36" s="1"/>
  <c r="AO110" i="36"/>
  <c r="AN118" i="36"/>
  <c r="AN120" i="36" s="1"/>
  <c r="AN121" i="36" s="1"/>
  <c r="AK113" i="36"/>
  <c r="AK112" i="36" s="1"/>
  <c r="AJ112" i="36"/>
  <c r="AI115" i="36"/>
  <c r="AJ116" i="36"/>
  <c r="AI110" i="36"/>
  <c r="AI118" i="36" s="1"/>
  <c r="AI120" i="36" s="1"/>
  <c r="AI121" i="36" s="1"/>
  <c r="AJ111" i="36"/>
  <c r="AD110" i="36"/>
  <c r="AD118" i="36" s="1"/>
  <c r="AD120" i="36" s="1"/>
  <c r="AD121" i="36" s="1"/>
  <c r="AE111" i="36"/>
  <c r="AD115" i="36"/>
  <c r="AE116" i="36"/>
  <c r="AU95" i="36"/>
  <c r="AU79" i="36"/>
  <c r="AU83" i="36"/>
  <c r="AT90" i="36"/>
  <c r="AT85" i="36"/>
  <c r="AT87" i="36" s="1"/>
  <c r="AT92" i="36" s="1"/>
  <c r="AS97" i="36"/>
  <c r="AS93" i="36"/>
  <c r="AS100" i="36"/>
  <c r="AT95" i="36"/>
  <c r="AT79" i="36"/>
  <c r="AP74" i="36"/>
  <c r="AP76" i="36" s="1"/>
  <c r="AP78" i="36" s="1"/>
  <c r="AP85" i="36"/>
  <c r="AP87" i="36" s="1"/>
  <c r="AP90" i="36"/>
  <c r="AO76" i="36"/>
  <c r="AO78" i="36" s="1"/>
  <c r="AM103" i="36"/>
  <c r="AM105" i="36" s="1"/>
  <c r="AM106" i="36" s="1"/>
  <c r="AJ95" i="36"/>
  <c r="AJ79" i="36"/>
  <c r="AJ92" i="36"/>
  <c r="AI93" i="36"/>
  <c r="AI97" i="36"/>
  <c r="AI100" i="36"/>
  <c r="AH93" i="36"/>
  <c r="AH100" i="36"/>
  <c r="AH97" i="36"/>
  <c r="AK90" i="36"/>
  <c r="AK85" i="36"/>
  <c r="AK87" i="36" s="1"/>
  <c r="AK92" i="36" s="1"/>
  <c r="AK95" i="36"/>
  <c r="AK79" i="36"/>
  <c r="AC79" i="36"/>
  <c r="AC95" i="36"/>
  <c r="AE95" i="36"/>
  <c r="AE79" i="36"/>
  <c r="AD97" i="36"/>
  <c r="AD100" i="36"/>
  <c r="AD93" i="36"/>
  <c r="AD103" i="36" s="1"/>
  <c r="AD105" i="36" s="1"/>
  <c r="AD106" i="36" s="1"/>
  <c r="AC92" i="36"/>
  <c r="AF95" i="36"/>
  <c r="AF79" i="36"/>
  <c r="AE85" i="36"/>
  <c r="AE87" i="36" s="1"/>
  <c r="AE92" i="36" s="1"/>
  <c r="AF83" i="36"/>
  <c r="AE90" i="36"/>
  <c r="AR67" i="36"/>
  <c r="AR64" i="36"/>
  <c r="AR60" i="36"/>
  <c r="AS46" i="36"/>
  <c r="AS62" i="36"/>
  <c r="AR46" i="36"/>
  <c r="AR62" i="36"/>
  <c r="AS52" i="36"/>
  <c r="AS54" i="36" s="1"/>
  <c r="AS59" i="36" s="1"/>
  <c r="AT50" i="36"/>
  <c r="AS57" i="36"/>
  <c r="AT43" i="36"/>
  <c r="AT45" i="36" s="1"/>
  <c r="AT41" i="36"/>
  <c r="AO62" i="36"/>
  <c r="AO46" i="36"/>
  <c r="AN52" i="36"/>
  <c r="AN54" i="36" s="1"/>
  <c r="AN59" i="36" s="1"/>
  <c r="AO50" i="36"/>
  <c r="AN57" i="36"/>
  <c r="AN46" i="36"/>
  <c r="AN62" i="36"/>
  <c r="AM67" i="36"/>
  <c r="AM60" i="36"/>
  <c r="AM64" i="36"/>
  <c r="AP41" i="36"/>
  <c r="AP43" i="36" s="1"/>
  <c r="AP45" i="36" s="1"/>
  <c r="AH60" i="36"/>
  <c r="AH67" i="36"/>
  <c r="AH64" i="36"/>
  <c r="AI46" i="36"/>
  <c r="AI62" i="36"/>
  <c r="AH46" i="36"/>
  <c r="AH62" i="36"/>
  <c r="AI52" i="36"/>
  <c r="AI54" i="36" s="1"/>
  <c r="AI59" i="36" s="1"/>
  <c r="AJ50" i="36"/>
  <c r="AI57" i="36"/>
  <c r="AJ41" i="36"/>
  <c r="AC60" i="36"/>
  <c r="AC67" i="36"/>
  <c r="AC64" i="36"/>
  <c r="AE41" i="36"/>
  <c r="AE43" i="36"/>
  <c r="AE45" i="36" s="1"/>
  <c r="AD43" i="36"/>
  <c r="AD45" i="36" s="1"/>
  <c r="AE52" i="36"/>
  <c r="AE54" i="36" s="1"/>
  <c r="AE59" i="36" s="1"/>
  <c r="AF50" i="36"/>
  <c r="AE57" i="36"/>
  <c r="AD57" i="36"/>
  <c r="AU118" i="36" l="1"/>
  <c r="AU120" i="36" s="1"/>
  <c r="AU121" i="36" s="1"/>
  <c r="AT118" i="36"/>
  <c r="AT120" i="36" s="1"/>
  <c r="AT121" i="36" s="1"/>
  <c r="AO118" i="36"/>
  <c r="AO120" i="36" s="1"/>
  <c r="AO121" i="36" s="1"/>
  <c r="AP118" i="36"/>
  <c r="AP120" i="36" s="1"/>
  <c r="AP121" i="36" s="1"/>
  <c r="AJ110" i="36"/>
  <c r="AK111" i="36"/>
  <c r="AK110" i="36" s="1"/>
  <c r="AJ115" i="36"/>
  <c r="AK116" i="36"/>
  <c r="AK115" i="36" s="1"/>
  <c r="AF111" i="36"/>
  <c r="AF110" i="36" s="1"/>
  <c r="AE110" i="36"/>
  <c r="AE118" i="36" s="1"/>
  <c r="AE120" i="36" s="1"/>
  <c r="AE121" i="36" s="1"/>
  <c r="AF116" i="36"/>
  <c r="AF115" i="36" s="1"/>
  <c r="AE115" i="36"/>
  <c r="AS103" i="36"/>
  <c r="AS105" i="36" s="1"/>
  <c r="AS106" i="36" s="1"/>
  <c r="AT97" i="36"/>
  <c r="AT93" i="36"/>
  <c r="AT100" i="36"/>
  <c r="AU90" i="36"/>
  <c r="AU85" i="36"/>
  <c r="AU87" i="36" s="1"/>
  <c r="AU92" i="36" s="1"/>
  <c r="AP95" i="36"/>
  <c r="AP79" i="36"/>
  <c r="AO95" i="36"/>
  <c r="AO79" i="36"/>
  <c r="AP92" i="36"/>
  <c r="AO92" i="36"/>
  <c r="AI103" i="36"/>
  <c r="AI105" i="36" s="1"/>
  <c r="AI106" i="36" s="1"/>
  <c r="AK93" i="36"/>
  <c r="AK100" i="36"/>
  <c r="AK97" i="36"/>
  <c r="AH103" i="36"/>
  <c r="AH105" i="36" s="1"/>
  <c r="AH106" i="36" s="1"/>
  <c r="AJ93" i="36"/>
  <c r="AJ97" i="36"/>
  <c r="AJ100" i="36"/>
  <c r="AF90" i="36"/>
  <c r="AF85" i="36"/>
  <c r="AF87" i="36" s="1"/>
  <c r="AF92" i="36" s="1"/>
  <c r="AE93" i="36"/>
  <c r="AE97" i="36"/>
  <c r="AE100" i="36"/>
  <c r="AC100" i="36"/>
  <c r="AC97" i="36"/>
  <c r="AC93" i="36"/>
  <c r="AC103" i="36" s="1"/>
  <c r="AC105" i="36" s="1"/>
  <c r="AC106" i="36" s="1"/>
  <c r="AT46" i="36"/>
  <c r="AT62" i="36"/>
  <c r="AU43" i="36"/>
  <c r="AU45" i="36" s="1"/>
  <c r="AU41" i="36"/>
  <c r="AU50" i="36"/>
  <c r="AT57" i="36"/>
  <c r="AT52" i="36"/>
  <c r="AT54" i="36" s="1"/>
  <c r="AT59" i="36" s="1"/>
  <c r="AS67" i="36"/>
  <c r="AS64" i="36"/>
  <c r="AS60" i="36"/>
  <c r="AP62" i="36"/>
  <c r="AP46" i="36"/>
  <c r="AO52" i="36"/>
  <c r="AO54" i="36" s="1"/>
  <c r="AO59" i="36" s="1"/>
  <c r="AP50" i="36"/>
  <c r="AO57" i="36"/>
  <c r="AN64" i="36"/>
  <c r="AN67" i="36"/>
  <c r="AN60" i="36"/>
  <c r="AK41" i="36"/>
  <c r="AK43" i="36" s="1"/>
  <c r="AK45" i="36" s="1"/>
  <c r="AJ52" i="36"/>
  <c r="AJ54" i="36" s="1"/>
  <c r="AK50" i="36"/>
  <c r="AJ57" i="36"/>
  <c r="AJ43" i="36"/>
  <c r="AJ45" i="36" s="1"/>
  <c r="AI67" i="36"/>
  <c r="AI64" i="36"/>
  <c r="AI60" i="36"/>
  <c r="AE64" i="36"/>
  <c r="AE67" i="36"/>
  <c r="AE60" i="36"/>
  <c r="AD62" i="36"/>
  <c r="AD46" i="36"/>
  <c r="AD59" i="36"/>
  <c r="AF41" i="36"/>
  <c r="AF43" i="36" s="1"/>
  <c r="AF45" i="36" s="1"/>
  <c r="AF57" i="36"/>
  <c r="AF52" i="36"/>
  <c r="AF54" i="36" s="1"/>
  <c r="AE46" i="36"/>
  <c r="AE62" i="36"/>
  <c r="AK118" i="36" l="1"/>
  <c r="AK120" i="36" s="1"/>
  <c r="AK121" i="36" s="1"/>
  <c r="AJ118" i="36"/>
  <c r="AJ120" i="36" s="1"/>
  <c r="AJ121" i="36" s="1"/>
  <c r="AF118" i="36"/>
  <c r="AF120" i="36" s="1"/>
  <c r="AF121" i="36" s="1"/>
  <c r="AU105" i="36"/>
  <c r="AU106" i="36" s="1"/>
  <c r="AU97" i="36"/>
  <c r="AU93" i="36"/>
  <c r="AU103" i="36" s="1"/>
  <c r="AU100" i="36"/>
  <c r="AT103" i="36"/>
  <c r="AT105" i="36" s="1"/>
  <c r="AT106" i="36" s="1"/>
  <c r="AO97" i="36"/>
  <c r="AO100" i="36"/>
  <c r="AO93" i="36"/>
  <c r="AO103" i="36" s="1"/>
  <c r="AO105" i="36" s="1"/>
  <c r="AO106" i="36" s="1"/>
  <c r="AP97" i="36"/>
  <c r="AP93" i="36"/>
  <c r="AP100" i="36"/>
  <c r="AJ103" i="36"/>
  <c r="AJ105" i="36" s="1"/>
  <c r="AJ106" i="36" s="1"/>
  <c r="AK103" i="36"/>
  <c r="AK105" i="36" s="1"/>
  <c r="AK106" i="36" s="1"/>
  <c r="AE103" i="36"/>
  <c r="AE105" i="36" s="1"/>
  <c r="AE106" i="36" s="1"/>
  <c r="AF93" i="36"/>
  <c r="AF97" i="36"/>
  <c r="AF100" i="36"/>
  <c r="AT64" i="36"/>
  <c r="AT67" i="36"/>
  <c r="AT60" i="36"/>
  <c r="AU57" i="36"/>
  <c r="AU52" i="36"/>
  <c r="AU54" i="36" s="1"/>
  <c r="AU59" i="36" s="1"/>
  <c r="AU62" i="36"/>
  <c r="AU46" i="36"/>
  <c r="AP52" i="36"/>
  <c r="AP54" i="36" s="1"/>
  <c r="AP59" i="36" s="1"/>
  <c r="AP57" i="36"/>
  <c r="AO64" i="36"/>
  <c r="AO67" i="36"/>
  <c r="AO60" i="36"/>
  <c r="AK62" i="36"/>
  <c r="AK46" i="36"/>
  <c r="AJ46" i="36"/>
  <c r="AJ62" i="36"/>
  <c r="AK52" i="36"/>
  <c r="AK54" i="36" s="1"/>
  <c r="AK59" i="36" s="1"/>
  <c r="AK57" i="36"/>
  <c r="AJ59" i="36"/>
  <c r="AF46" i="36"/>
  <c r="AF62" i="36"/>
  <c r="AF59" i="36"/>
  <c r="AD67" i="36"/>
  <c r="AD64" i="36"/>
  <c r="AD60" i="36"/>
  <c r="AP103" i="36" l="1"/>
  <c r="AP105" i="36" s="1"/>
  <c r="AP106" i="36" s="1"/>
  <c r="AF103" i="36"/>
  <c r="AF105" i="36" s="1"/>
  <c r="AF106" i="36" s="1"/>
  <c r="AU64" i="36"/>
  <c r="AU67" i="36"/>
  <c r="AU60" i="36"/>
  <c r="AP64" i="36"/>
  <c r="AP60" i="36"/>
  <c r="AP67" i="36"/>
  <c r="AJ67" i="36"/>
  <c r="AJ64" i="36"/>
  <c r="AJ60" i="36"/>
  <c r="AK67" i="36"/>
  <c r="AK64" i="36"/>
  <c r="AK60" i="36"/>
  <c r="AF67" i="36"/>
  <c r="AF60" i="36"/>
  <c r="AF64" i="36"/>
  <c r="V152" i="36" l="1"/>
  <c r="V151" i="36"/>
  <c r="G152" i="36"/>
  <c r="F152" i="36"/>
  <c r="E152" i="36"/>
  <c r="G151" i="36"/>
  <c r="F151" i="36"/>
  <c r="E151" i="36"/>
  <c r="K152" i="36"/>
  <c r="J152" i="36"/>
  <c r="I152" i="36"/>
  <c r="K151" i="36"/>
  <c r="J151" i="36"/>
  <c r="I151" i="36"/>
  <c r="U151" i="36"/>
  <c r="U152" i="36"/>
  <c r="S152" i="36"/>
  <c r="S151" i="36"/>
  <c r="T151" i="36"/>
  <c r="T152" i="36"/>
  <c r="T154" i="36" l="1"/>
  <c r="S154" i="36"/>
  <c r="U172" i="36"/>
  <c r="U124" i="36"/>
  <c r="U116" i="36"/>
  <c r="U113" i="36"/>
  <c r="U111" i="36"/>
  <c r="U109" i="36"/>
  <c r="U96" i="36"/>
  <c r="U89" i="36"/>
  <c r="U63" i="36"/>
  <c r="U58" i="36"/>
  <c r="U56" i="36"/>
  <c r="T79" i="36"/>
  <c r="S79" i="36"/>
  <c r="Q79" i="36"/>
  <c r="P79" i="36"/>
  <c r="O79" i="36"/>
  <c r="N79" i="36"/>
  <c r="L79" i="36"/>
  <c r="K79" i="36"/>
  <c r="J79" i="36"/>
  <c r="I79" i="36"/>
  <c r="N76" i="36"/>
  <c r="N77" i="36" s="1"/>
  <c r="I76" i="36"/>
  <c r="I77" i="36" s="1"/>
  <c r="L76" i="36"/>
  <c r="L77" i="36" s="1"/>
  <c r="K76" i="36"/>
  <c r="K77" i="36" s="1"/>
  <c r="J76" i="36"/>
  <c r="J77" i="36" s="1"/>
  <c r="F76" i="36"/>
  <c r="F77" i="36" s="1"/>
  <c r="G76" i="36"/>
  <c r="G77" i="36" s="1"/>
  <c r="E76" i="36"/>
  <c r="E77" i="36" s="1"/>
  <c r="G43" i="36"/>
  <c r="G44" i="36" s="1"/>
  <c r="F43" i="36"/>
  <c r="F44" i="36" s="1"/>
  <c r="E43" i="36"/>
  <c r="E44" i="36" s="1"/>
  <c r="L43" i="36"/>
  <c r="L44" i="36" s="1"/>
  <c r="K43" i="36"/>
  <c r="K44" i="36" s="1"/>
  <c r="J43" i="36"/>
  <c r="J44" i="36" s="1"/>
  <c r="I43" i="36"/>
  <c r="I44" i="36" s="1"/>
  <c r="N43" i="36"/>
  <c r="N44" i="36" s="1"/>
  <c r="T46" i="36"/>
  <c r="S46" i="36"/>
  <c r="Q46" i="36"/>
  <c r="P46" i="36"/>
  <c r="O46" i="36"/>
  <c r="N46" i="36"/>
  <c r="J46" i="36"/>
  <c r="K46" i="36"/>
  <c r="L46" i="36"/>
  <c r="I46" i="36"/>
  <c r="AV154" i="36"/>
  <c r="AV117" i="36"/>
  <c r="AV102" i="36"/>
  <c r="AV69" i="36"/>
  <c r="AV20" i="36"/>
  <c r="T172" i="36"/>
  <c r="T171" i="36"/>
  <c r="S165" i="36"/>
  <c r="T124" i="36"/>
  <c r="S124" i="36"/>
  <c r="T116" i="36"/>
  <c r="S116" i="36"/>
  <c r="T113" i="36"/>
  <c r="S113" i="36"/>
  <c r="T111" i="36"/>
  <c r="S111" i="36"/>
  <c r="T109" i="36"/>
  <c r="S109" i="36"/>
  <c r="T96" i="36"/>
  <c r="S96" i="36"/>
  <c r="T89" i="36"/>
  <c r="S89" i="36"/>
  <c r="T63" i="36"/>
  <c r="S63" i="36"/>
  <c r="T56" i="36"/>
  <c r="S56" i="36"/>
  <c r="S70" i="36"/>
  <c r="V154" i="36"/>
  <c r="W154" i="36" s="1"/>
  <c r="Q172" i="36" l="1"/>
  <c r="Q171" i="36"/>
  <c r="Q8" i="36"/>
  <c r="Q15" i="36"/>
  <c r="Q168" i="36"/>
  <c r="Q170" i="36" s="1"/>
  <c r="Q18" i="36" s="1"/>
  <c r="R5" i="36"/>
  <c r="R6" i="36"/>
  <c r="R7" i="36"/>
  <c r="R10" i="36"/>
  <c r="R11" i="36"/>
  <c r="R12" i="36"/>
  <c r="R13" i="36"/>
  <c r="R14" i="36"/>
  <c r="R9" i="36"/>
  <c r="R16" i="36"/>
  <c r="R20" i="36"/>
  <c r="R21" i="36"/>
  <c r="R22" i="36"/>
  <c r="R24" i="36"/>
  <c r="T26" i="36"/>
  <c r="V26" i="36" s="1"/>
  <c r="W26" i="36" s="1"/>
  <c r="O124" i="36"/>
  <c r="P124" i="36"/>
  <c r="Q124" i="36"/>
  <c r="Q116" i="36"/>
  <c r="Q113" i="36"/>
  <c r="Q111" i="36"/>
  <c r="Q109" i="36"/>
  <c r="Q103" i="36"/>
  <c r="Q96" i="36"/>
  <c r="Q89" i="36"/>
  <c r="Q63" i="36"/>
  <c r="Q56" i="36"/>
  <c r="P15" i="36"/>
  <c r="V55" i="36"/>
  <c r="AA55" i="36" s="1"/>
  <c r="V88" i="36"/>
  <c r="AA88" i="36" s="1"/>
  <c r="V108" i="36"/>
  <c r="AA108" i="36" s="1"/>
  <c r="Q59" i="36"/>
  <c r="Q61" i="36" s="1"/>
  <c r="Q70" i="36"/>
  <c r="R78" i="36"/>
  <c r="R87" i="36"/>
  <c r="R88" i="36"/>
  <c r="Q92" i="36"/>
  <c r="Q94" i="36" s="1"/>
  <c r="R93" i="36"/>
  <c r="R95" i="36"/>
  <c r="R97" i="36"/>
  <c r="R99" i="36"/>
  <c r="R100" i="36"/>
  <c r="R104" i="36"/>
  <c r="R108" i="36"/>
  <c r="R110" i="36"/>
  <c r="R112" i="36"/>
  <c r="R114" i="36"/>
  <c r="R115" i="36"/>
  <c r="Q118" i="36"/>
  <c r="Q120" i="36" s="1"/>
  <c r="R119" i="36"/>
  <c r="R123" i="36"/>
  <c r="R125" i="36"/>
  <c r="R126" i="36"/>
  <c r="R127" i="36"/>
  <c r="R128" i="36"/>
  <c r="R129" i="36"/>
  <c r="Q130" i="36"/>
  <c r="Q133" i="36"/>
  <c r="Q134" i="36"/>
  <c r="Q135" i="36"/>
  <c r="Q136" i="36"/>
  <c r="R26" i="36"/>
  <c r="O50" i="36"/>
  <c r="P50" i="36" s="1"/>
  <c r="P52" i="36" s="1"/>
  <c r="P53" i="36" s="1"/>
  <c r="O83" i="36"/>
  <c r="P83" i="36" s="1"/>
  <c r="D63" i="36"/>
  <c r="E63" i="36"/>
  <c r="F63" i="36"/>
  <c r="G63" i="36"/>
  <c r="N96" i="36"/>
  <c r="O96" i="36"/>
  <c r="P96" i="36"/>
  <c r="P59" i="36"/>
  <c r="N92" i="36"/>
  <c r="O92" i="36"/>
  <c r="O94" i="36" s="1"/>
  <c r="P92" i="36"/>
  <c r="P101" i="36" s="1"/>
  <c r="D59" i="36"/>
  <c r="D61" i="36" s="1"/>
  <c r="E59" i="36"/>
  <c r="E65" i="36" s="1"/>
  <c r="F59" i="36"/>
  <c r="F68" i="36" s="1"/>
  <c r="G59" i="36"/>
  <c r="G65" i="36" s="1"/>
  <c r="I59" i="36"/>
  <c r="I65" i="36" s="1"/>
  <c r="J59" i="36"/>
  <c r="J61" i="36" s="1"/>
  <c r="K59" i="36"/>
  <c r="K68" i="36" s="1"/>
  <c r="L59" i="36"/>
  <c r="L65" i="36" s="1"/>
  <c r="N59" i="36"/>
  <c r="N61" i="36" s="1"/>
  <c r="O59" i="36"/>
  <c r="O65" i="36" s="1"/>
  <c r="P116" i="36"/>
  <c r="P111" i="36"/>
  <c r="H8" i="36"/>
  <c r="H15" i="36"/>
  <c r="M5" i="36"/>
  <c r="M6" i="36"/>
  <c r="M7" i="36"/>
  <c r="M10" i="36"/>
  <c r="M11" i="36"/>
  <c r="M12" i="36"/>
  <c r="M13" i="36"/>
  <c r="M14" i="36"/>
  <c r="M9" i="36"/>
  <c r="M16" i="36"/>
  <c r="M21" i="36"/>
  <c r="M22" i="36"/>
  <c r="M20" i="36"/>
  <c r="M24" i="36"/>
  <c r="N8" i="36"/>
  <c r="N15" i="36"/>
  <c r="O8" i="36"/>
  <c r="O15" i="36"/>
  <c r="P8" i="36"/>
  <c r="I8" i="36"/>
  <c r="I15" i="36"/>
  <c r="J8" i="36"/>
  <c r="J15" i="36"/>
  <c r="K8" i="36"/>
  <c r="K15" i="36"/>
  <c r="P155" i="36"/>
  <c r="Q155" i="36"/>
  <c r="S50" i="36"/>
  <c r="S83" i="36"/>
  <c r="X88" i="36"/>
  <c r="I168" i="36"/>
  <c r="I170" i="36" s="1"/>
  <c r="I18" i="36" s="1"/>
  <c r="J168" i="36"/>
  <c r="J170" i="36" s="1"/>
  <c r="K163" i="36"/>
  <c r="L168" i="36"/>
  <c r="L170" i="36" s="1"/>
  <c r="L18" i="36" s="1"/>
  <c r="N168" i="36"/>
  <c r="N170" i="36" s="1"/>
  <c r="O168" i="36"/>
  <c r="O170" i="36" s="1"/>
  <c r="P168" i="36"/>
  <c r="P170" i="36" s="1"/>
  <c r="P18" i="36" s="1"/>
  <c r="L8" i="36"/>
  <c r="G9" i="36"/>
  <c r="L15" i="36"/>
  <c r="O41" i="36"/>
  <c r="O74" i="36"/>
  <c r="Z55" i="36"/>
  <c r="Z88" i="36"/>
  <c r="Z108" i="36"/>
  <c r="X55" i="36"/>
  <c r="X108" i="36"/>
  <c r="Y55" i="36"/>
  <c r="W20" i="36"/>
  <c r="AB20" i="36"/>
  <c r="AG20" i="36"/>
  <c r="AL20" i="36"/>
  <c r="AQ20" i="36"/>
  <c r="G5" i="36"/>
  <c r="G6" i="36"/>
  <c r="G134" i="36" s="1"/>
  <c r="G7" i="36"/>
  <c r="G135" i="36" s="1"/>
  <c r="F8" i="36"/>
  <c r="E8" i="36"/>
  <c r="D8" i="36"/>
  <c r="G10" i="36"/>
  <c r="G11" i="36"/>
  <c r="G12" i="36"/>
  <c r="G13" i="36"/>
  <c r="G14" i="36"/>
  <c r="G16" i="36"/>
  <c r="G136" i="36" s="1"/>
  <c r="G21" i="36"/>
  <c r="G22" i="36"/>
  <c r="G20" i="36"/>
  <c r="G24" i="36"/>
  <c r="F15" i="36"/>
  <c r="E15" i="36"/>
  <c r="D15" i="36"/>
  <c r="M26" i="36"/>
  <c r="P172" i="36"/>
  <c r="P28" i="36" s="1"/>
  <c r="O172" i="36"/>
  <c r="O28" i="36" s="1"/>
  <c r="N172" i="36"/>
  <c r="N28" i="36" s="1"/>
  <c r="K172" i="36"/>
  <c r="K28" i="36" s="1"/>
  <c r="G163" i="36"/>
  <c r="G165" i="36"/>
  <c r="F168" i="36"/>
  <c r="E168" i="36"/>
  <c r="E170" i="36" s="1"/>
  <c r="D163" i="36"/>
  <c r="D164" i="36"/>
  <c r="D165" i="36"/>
  <c r="F171" i="36"/>
  <c r="E171" i="36"/>
  <c r="H166" i="36"/>
  <c r="H167" i="36"/>
  <c r="F161" i="36"/>
  <c r="E161" i="36"/>
  <c r="E158" i="36"/>
  <c r="D157" i="36"/>
  <c r="N155" i="36"/>
  <c r="O155" i="36"/>
  <c r="I155" i="36"/>
  <c r="J155" i="36"/>
  <c r="K155" i="36"/>
  <c r="L155" i="36"/>
  <c r="E155" i="36"/>
  <c r="F154" i="36"/>
  <c r="G155" i="36"/>
  <c r="AQ154" i="36"/>
  <c r="AL154" i="36"/>
  <c r="AG154" i="36"/>
  <c r="AB154" i="36"/>
  <c r="R154" i="36"/>
  <c r="M154" i="36"/>
  <c r="I28" i="36"/>
  <c r="J28" i="36"/>
  <c r="L28" i="36"/>
  <c r="D28" i="36"/>
  <c r="G28" i="36"/>
  <c r="G26" i="36"/>
  <c r="P70" i="36"/>
  <c r="P103" i="36"/>
  <c r="P118" i="36"/>
  <c r="P120" i="36" s="1"/>
  <c r="P130" i="36"/>
  <c r="P131" i="36" s="1"/>
  <c r="O70" i="36"/>
  <c r="O103" i="36"/>
  <c r="O118" i="36"/>
  <c r="O120" i="36" s="1"/>
  <c r="O130" i="36"/>
  <c r="O131" i="36" s="1"/>
  <c r="N70" i="36"/>
  <c r="N103" i="36"/>
  <c r="N118" i="36"/>
  <c r="N130" i="36"/>
  <c r="N131" i="36" s="1"/>
  <c r="L70" i="36"/>
  <c r="L92" i="36"/>
  <c r="L101" i="36" s="1"/>
  <c r="L103" i="36"/>
  <c r="L118" i="36"/>
  <c r="L130" i="36"/>
  <c r="K70" i="36"/>
  <c r="K92" i="36"/>
  <c r="K101" i="36" s="1"/>
  <c r="K103" i="36"/>
  <c r="K118" i="36"/>
  <c r="K120" i="36" s="1"/>
  <c r="K121" i="36" s="1"/>
  <c r="K130" i="36"/>
  <c r="J70" i="36"/>
  <c r="J92" i="36"/>
  <c r="J103" i="36"/>
  <c r="J118" i="36"/>
  <c r="J120" i="36" s="1"/>
  <c r="J121" i="36" s="1"/>
  <c r="J130" i="36"/>
  <c r="I70" i="36"/>
  <c r="I92" i="36"/>
  <c r="I94" i="36" s="1"/>
  <c r="I103" i="36"/>
  <c r="I118" i="36"/>
  <c r="I130" i="36"/>
  <c r="I131" i="36" s="1"/>
  <c r="G70" i="36"/>
  <c r="G92" i="36"/>
  <c r="G98" i="36" s="1"/>
  <c r="G103" i="36"/>
  <c r="G118" i="36"/>
  <c r="G120" i="36" s="1"/>
  <c r="G126" i="36"/>
  <c r="G130" i="36" s="1"/>
  <c r="F70" i="36"/>
  <c r="F92" i="36"/>
  <c r="F101" i="36" s="1"/>
  <c r="F103" i="36"/>
  <c r="F118" i="36"/>
  <c r="F130" i="36"/>
  <c r="E70" i="36"/>
  <c r="E92" i="36"/>
  <c r="E98" i="36" s="1"/>
  <c r="E103" i="36"/>
  <c r="E118" i="36"/>
  <c r="E120" i="36" s="1"/>
  <c r="E121" i="36" s="1"/>
  <c r="E130" i="36"/>
  <c r="E131" i="36" s="1"/>
  <c r="D70" i="36"/>
  <c r="D92" i="36"/>
  <c r="D101" i="36" s="1"/>
  <c r="D103" i="36"/>
  <c r="D118" i="36"/>
  <c r="D120" i="36" s="1"/>
  <c r="D121" i="36" s="1"/>
  <c r="D130" i="36"/>
  <c r="P136" i="36"/>
  <c r="O136" i="36"/>
  <c r="N136" i="36"/>
  <c r="L136" i="36"/>
  <c r="K136" i="36"/>
  <c r="J136" i="36"/>
  <c r="I136" i="36"/>
  <c r="F136" i="36"/>
  <c r="E136" i="36"/>
  <c r="D136" i="36"/>
  <c r="P135" i="36"/>
  <c r="O135" i="36"/>
  <c r="N135" i="36"/>
  <c r="L135" i="36"/>
  <c r="K135" i="36"/>
  <c r="J135" i="36"/>
  <c r="I135" i="36"/>
  <c r="F135" i="36"/>
  <c r="E135" i="36"/>
  <c r="D135" i="36"/>
  <c r="P134" i="36"/>
  <c r="O134" i="36"/>
  <c r="N134" i="36"/>
  <c r="L134" i="36"/>
  <c r="K134" i="36"/>
  <c r="J134" i="36"/>
  <c r="I134" i="36"/>
  <c r="F134" i="36"/>
  <c r="E134" i="36"/>
  <c r="D134" i="36"/>
  <c r="P133" i="36"/>
  <c r="O133" i="36"/>
  <c r="N133" i="36"/>
  <c r="L133" i="36"/>
  <c r="K133" i="36"/>
  <c r="J133" i="36"/>
  <c r="I133" i="36"/>
  <c r="F133" i="36"/>
  <c r="E133" i="36"/>
  <c r="D133" i="36"/>
  <c r="M123" i="36"/>
  <c r="M125" i="36"/>
  <c r="M126" i="36"/>
  <c r="M127" i="36"/>
  <c r="M128" i="36"/>
  <c r="M129" i="36"/>
  <c r="N124" i="36"/>
  <c r="H123" i="36"/>
  <c r="L124" i="36"/>
  <c r="K124" i="36"/>
  <c r="J124" i="36"/>
  <c r="I124" i="36"/>
  <c r="AQ117" i="36"/>
  <c r="AL117" i="36"/>
  <c r="AG117" i="36"/>
  <c r="AB117" i="36"/>
  <c r="W117" i="36"/>
  <c r="R117" i="36"/>
  <c r="M108" i="36"/>
  <c r="M110" i="36"/>
  <c r="M112" i="36"/>
  <c r="M114" i="36"/>
  <c r="M115" i="36"/>
  <c r="M117" i="36"/>
  <c r="M119" i="36"/>
  <c r="H108" i="36"/>
  <c r="H110" i="36"/>
  <c r="H112" i="36"/>
  <c r="H114" i="36"/>
  <c r="H115" i="36"/>
  <c r="H117" i="36"/>
  <c r="H119" i="36"/>
  <c r="O116" i="36"/>
  <c r="N116" i="36"/>
  <c r="L116" i="36"/>
  <c r="K116" i="36"/>
  <c r="J116" i="36"/>
  <c r="I116" i="36"/>
  <c r="G116" i="36"/>
  <c r="F116" i="36"/>
  <c r="E116" i="36"/>
  <c r="D116" i="36"/>
  <c r="P113" i="36"/>
  <c r="O113" i="36"/>
  <c r="N113" i="36"/>
  <c r="L113" i="36"/>
  <c r="K113" i="36"/>
  <c r="J113" i="36"/>
  <c r="I113" i="36"/>
  <c r="G113" i="36"/>
  <c r="F113" i="36"/>
  <c r="E113" i="36"/>
  <c r="D113" i="36"/>
  <c r="O111" i="36"/>
  <c r="N111" i="36"/>
  <c r="L111" i="36"/>
  <c r="K111" i="36"/>
  <c r="J111" i="36"/>
  <c r="I111" i="36"/>
  <c r="G111" i="36"/>
  <c r="F111" i="36"/>
  <c r="E111" i="36"/>
  <c r="D111" i="36"/>
  <c r="P109" i="36"/>
  <c r="O109" i="36"/>
  <c r="N109" i="36"/>
  <c r="L109" i="36"/>
  <c r="K109" i="36"/>
  <c r="J109" i="36"/>
  <c r="I109" i="36"/>
  <c r="M104" i="36"/>
  <c r="H104" i="36"/>
  <c r="AQ102" i="36"/>
  <c r="AL102" i="36"/>
  <c r="AG102" i="36"/>
  <c r="AB102" i="36"/>
  <c r="W102" i="36"/>
  <c r="R102" i="36"/>
  <c r="M93" i="36"/>
  <c r="M95" i="36"/>
  <c r="M97" i="36"/>
  <c r="M99" i="36"/>
  <c r="M100" i="36"/>
  <c r="M102" i="36"/>
  <c r="H93" i="36"/>
  <c r="H95" i="36"/>
  <c r="H97" i="36"/>
  <c r="H99" i="36"/>
  <c r="H100" i="36"/>
  <c r="H102" i="36"/>
  <c r="M78" i="36"/>
  <c r="L96" i="36"/>
  <c r="K96" i="36"/>
  <c r="J96" i="36"/>
  <c r="I96" i="36"/>
  <c r="H78" i="36"/>
  <c r="G96" i="36"/>
  <c r="F96" i="36"/>
  <c r="E96" i="36"/>
  <c r="D96" i="36"/>
  <c r="W84" i="36"/>
  <c r="W75" i="36"/>
  <c r="V91" i="36"/>
  <c r="U91" i="36"/>
  <c r="T91" i="36"/>
  <c r="S91" i="36"/>
  <c r="R84" i="36"/>
  <c r="R75" i="36"/>
  <c r="Q91" i="36"/>
  <c r="P91" i="36"/>
  <c r="O91" i="36"/>
  <c r="N91" i="36"/>
  <c r="I84" i="36"/>
  <c r="J84" i="36"/>
  <c r="K84" i="36"/>
  <c r="I75" i="36"/>
  <c r="J75" i="36"/>
  <c r="K75" i="36"/>
  <c r="L75" i="36"/>
  <c r="D84" i="36"/>
  <c r="E84" i="36"/>
  <c r="F84" i="36"/>
  <c r="G84" i="36"/>
  <c r="D75" i="36"/>
  <c r="E75" i="36"/>
  <c r="F75" i="36"/>
  <c r="G75" i="36"/>
  <c r="N90" i="36"/>
  <c r="L90" i="36"/>
  <c r="K90" i="36"/>
  <c r="J90" i="36"/>
  <c r="I90" i="36"/>
  <c r="G90" i="36"/>
  <c r="F90" i="36"/>
  <c r="E90" i="36"/>
  <c r="D90" i="36"/>
  <c r="P89" i="36"/>
  <c r="O89" i="36"/>
  <c r="N89" i="36"/>
  <c r="L89" i="36"/>
  <c r="K89" i="36"/>
  <c r="J89" i="36"/>
  <c r="I89" i="36"/>
  <c r="M88" i="36"/>
  <c r="H88" i="36"/>
  <c r="M87" i="36"/>
  <c r="H87" i="36"/>
  <c r="N85" i="36"/>
  <c r="L85" i="36"/>
  <c r="K85" i="36"/>
  <c r="K86" i="36" s="1"/>
  <c r="J85" i="36"/>
  <c r="I85" i="36"/>
  <c r="G85" i="36"/>
  <c r="F85" i="36"/>
  <c r="F86" i="36" s="1"/>
  <c r="E85" i="36"/>
  <c r="D85" i="36"/>
  <c r="R83" i="36"/>
  <c r="M83" i="36"/>
  <c r="H83" i="36"/>
  <c r="M74" i="36"/>
  <c r="H74" i="36"/>
  <c r="AQ69" i="36"/>
  <c r="AL69" i="36"/>
  <c r="AG69" i="36"/>
  <c r="AB69" i="36"/>
  <c r="W69" i="36"/>
  <c r="H70" i="36"/>
  <c r="P63" i="36"/>
  <c r="O63" i="36"/>
  <c r="N63" i="36"/>
  <c r="L63" i="36"/>
  <c r="K63" i="36"/>
  <c r="J63" i="36"/>
  <c r="I63" i="36"/>
  <c r="S58" i="36"/>
  <c r="Q58" i="36"/>
  <c r="P58" i="36"/>
  <c r="O58" i="36"/>
  <c r="N58" i="36"/>
  <c r="I51" i="36"/>
  <c r="J51" i="36"/>
  <c r="K51" i="36"/>
  <c r="I42" i="36"/>
  <c r="J42" i="36"/>
  <c r="K42" i="36"/>
  <c r="L42" i="36"/>
  <c r="D51" i="36"/>
  <c r="E51" i="36"/>
  <c r="F51" i="36"/>
  <c r="G51" i="36"/>
  <c r="D42" i="36"/>
  <c r="E42" i="36"/>
  <c r="F42" i="36"/>
  <c r="G42" i="36"/>
  <c r="N57" i="36"/>
  <c r="L57" i="36"/>
  <c r="K57" i="36"/>
  <c r="J57" i="36"/>
  <c r="I57" i="36"/>
  <c r="G57" i="36"/>
  <c r="F57" i="36"/>
  <c r="E57" i="36"/>
  <c r="D57" i="36"/>
  <c r="P56" i="36"/>
  <c r="O56" i="36"/>
  <c r="N56" i="36"/>
  <c r="L56" i="36"/>
  <c r="K56" i="36"/>
  <c r="J56" i="36"/>
  <c r="I56" i="36"/>
  <c r="N52" i="36"/>
  <c r="N53" i="36" s="1"/>
  <c r="L52" i="36"/>
  <c r="K52" i="36"/>
  <c r="J52" i="36"/>
  <c r="J53" i="36" s="1"/>
  <c r="I52" i="36"/>
  <c r="I53" i="36" s="1"/>
  <c r="G52" i="36"/>
  <c r="F52" i="36"/>
  <c r="E52" i="36"/>
  <c r="E53" i="36" s="1"/>
  <c r="D52" i="36"/>
  <c r="D53" i="36" s="1"/>
  <c r="H45" i="36"/>
  <c r="L35" i="36"/>
  <c r="N35" i="36" s="1"/>
  <c r="R35" i="36" s="1"/>
  <c r="H35" i="36"/>
  <c r="Q151" i="36" l="1"/>
  <c r="Q152" i="36"/>
  <c r="P151" i="36"/>
  <c r="P152" i="36"/>
  <c r="O151" i="36"/>
  <c r="O152" i="36"/>
  <c r="N152" i="36"/>
  <c r="N151" i="36"/>
  <c r="L152" i="36"/>
  <c r="L151" i="36"/>
  <c r="L94" i="36"/>
  <c r="P74" i="36"/>
  <c r="Q74" i="36" s="1"/>
  <c r="O76" i="36"/>
  <c r="O77" i="36" s="1"/>
  <c r="K65" i="36"/>
  <c r="O85" i="36"/>
  <c r="O86" i="36" s="1"/>
  <c r="O43" i="36"/>
  <c r="O44" i="36" s="1"/>
  <c r="L98" i="36"/>
  <c r="F65" i="36"/>
  <c r="K105" i="36"/>
  <c r="K106" i="36" s="1"/>
  <c r="E71" i="36"/>
  <c r="E72" i="36" s="1"/>
  <c r="D98" i="36"/>
  <c r="D94" i="36"/>
  <c r="M35" i="36"/>
  <c r="O52" i="36"/>
  <c r="O53" i="36" s="1"/>
  <c r="J65" i="36"/>
  <c r="O57" i="36"/>
  <c r="K91" i="36"/>
  <c r="J140" i="36"/>
  <c r="I91" i="36"/>
  <c r="E101" i="36"/>
  <c r="Q85" i="36"/>
  <c r="Q86" i="36" s="1"/>
  <c r="P85" i="36"/>
  <c r="P86" i="36" s="1"/>
  <c r="E58" i="36"/>
  <c r="O90" i="36"/>
  <c r="M113" i="36"/>
  <c r="D71" i="36"/>
  <c r="D72" i="36" s="1"/>
  <c r="O140" i="36"/>
  <c r="N140" i="36"/>
  <c r="D65" i="36"/>
  <c r="F17" i="36"/>
  <c r="F141" i="36" s="1"/>
  <c r="V123" i="36"/>
  <c r="V7" i="36" s="1"/>
  <c r="V135" i="36" s="1"/>
  <c r="D68" i="36"/>
  <c r="Q71" i="36"/>
  <c r="Q72" i="36" s="1"/>
  <c r="Q17" i="36"/>
  <c r="Q141" i="36" s="1"/>
  <c r="N65" i="36"/>
  <c r="F94" i="36"/>
  <c r="F98" i="36"/>
  <c r="K98" i="36"/>
  <c r="I140" i="36"/>
  <c r="K140" i="36"/>
  <c r="L71" i="36"/>
  <c r="L72" i="36" s="1"/>
  <c r="G168" i="36"/>
  <c r="G170" i="36" s="1"/>
  <c r="R96" i="36"/>
  <c r="F58" i="36"/>
  <c r="P140" i="36"/>
  <c r="K94" i="36"/>
  <c r="J71" i="36"/>
  <c r="J72" i="36" s="1"/>
  <c r="R8" i="36"/>
  <c r="E173" i="36"/>
  <c r="E18" i="36"/>
  <c r="M155" i="36"/>
  <c r="P71" i="36"/>
  <c r="P72" i="36" s="1"/>
  <c r="R155" i="36"/>
  <c r="M84" i="36"/>
  <c r="K58" i="36"/>
  <c r="J58" i="36"/>
  <c r="D91" i="36"/>
  <c r="H165" i="36"/>
  <c r="N105" i="36"/>
  <c r="N106" i="36" s="1"/>
  <c r="P61" i="36"/>
  <c r="N17" i="36"/>
  <c r="N141" i="36" s="1"/>
  <c r="Q28" i="36"/>
  <c r="R28" i="36" s="1"/>
  <c r="O17" i="36"/>
  <c r="O141" i="36" s="1"/>
  <c r="F61" i="36"/>
  <c r="K17" i="36"/>
  <c r="K141" i="36" s="1"/>
  <c r="H111" i="36"/>
  <c r="H113" i="36"/>
  <c r="H59" i="36"/>
  <c r="P98" i="36"/>
  <c r="M109" i="36"/>
  <c r="M8" i="36"/>
  <c r="M140" i="36" s="1"/>
  <c r="H116" i="36"/>
  <c r="G101" i="36"/>
  <c r="Q105" i="36"/>
  <c r="Q106" i="36" s="1"/>
  <c r="H92" i="36"/>
  <c r="H98" i="36" s="1"/>
  <c r="M15" i="36"/>
  <c r="G94" i="36"/>
  <c r="E17" i="36"/>
  <c r="E23" i="36" s="1"/>
  <c r="R15" i="36"/>
  <c r="V35" i="36"/>
  <c r="H51" i="36"/>
  <c r="E86" i="36"/>
  <c r="M124" i="36"/>
  <c r="F105" i="36"/>
  <c r="L120" i="36"/>
  <c r="D17" i="36"/>
  <c r="P41" i="36"/>
  <c r="G15" i="36"/>
  <c r="E94" i="36"/>
  <c r="R109" i="36"/>
  <c r="F53" i="36"/>
  <c r="H84" i="36"/>
  <c r="I101" i="36"/>
  <c r="F71" i="36"/>
  <c r="I120" i="36"/>
  <c r="O105" i="36"/>
  <c r="L173" i="36"/>
  <c r="G86" i="36"/>
  <c r="J101" i="36"/>
  <c r="M116" i="36"/>
  <c r="O121" i="36"/>
  <c r="M130" i="36"/>
  <c r="H154" i="36"/>
  <c r="G53" i="36"/>
  <c r="I58" i="36"/>
  <c r="P121" i="36"/>
  <c r="I105" i="36"/>
  <c r="K131" i="36"/>
  <c r="O71" i="36"/>
  <c r="M28" i="36"/>
  <c r="F170" i="36"/>
  <c r="N173" i="36"/>
  <c r="W55" i="36"/>
  <c r="D58" i="36"/>
  <c r="I86" i="36"/>
  <c r="M92" i="36"/>
  <c r="M98" i="36" s="1"/>
  <c r="E105" i="36"/>
  <c r="G131" i="36"/>
  <c r="G8" i="36"/>
  <c r="Q140" i="36"/>
  <c r="S85" i="36"/>
  <c r="S86" i="36" s="1"/>
  <c r="T83" i="36"/>
  <c r="J94" i="36"/>
  <c r="H103" i="36"/>
  <c r="H164" i="36"/>
  <c r="AB55" i="36"/>
  <c r="Y108" i="36"/>
  <c r="L58" i="36"/>
  <c r="J86" i="36"/>
  <c r="D131" i="36"/>
  <c r="I71" i="36"/>
  <c r="N120" i="36"/>
  <c r="H163" i="36"/>
  <c r="O173" i="36"/>
  <c r="G58" i="36"/>
  <c r="J91" i="36"/>
  <c r="I61" i="36"/>
  <c r="I68" i="36"/>
  <c r="E91" i="36"/>
  <c r="I98" i="36"/>
  <c r="G121" i="36"/>
  <c r="R124" i="36"/>
  <c r="O18" i="36"/>
  <c r="G61" i="36"/>
  <c r="G68" i="36"/>
  <c r="K53" i="36"/>
  <c r="H42" i="36"/>
  <c r="F91" i="36"/>
  <c r="L91" i="36"/>
  <c r="J98" i="36"/>
  <c r="M111" i="36"/>
  <c r="G105" i="36"/>
  <c r="J131" i="36"/>
  <c r="P105" i="36"/>
  <c r="N18" i="36"/>
  <c r="P173" i="36"/>
  <c r="L17" i="36"/>
  <c r="G91" i="36"/>
  <c r="M75" i="36"/>
  <c r="M118" i="36"/>
  <c r="D105" i="36"/>
  <c r="F131" i="36"/>
  <c r="K71" i="36"/>
  <c r="N71" i="36"/>
  <c r="F28" i="36"/>
  <c r="I173" i="36"/>
  <c r="E28" i="36"/>
  <c r="D168" i="36"/>
  <c r="J17" i="36"/>
  <c r="D86" i="36"/>
  <c r="H75" i="36"/>
  <c r="H96" i="36"/>
  <c r="H118" i="36"/>
  <c r="G133" i="36"/>
  <c r="F120" i="36"/>
  <c r="G71" i="36"/>
  <c r="L131" i="36"/>
  <c r="J18" i="36"/>
  <c r="F155" i="36"/>
  <c r="D158" i="36"/>
  <c r="J173" i="36"/>
  <c r="K168" i="36"/>
  <c r="J105" i="36"/>
  <c r="E61" i="36"/>
  <c r="O101" i="36"/>
  <c r="I17" i="36"/>
  <c r="H17" i="36"/>
  <c r="P94" i="36"/>
  <c r="N101" i="36"/>
  <c r="O98" i="36"/>
  <c r="P68" i="36"/>
  <c r="E68" i="36"/>
  <c r="Q52" i="36"/>
  <c r="Q53" i="36" s="1"/>
  <c r="W88" i="36"/>
  <c r="N94" i="36"/>
  <c r="O68" i="36"/>
  <c r="N98" i="36"/>
  <c r="O61" i="36"/>
  <c r="N68" i="36"/>
  <c r="P65" i="36"/>
  <c r="Y88" i="36"/>
  <c r="AB88" i="36" s="1"/>
  <c r="P17" i="36"/>
  <c r="K61" i="36"/>
  <c r="J68" i="36"/>
  <c r="X26" i="36"/>
  <c r="Q173" i="36"/>
  <c r="T136" i="36"/>
  <c r="W108" i="36"/>
  <c r="W91" i="36"/>
  <c r="R91" i="36"/>
  <c r="L86" i="36"/>
  <c r="N86" i="36"/>
  <c r="W51" i="36"/>
  <c r="S52" i="36"/>
  <c r="S53" i="36" s="1"/>
  <c r="T50" i="36"/>
  <c r="T52" i="36" s="1"/>
  <c r="T53" i="36" s="1"/>
  <c r="L53" i="36"/>
  <c r="S168" i="36"/>
  <c r="R130" i="36"/>
  <c r="Q131" i="36"/>
  <c r="R116" i="36"/>
  <c r="R113" i="36"/>
  <c r="R118" i="36"/>
  <c r="R120" i="36" s="1"/>
  <c r="R111" i="36"/>
  <c r="Q121" i="36"/>
  <c r="R103" i="36"/>
  <c r="R92" i="36"/>
  <c r="Q98" i="36"/>
  <c r="Q101" i="36"/>
  <c r="M96" i="36"/>
  <c r="M103" i="36"/>
  <c r="L105" i="36"/>
  <c r="Q65" i="36"/>
  <c r="Q68" i="36"/>
  <c r="L61" i="36"/>
  <c r="L68" i="36"/>
  <c r="H155" i="36" l="1"/>
  <c r="P76" i="36"/>
  <c r="P77" i="36" s="1"/>
  <c r="U83" i="36"/>
  <c r="U85" i="36" s="1"/>
  <c r="T85" i="36"/>
  <c r="T86" i="36" s="1"/>
  <c r="S74" i="36"/>
  <c r="S76" i="36" s="1"/>
  <c r="S77" i="36" s="1"/>
  <c r="P90" i="36"/>
  <c r="Q76" i="36"/>
  <c r="Q77" i="36" s="1"/>
  <c r="F23" i="36"/>
  <c r="F143" i="36" s="1"/>
  <c r="P43" i="36"/>
  <c r="P44" i="36" s="1"/>
  <c r="N23" i="36"/>
  <c r="N25" i="36" s="1"/>
  <c r="M101" i="36"/>
  <c r="M94" i="36"/>
  <c r="W123" i="36"/>
  <c r="R74" i="36"/>
  <c r="Q90" i="36"/>
  <c r="R17" i="36"/>
  <c r="Q23" i="36"/>
  <c r="Q25" i="36" s="1"/>
  <c r="M91" i="36"/>
  <c r="Q19" i="36"/>
  <c r="Q29" i="36" s="1"/>
  <c r="H94" i="36"/>
  <c r="K23" i="36"/>
  <c r="K25" i="36" s="1"/>
  <c r="O23" i="36"/>
  <c r="O25" i="36" s="1"/>
  <c r="P137" i="36"/>
  <c r="AB108" i="36"/>
  <c r="AB109" i="36" s="1"/>
  <c r="R140" i="36"/>
  <c r="D137" i="36"/>
  <c r="R105" i="36"/>
  <c r="R106" i="36" s="1"/>
  <c r="M17" i="36"/>
  <c r="H101" i="36"/>
  <c r="E19" i="36"/>
  <c r="E142" i="36" s="1"/>
  <c r="E141" i="36"/>
  <c r="L137" i="36"/>
  <c r="H28" i="36"/>
  <c r="V116" i="36"/>
  <c r="X116" i="36" s="1"/>
  <c r="P23" i="36"/>
  <c r="P141" i="36"/>
  <c r="P19" i="36"/>
  <c r="H23" i="36"/>
  <c r="H141" i="36"/>
  <c r="K170" i="36"/>
  <c r="J141" i="36"/>
  <c r="J19" i="36"/>
  <c r="J23" i="36"/>
  <c r="G173" i="36"/>
  <c r="G18" i="36"/>
  <c r="G17" i="36"/>
  <c r="G137" i="36" s="1"/>
  <c r="L121" i="36"/>
  <c r="AG88" i="36"/>
  <c r="N72" i="36"/>
  <c r="N137" i="36"/>
  <c r="H168" i="36"/>
  <c r="F173" i="36"/>
  <c r="F18" i="36"/>
  <c r="F106" i="36"/>
  <c r="K72" i="36"/>
  <c r="K137" i="36"/>
  <c r="E137" i="36"/>
  <c r="E106" i="36"/>
  <c r="O137" i="36"/>
  <c r="O72" i="36"/>
  <c r="O106" i="36"/>
  <c r="D106" i="36"/>
  <c r="H105" i="36"/>
  <c r="R18" i="36"/>
  <c r="N121" i="36"/>
  <c r="I121" i="36"/>
  <c r="Q41" i="36"/>
  <c r="P57" i="36"/>
  <c r="M131" i="36"/>
  <c r="I23" i="36"/>
  <c r="I141" i="36"/>
  <c r="I19" i="36"/>
  <c r="G72" i="36"/>
  <c r="M120" i="36"/>
  <c r="P106" i="36"/>
  <c r="I72" i="36"/>
  <c r="I137" i="36"/>
  <c r="I106" i="36"/>
  <c r="F72" i="36"/>
  <c r="F137" i="36"/>
  <c r="H58" i="36"/>
  <c r="R131" i="36"/>
  <c r="Y26" i="36"/>
  <c r="J137" i="36"/>
  <c r="J106" i="36"/>
  <c r="F121" i="36"/>
  <c r="H120" i="36"/>
  <c r="N19" i="36"/>
  <c r="Q137" i="36"/>
  <c r="S136" i="36"/>
  <c r="G106" i="36"/>
  <c r="E25" i="36"/>
  <c r="E143" i="36"/>
  <c r="H91" i="36"/>
  <c r="D170" i="36"/>
  <c r="D23" i="36"/>
  <c r="D141" i="36"/>
  <c r="H71" i="36"/>
  <c r="L140" i="36"/>
  <c r="L141" i="36"/>
  <c r="L23" i="36"/>
  <c r="L19" i="36"/>
  <c r="X35" i="36"/>
  <c r="O19" i="36"/>
  <c r="W35" i="36"/>
  <c r="W109" i="36"/>
  <c r="T135" i="36"/>
  <c r="S135" i="36"/>
  <c r="S92" i="36"/>
  <c r="T58" i="36"/>
  <c r="U50" i="36"/>
  <c r="S170" i="36"/>
  <c r="S173" i="36" s="1"/>
  <c r="W128" i="36"/>
  <c r="R121" i="36"/>
  <c r="V113" i="36"/>
  <c r="V111" i="36"/>
  <c r="AG108" i="36"/>
  <c r="W104" i="36"/>
  <c r="R101" i="36"/>
  <c r="R98" i="36"/>
  <c r="R94" i="36"/>
  <c r="M105" i="36"/>
  <c r="M106" i="36" s="1"/>
  <c r="L106" i="36"/>
  <c r="AG55" i="36"/>
  <c r="S90" i="36" l="1"/>
  <c r="V83" i="36"/>
  <c r="F25" i="36"/>
  <c r="T74" i="36"/>
  <c r="T76" i="36" s="1"/>
  <c r="T77" i="36" s="1"/>
  <c r="K143" i="36"/>
  <c r="Q43" i="36"/>
  <c r="Q44" i="36" s="1"/>
  <c r="U135" i="36"/>
  <c r="R23" i="36"/>
  <c r="R143" i="36" s="1"/>
  <c r="M141" i="36"/>
  <c r="N143" i="36"/>
  <c r="R141" i="36"/>
  <c r="Q142" i="36"/>
  <c r="Q143" i="36"/>
  <c r="M23" i="36"/>
  <c r="M143" i="36" s="1"/>
  <c r="O143" i="36"/>
  <c r="X123" i="36"/>
  <c r="X7" i="36" s="1"/>
  <c r="X135" i="36" s="1"/>
  <c r="S101" i="36"/>
  <c r="S98" i="36"/>
  <c r="S94" i="36"/>
  <c r="E29" i="36"/>
  <c r="E34" i="36" s="1"/>
  <c r="V115" i="36"/>
  <c r="W115" i="36" s="1"/>
  <c r="V16" i="36"/>
  <c r="E27" i="36"/>
  <c r="O27" i="36"/>
  <c r="M121" i="36"/>
  <c r="N27" i="36"/>
  <c r="U155" i="36"/>
  <c r="V153" i="36"/>
  <c r="P143" i="36"/>
  <c r="P25" i="36"/>
  <c r="Q27" i="36"/>
  <c r="P29" i="36"/>
  <c r="P142" i="36"/>
  <c r="F19" i="36"/>
  <c r="L29" i="36"/>
  <c r="L142" i="36"/>
  <c r="I142" i="36"/>
  <c r="I29" i="36"/>
  <c r="Q57" i="36"/>
  <c r="S41" i="36"/>
  <c r="L25" i="36"/>
  <c r="D173" i="36"/>
  <c r="D18" i="36"/>
  <c r="H121" i="36"/>
  <c r="K27" i="36"/>
  <c r="J25" i="36"/>
  <c r="J143" i="36"/>
  <c r="H25" i="36"/>
  <c r="H143" i="36"/>
  <c r="I25" i="36"/>
  <c r="I143" i="36"/>
  <c r="J29" i="36"/>
  <c r="J142" i="36"/>
  <c r="H72" i="36"/>
  <c r="Z26" i="36"/>
  <c r="D143" i="36"/>
  <c r="D25" i="36"/>
  <c r="G141" i="36"/>
  <c r="G19" i="36"/>
  <c r="G23" i="36"/>
  <c r="O142" i="36"/>
  <c r="O29" i="36"/>
  <c r="H106" i="36"/>
  <c r="Q34" i="36"/>
  <c r="K18" i="36"/>
  <c r="K173" i="36"/>
  <c r="R19" i="36"/>
  <c r="Y35" i="36"/>
  <c r="N142" i="36"/>
  <c r="N29" i="36"/>
  <c r="T133" i="36"/>
  <c r="S133" i="36"/>
  <c r="W83" i="36"/>
  <c r="V85" i="36"/>
  <c r="W42" i="36"/>
  <c r="W58" i="36" s="1"/>
  <c r="V58" i="36"/>
  <c r="S59" i="36"/>
  <c r="S134" i="36"/>
  <c r="U52" i="36"/>
  <c r="V50" i="36"/>
  <c r="V14" i="36"/>
  <c r="W129" i="36"/>
  <c r="S18" i="36"/>
  <c r="W126" i="36"/>
  <c r="W125" i="36"/>
  <c r="W124" i="36"/>
  <c r="Y123" i="36"/>
  <c r="X111" i="36"/>
  <c r="V110" i="36"/>
  <c r="X115" i="36"/>
  <c r="Y116" i="36"/>
  <c r="AG109" i="36"/>
  <c r="AL108" i="36"/>
  <c r="X113" i="36"/>
  <c r="V112" i="36"/>
  <c r="U136" i="36"/>
  <c r="AL55" i="36"/>
  <c r="T90" i="36" l="1"/>
  <c r="U74" i="36"/>
  <c r="U76" i="36" s="1"/>
  <c r="R25" i="36"/>
  <c r="W7" i="36"/>
  <c r="F27" i="36"/>
  <c r="F32" i="36" s="1"/>
  <c r="S43" i="36"/>
  <c r="S44" i="36" s="1"/>
  <c r="M25" i="36"/>
  <c r="V136" i="36"/>
  <c r="S61" i="36"/>
  <c r="S68" i="36"/>
  <c r="S65" i="36"/>
  <c r="AV55" i="36"/>
  <c r="AV108" i="36"/>
  <c r="W119" i="36"/>
  <c r="Z35" i="36"/>
  <c r="Q32" i="36"/>
  <c r="Q33" i="36"/>
  <c r="K33" i="36"/>
  <c r="K32" i="36"/>
  <c r="S57" i="36"/>
  <c r="T41" i="36"/>
  <c r="O33" i="36"/>
  <c r="O32" i="36"/>
  <c r="G25" i="36"/>
  <c r="G143" i="36"/>
  <c r="J34" i="36"/>
  <c r="I27" i="36"/>
  <c r="I34" i="36"/>
  <c r="N34" i="36"/>
  <c r="P27" i="36"/>
  <c r="O34" i="36"/>
  <c r="AA26" i="36"/>
  <c r="H18" i="36"/>
  <c r="D19" i="36"/>
  <c r="N32" i="36"/>
  <c r="N33" i="36"/>
  <c r="E32" i="36"/>
  <c r="E33" i="36"/>
  <c r="F142" i="36"/>
  <c r="F29" i="36"/>
  <c r="V155" i="36"/>
  <c r="H27" i="36"/>
  <c r="L34" i="36"/>
  <c r="G142" i="36"/>
  <c r="G29" i="36"/>
  <c r="AL88" i="36"/>
  <c r="T92" i="36"/>
  <c r="R29" i="36"/>
  <c r="R142" i="36"/>
  <c r="P34" i="36"/>
  <c r="K19" i="36"/>
  <c r="M18" i="36"/>
  <c r="D27" i="36"/>
  <c r="J27" i="36"/>
  <c r="L27" i="36"/>
  <c r="X83" i="36"/>
  <c r="AB84" i="36"/>
  <c r="V87" i="36"/>
  <c r="X50" i="36"/>
  <c r="V52" i="36"/>
  <c r="W50" i="36"/>
  <c r="T134" i="36"/>
  <c r="T59" i="36"/>
  <c r="S8" i="36"/>
  <c r="S28" i="36"/>
  <c r="X14" i="36"/>
  <c r="W14" i="36"/>
  <c r="T168" i="36"/>
  <c r="Z123" i="36"/>
  <c r="Y7" i="36"/>
  <c r="W110" i="36"/>
  <c r="W111" i="36" s="1"/>
  <c r="X112" i="36"/>
  <c r="Y113" i="36"/>
  <c r="AQ108" i="36"/>
  <c r="AL109" i="36"/>
  <c r="W116" i="36"/>
  <c r="Z116" i="36"/>
  <c r="Y115" i="36"/>
  <c r="W112" i="36"/>
  <c r="X110" i="36"/>
  <c r="Y111" i="36"/>
  <c r="W16" i="36"/>
  <c r="AQ55" i="36"/>
  <c r="U90" i="36" l="1"/>
  <c r="V74" i="36"/>
  <c r="R27" i="36"/>
  <c r="R31" i="36" s="1"/>
  <c r="R33" i="36" s="1"/>
  <c r="X91" i="36"/>
  <c r="F33" i="36"/>
  <c r="V76" i="36"/>
  <c r="V78" i="36" s="1"/>
  <c r="Z91" i="36"/>
  <c r="AA91" i="36"/>
  <c r="V90" i="36"/>
  <c r="Y91" i="36"/>
  <c r="W74" i="36"/>
  <c r="T43" i="36"/>
  <c r="T44" i="36" s="1"/>
  <c r="M27" i="36"/>
  <c r="M31" i="36" s="1"/>
  <c r="T98" i="36"/>
  <c r="T94" i="36"/>
  <c r="T101" i="36"/>
  <c r="AV109" i="36"/>
  <c r="T61" i="36"/>
  <c r="T68" i="36"/>
  <c r="T65" i="36"/>
  <c r="U168" i="36"/>
  <c r="AV88" i="36"/>
  <c r="X16" i="36"/>
  <c r="J33" i="36"/>
  <c r="J32" i="36"/>
  <c r="F34" i="36"/>
  <c r="H19" i="36"/>
  <c r="P32" i="36"/>
  <c r="P33" i="36"/>
  <c r="T57" i="36"/>
  <c r="U41" i="36"/>
  <c r="D29" i="36"/>
  <c r="D142" i="36"/>
  <c r="G34" i="36"/>
  <c r="L147" i="36" s="1"/>
  <c r="AC26" i="36"/>
  <c r="AB26" i="36"/>
  <c r="J147" i="36"/>
  <c r="D32" i="36"/>
  <c r="D33" i="36"/>
  <c r="O147" i="36"/>
  <c r="I33" i="36"/>
  <c r="I32" i="36"/>
  <c r="AQ88" i="36"/>
  <c r="G27" i="36"/>
  <c r="H32" i="36"/>
  <c r="H33" i="36"/>
  <c r="R30" i="36"/>
  <c r="R32" i="36" s="1"/>
  <c r="AA35" i="36"/>
  <c r="M19" i="36"/>
  <c r="Q147" i="36"/>
  <c r="K29" i="36"/>
  <c r="K142" i="36"/>
  <c r="Y153" i="36"/>
  <c r="X155" i="36"/>
  <c r="L33" i="36"/>
  <c r="L32" i="36"/>
  <c r="W155" i="36"/>
  <c r="N147" i="36"/>
  <c r="AB51" i="36"/>
  <c r="W22" i="36"/>
  <c r="X85" i="36"/>
  <c r="Y83" i="36"/>
  <c r="S140" i="36"/>
  <c r="T8" i="36"/>
  <c r="Y50" i="36"/>
  <c r="X52" i="36"/>
  <c r="V54" i="36"/>
  <c r="T170" i="36"/>
  <c r="T173" i="36" s="1"/>
  <c r="Y14" i="36"/>
  <c r="AA123" i="36"/>
  <c r="AB123" i="36" s="1"/>
  <c r="Y135" i="36"/>
  <c r="Z7" i="36"/>
  <c r="Z135" i="36" s="1"/>
  <c r="AA116" i="36"/>
  <c r="Z115" i="36"/>
  <c r="Y112" i="36"/>
  <c r="Z113" i="36"/>
  <c r="Y110" i="36"/>
  <c r="Z111" i="36"/>
  <c r="W113" i="36"/>
  <c r="AQ109" i="36"/>
  <c r="Y16" i="36"/>
  <c r="X74" i="36" l="1"/>
  <c r="X76" i="36" s="1"/>
  <c r="X78" i="36" s="1"/>
  <c r="X95" i="36" s="1"/>
  <c r="V79" i="36"/>
  <c r="V95" i="36"/>
  <c r="V92" i="36"/>
  <c r="Y74" i="36"/>
  <c r="Z74" i="36" s="1"/>
  <c r="AB75" i="36"/>
  <c r="AB91" i="36" s="1"/>
  <c r="U43" i="36"/>
  <c r="M30" i="36"/>
  <c r="M32" i="36" s="1"/>
  <c r="X136" i="36"/>
  <c r="AB35" i="36"/>
  <c r="Y136" i="36"/>
  <c r="R34" i="36"/>
  <c r="V168" i="36"/>
  <c r="S71" i="36"/>
  <c r="V30" i="36"/>
  <c r="K34" i="36"/>
  <c r="AD26" i="36"/>
  <c r="R36" i="36"/>
  <c r="V31" i="36"/>
  <c r="S130" i="36"/>
  <c r="S118" i="36"/>
  <c r="Y155" i="36"/>
  <c r="Z153" i="36"/>
  <c r="S103" i="36"/>
  <c r="H36" i="36"/>
  <c r="AC35" i="36"/>
  <c r="M33" i="36"/>
  <c r="D34" i="36"/>
  <c r="G33" i="36"/>
  <c r="G32" i="36"/>
  <c r="M142" i="36"/>
  <c r="M29" i="36"/>
  <c r="V41" i="36"/>
  <c r="V43" i="36" s="1"/>
  <c r="V45" i="36" s="1"/>
  <c r="U57" i="36"/>
  <c r="H29" i="36"/>
  <c r="H142" i="36"/>
  <c r="Y85" i="36"/>
  <c r="Z83" i="36"/>
  <c r="X87" i="36"/>
  <c r="V6" i="36"/>
  <c r="W6" i="36" s="1"/>
  <c r="T140" i="36"/>
  <c r="X54" i="36"/>
  <c r="Z50" i="36"/>
  <c r="Y52" i="36"/>
  <c r="Z14" i="36"/>
  <c r="U170" i="36"/>
  <c r="T18" i="36"/>
  <c r="AB125" i="36"/>
  <c r="AB124" i="36"/>
  <c r="AC123" i="36"/>
  <c r="AA7" i="36"/>
  <c r="AA115" i="36"/>
  <c r="Z110" i="36"/>
  <c r="AA111" i="36"/>
  <c r="Z112" i="36"/>
  <c r="AA113" i="36"/>
  <c r="Z16" i="36"/>
  <c r="AB104" i="36"/>
  <c r="X79" i="36" l="1"/>
  <c r="Y90" i="36"/>
  <c r="X90" i="36"/>
  <c r="Y76" i="36"/>
  <c r="Y78" i="36" s="1"/>
  <c r="Z76" i="36"/>
  <c r="Z78" i="36" s="1"/>
  <c r="U8" i="36"/>
  <c r="AA58" i="36"/>
  <c r="Z136" i="36"/>
  <c r="S72" i="36"/>
  <c r="M36" i="36"/>
  <c r="X31" i="36"/>
  <c r="H34" i="36"/>
  <c r="W41" i="36"/>
  <c r="V57" i="36"/>
  <c r="S15" i="36"/>
  <c r="S120" i="36"/>
  <c r="S131" i="36"/>
  <c r="S105" i="36"/>
  <c r="Z155" i="36"/>
  <c r="AA153" i="36"/>
  <c r="M34" i="36"/>
  <c r="X30" i="36"/>
  <c r="AE26" i="36"/>
  <c r="AD35" i="36"/>
  <c r="K147" i="36"/>
  <c r="P147" i="36"/>
  <c r="I147" i="36"/>
  <c r="AA74" i="36"/>
  <c r="X92" i="36"/>
  <c r="AA83" i="36"/>
  <c r="Z90" i="36"/>
  <c r="Z85" i="36"/>
  <c r="Y87" i="36"/>
  <c r="AA50" i="36"/>
  <c r="Z52" i="36"/>
  <c r="V134" i="36"/>
  <c r="X6" i="36"/>
  <c r="X134" i="36" s="1"/>
  <c r="Y54" i="36"/>
  <c r="V170" i="36"/>
  <c r="U18" i="36"/>
  <c r="T28" i="36"/>
  <c r="AA14" i="36"/>
  <c r="AB129" i="36"/>
  <c r="AB128" i="36"/>
  <c r="AB126" i="36"/>
  <c r="AB7" i="36"/>
  <c r="AC7" i="36"/>
  <c r="AC135" i="36" s="1"/>
  <c r="AA135" i="36"/>
  <c r="AD123" i="36"/>
  <c r="AB119" i="36"/>
  <c r="AB115" i="36"/>
  <c r="AA112" i="36"/>
  <c r="AA110" i="36"/>
  <c r="AB110" i="36" s="1"/>
  <c r="AA16" i="36"/>
  <c r="Z95" i="36" l="1"/>
  <c r="Y79" i="36"/>
  <c r="Y95" i="36"/>
  <c r="AA76" i="36"/>
  <c r="AA78" i="36" s="1"/>
  <c r="U140" i="36"/>
  <c r="V46" i="36"/>
  <c r="V5" i="36"/>
  <c r="V133" i="36" s="1"/>
  <c r="V62" i="36"/>
  <c r="V59" i="36"/>
  <c r="AA136" i="36"/>
  <c r="AE35" i="36"/>
  <c r="M147" i="36"/>
  <c r="R147" i="36"/>
  <c r="S121" i="36"/>
  <c r="Y31" i="36"/>
  <c r="S17" i="36"/>
  <c r="S137" i="36" s="1"/>
  <c r="AF26" i="36"/>
  <c r="AG26" i="36" s="1"/>
  <c r="S106" i="36"/>
  <c r="Y58" i="36"/>
  <c r="X58" i="36"/>
  <c r="AB42" i="36"/>
  <c r="X41" i="36"/>
  <c r="AC153" i="36"/>
  <c r="AA155" i="36"/>
  <c r="Z58" i="36"/>
  <c r="Y30" i="36"/>
  <c r="AB74" i="36"/>
  <c r="Y92" i="36"/>
  <c r="AA90" i="36"/>
  <c r="AB83" i="36"/>
  <c r="AA85" i="36"/>
  <c r="Y6" i="36"/>
  <c r="Y134" i="36" s="1"/>
  <c r="AB50" i="36"/>
  <c r="AA52" i="36"/>
  <c r="AB14" i="36"/>
  <c r="AC14" i="36"/>
  <c r="X168" i="36"/>
  <c r="V18" i="36"/>
  <c r="AD7" i="36"/>
  <c r="AE123" i="36"/>
  <c r="AB111" i="36"/>
  <c r="AB112" i="36"/>
  <c r="AB116" i="36"/>
  <c r="AC16" i="36"/>
  <c r="AB16" i="36"/>
  <c r="AA79" i="36" l="1"/>
  <c r="AA95" i="36"/>
  <c r="AB95" i="36" s="1"/>
  <c r="AB78" i="36"/>
  <c r="X43" i="36"/>
  <c r="X45" i="36" s="1"/>
  <c r="X46" i="36" s="1"/>
  <c r="V67" i="36"/>
  <c r="V60" i="36"/>
  <c r="V10" i="36"/>
  <c r="W10" i="36" s="1"/>
  <c r="W5" i="36"/>
  <c r="W8" i="36" s="1"/>
  <c r="W140" i="36" s="1"/>
  <c r="V8" i="36"/>
  <c r="Z31" i="36"/>
  <c r="S141" i="36"/>
  <c r="S19" i="36"/>
  <c r="AB155" i="36"/>
  <c r="AC155" i="36"/>
  <c r="AD153" i="36"/>
  <c r="AH26" i="36"/>
  <c r="Z30" i="36"/>
  <c r="X57" i="36"/>
  <c r="Y41" i="36"/>
  <c r="AF35" i="36"/>
  <c r="AB58" i="36"/>
  <c r="W18" i="36"/>
  <c r="AG51" i="36"/>
  <c r="AB22" i="36"/>
  <c r="AG75" i="36"/>
  <c r="AA87" i="36"/>
  <c r="AG84" i="36"/>
  <c r="AA54" i="36"/>
  <c r="T130" i="36"/>
  <c r="T70" i="36"/>
  <c r="T103" i="36"/>
  <c r="T118" i="36"/>
  <c r="X170" i="36"/>
  <c r="AD14" i="36"/>
  <c r="AD135" i="36"/>
  <c r="AE7" i="36"/>
  <c r="AE135" i="36" s="1"/>
  <c r="AF123" i="36"/>
  <c r="AG123" i="36" s="1"/>
  <c r="AB113" i="36"/>
  <c r="AC136" i="36"/>
  <c r="AD16" i="36"/>
  <c r="AB96" i="36" l="1"/>
  <c r="Y43" i="36"/>
  <c r="Y45" i="36" s="1"/>
  <c r="Y46" i="36" s="1"/>
  <c r="V140" i="36"/>
  <c r="U118" i="36"/>
  <c r="Y57" i="36"/>
  <c r="Z41" i="36"/>
  <c r="S142" i="36"/>
  <c r="AA31" i="36"/>
  <c r="AI26" i="36"/>
  <c r="AH35" i="36"/>
  <c r="AG35" i="36"/>
  <c r="AA30" i="36"/>
  <c r="AD155" i="36"/>
  <c r="AE153" i="36"/>
  <c r="AG91" i="36"/>
  <c r="AA92" i="36"/>
  <c r="U130" i="36"/>
  <c r="T71" i="36"/>
  <c r="T15" i="36"/>
  <c r="T105" i="36"/>
  <c r="AA6" i="36"/>
  <c r="AL51" i="36"/>
  <c r="T120" i="36"/>
  <c r="T131" i="36"/>
  <c r="AG129" i="36"/>
  <c r="AE14" i="36"/>
  <c r="Y168" i="36"/>
  <c r="X18" i="36"/>
  <c r="AG128" i="36"/>
  <c r="AG126" i="36"/>
  <c r="AG124" i="36"/>
  <c r="AF7" i="36"/>
  <c r="AH123" i="36"/>
  <c r="AG119" i="36"/>
  <c r="AG104" i="36"/>
  <c r="AE16" i="36"/>
  <c r="AD136" i="36"/>
  <c r="Z43" i="36" l="1"/>
  <c r="Z45" i="36" s="1"/>
  <c r="AF153" i="36"/>
  <c r="AE155" i="36"/>
  <c r="AI35" i="36"/>
  <c r="X59" i="36"/>
  <c r="X62" i="36"/>
  <c r="X5" i="36"/>
  <c r="AJ26" i="36"/>
  <c r="AC30" i="36"/>
  <c r="AC31" i="36"/>
  <c r="Z57" i="36"/>
  <c r="AA41" i="36"/>
  <c r="AA134" i="36"/>
  <c r="U131" i="36"/>
  <c r="AC6" i="36"/>
  <c r="T106" i="36"/>
  <c r="U120" i="36"/>
  <c r="T121" i="36"/>
  <c r="T17" i="36"/>
  <c r="T72" i="36"/>
  <c r="Y170" i="36"/>
  <c r="AF14" i="36"/>
  <c r="AG125" i="36"/>
  <c r="AI123" i="36"/>
  <c r="AF135" i="36"/>
  <c r="AG7" i="36"/>
  <c r="AH7" i="36"/>
  <c r="AH135" i="36" s="1"/>
  <c r="AG115" i="36"/>
  <c r="AE136" i="36"/>
  <c r="AF16" i="36"/>
  <c r="AA43" i="36" l="1"/>
  <c r="AA45" i="36" s="1"/>
  <c r="AA46" i="36" s="1"/>
  <c r="AF136" i="36"/>
  <c r="V12" i="36"/>
  <c r="Y59" i="36"/>
  <c r="Y5" i="36"/>
  <c r="Y133" i="36" s="1"/>
  <c r="Y62" i="36"/>
  <c r="AJ35" i="36"/>
  <c r="X133" i="36"/>
  <c r="X8" i="36"/>
  <c r="X10" i="36"/>
  <c r="AF155" i="36"/>
  <c r="AH153" i="36"/>
  <c r="X60" i="36"/>
  <c r="AD30" i="36"/>
  <c r="AD31" i="36"/>
  <c r="AA57" i="36"/>
  <c r="AB41" i="36"/>
  <c r="AK26" i="36"/>
  <c r="AL26" i="36" s="1"/>
  <c r="AG16" i="36"/>
  <c r="U15" i="36"/>
  <c r="AG74" i="36"/>
  <c r="AL75" i="36"/>
  <c r="AG83" i="36"/>
  <c r="AL84" i="36"/>
  <c r="T137" i="36"/>
  <c r="T19" i="36"/>
  <c r="T141" i="36"/>
  <c r="AG50" i="36"/>
  <c r="U121" i="36"/>
  <c r="AD6" i="36"/>
  <c r="AC134" i="36"/>
  <c r="W99" i="36"/>
  <c r="V118" i="36"/>
  <c r="W114" i="36"/>
  <c r="V130" i="36"/>
  <c r="W127" i="36"/>
  <c r="Z168" i="36"/>
  <c r="AH14" i="36"/>
  <c r="Y18" i="36"/>
  <c r="AG14" i="36"/>
  <c r="AI7" i="36"/>
  <c r="AI135" i="36" s="1"/>
  <c r="AJ123" i="36"/>
  <c r="AG116" i="36"/>
  <c r="AG112" i="36"/>
  <c r="AG110" i="36"/>
  <c r="AH16" i="36"/>
  <c r="AG95" i="36" l="1"/>
  <c r="AG78" i="36"/>
  <c r="AH136" i="36"/>
  <c r="W66" i="36"/>
  <c r="AG155" i="36"/>
  <c r="AM26" i="36"/>
  <c r="X140" i="36"/>
  <c r="Y10" i="36"/>
  <c r="Y8" i="36"/>
  <c r="Y60" i="36"/>
  <c r="Z5" i="36"/>
  <c r="Z133" i="36" s="1"/>
  <c r="Z62" i="36"/>
  <c r="AE31" i="36"/>
  <c r="AH155" i="36"/>
  <c r="AI153" i="36"/>
  <c r="AK35" i="36"/>
  <c r="AE30" i="36"/>
  <c r="AG42" i="36"/>
  <c r="U17" i="36"/>
  <c r="U141" i="36" s="1"/>
  <c r="AL91" i="36"/>
  <c r="V131" i="36"/>
  <c r="W118" i="36"/>
  <c r="V120" i="36"/>
  <c r="AD134" i="36"/>
  <c r="W12" i="36"/>
  <c r="T142" i="36"/>
  <c r="W130" i="36"/>
  <c r="AI14" i="36"/>
  <c r="Z170" i="36"/>
  <c r="AJ7" i="36"/>
  <c r="AJ135" i="36" s="1"/>
  <c r="AK123" i="36"/>
  <c r="AG113" i="36"/>
  <c r="AG111" i="36"/>
  <c r="AI16" i="36"/>
  <c r="AG96" i="36" l="1"/>
  <c r="AI136" i="36"/>
  <c r="AM35" i="36"/>
  <c r="AI155" i="36"/>
  <c r="AJ153" i="36"/>
  <c r="AL35" i="36"/>
  <c r="Y140" i="36"/>
  <c r="AF31" i="36"/>
  <c r="AG58" i="36"/>
  <c r="AF30" i="36"/>
  <c r="AN26" i="36"/>
  <c r="Z10" i="36"/>
  <c r="AA62" i="36"/>
  <c r="AB62" i="36" s="1"/>
  <c r="AA59" i="36"/>
  <c r="AA5" i="36"/>
  <c r="AB5" i="36" s="1"/>
  <c r="AB45" i="36"/>
  <c r="U19" i="36"/>
  <c r="U142" i="36" s="1"/>
  <c r="AQ75" i="36"/>
  <c r="AF6" i="36"/>
  <c r="W120" i="36"/>
  <c r="AQ51" i="36"/>
  <c r="W131" i="36"/>
  <c r="V121" i="36"/>
  <c r="Z18" i="36"/>
  <c r="AL129" i="36"/>
  <c r="AJ14" i="36"/>
  <c r="AA168" i="36"/>
  <c r="AL126" i="36"/>
  <c r="AL125" i="36"/>
  <c r="AM123" i="36"/>
  <c r="AK7" i="36"/>
  <c r="AL7" i="36" s="1"/>
  <c r="AL123" i="36"/>
  <c r="AL119" i="36"/>
  <c r="AL104" i="36"/>
  <c r="AJ16" i="36"/>
  <c r="AV51" i="36" l="1"/>
  <c r="AA133" i="36"/>
  <c r="AB63" i="36"/>
  <c r="AH30" i="36"/>
  <c r="AO26" i="36"/>
  <c r="AJ155" i="36"/>
  <c r="AK153" i="36"/>
  <c r="AN35" i="36"/>
  <c r="AA10" i="36"/>
  <c r="AA8" i="36"/>
  <c r="AH31" i="36"/>
  <c r="AA60" i="36"/>
  <c r="AC5" i="36"/>
  <c r="AQ84" i="36"/>
  <c r="AH6" i="36"/>
  <c r="AH134" i="36" s="1"/>
  <c r="W121" i="36"/>
  <c r="X118" i="36"/>
  <c r="X130" i="36"/>
  <c r="X12" i="36"/>
  <c r="AF134" i="36"/>
  <c r="AA170" i="36"/>
  <c r="AK14" i="36"/>
  <c r="AL14" i="36" s="1"/>
  <c r="AL128" i="36"/>
  <c r="AM7" i="36"/>
  <c r="AL124" i="36"/>
  <c r="AN123" i="36"/>
  <c r="AK135" i="36"/>
  <c r="AL115" i="36"/>
  <c r="AL116" i="36" s="1"/>
  <c r="AK16" i="36"/>
  <c r="AJ136" i="36"/>
  <c r="AK136" i="36" l="1"/>
  <c r="AV75" i="36"/>
  <c r="AB10" i="36"/>
  <c r="AK155" i="36"/>
  <c r="AM153" i="36"/>
  <c r="AI31" i="36"/>
  <c r="AP26" i="36"/>
  <c r="AR26" i="36" s="1"/>
  <c r="AC133" i="36"/>
  <c r="AC8" i="36"/>
  <c r="AG41" i="36"/>
  <c r="AA140" i="36"/>
  <c r="AL42" i="36"/>
  <c r="AC10" i="36"/>
  <c r="AO35" i="36"/>
  <c r="AI30" i="36"/>
  <c r="AD5" i="36"/>
  <c r="AL16" i="36"/>
  <c r="AL74" i="36"/>
  <c r="AL83" i="36"/>
  <c r="AQ91" i="36"/>
  <c r="Y118" i="36"/>
  <c r="AL50" i="36"/>
  <c r="X120" i="36"/>
  <c r="X131" i="36"/>
  <c r="AI6" i="36"/>
  <c r="AI134" i="36" s="1"/>
  <c r="AM14" i="36"/>
  <c r="AC168" i="36"/>
  <c r="AA18" i="36"/>
  <c r="AM135" i="36"/>
  <c r="AN7" i="36"/>
  <c r="AO123" i="36"/>
  <c r="AL112" i="36"/>
  <c r="AL110" i="36"/>
  <c r="AM16" i="36"/>
  <c r="AL95" i="36" l="1"/>
  <c r="AL78" i="36"/>
  <c r="AV84" i="36"/>
  <c r="AV91" i="36" s="1"/>
  <c r="AS26" i="36"/>
  <c r="AT26" i="36" s="1"/>
  <c r="AU26" i="36" s="1"/>
  <c r="AV26" i="36" s="1"/>
  <c r="AR123" i="36"/>
  <c r="AD10" i="36"/>
  <c r="AQ26" i="36"/>
  <c r="AL58" i="36"/>
  <c r="AL155" i="36"/>
  <c r="AP35" i="36"/>
  <c r="AE5" i="36"/>
  <c r="AE133" i="36" s="1"/>
  <c r="AJ30" i="36"/>
  <c r="AG45" i="36"/>
  <c r="AD8" i="36"/>
  <c r="AJ31" i="36"/>
  <c r="AC140" i="36"/>
  <c r="AD133" i="36"/>
  <c r="AN153" i="36"/>
  <c r="AM155" i="36"/>
  <c r="Y12" i="36"/>
  <c r="Y120" i="36"/>
  <c r="Y130" i="36"/>
  <c r="X121" i="36"/>
  <c r="AN14" i="36"/>
  <c r="AC170" i="36"/>
  <c r="AB18" i="36"/>
  <c r="AN135" i="36"/>
  <c r="AP123" i="36"/>
  <c r="AQ123" i="36" s="1"/>
  <c r="AO7" i="36"/>
  <c r="AO135" i="36" s="1"/>
  <c r="AL111" i="36"/>
  <c r="AL113" i="36"/>
  <c r="AN16" i="36"/>
  <c r="AM136" i="36"/>
  <c r="AL96" i="36" l="1"/>
  <c r="AN136" i="36"/>
  <c r="AQ35" i="36"/>
  <c r="AR35" i="36"/>
  <c r="AS123" i="36"/>
  <c r="AR7" i="36"/>
  <c r="AK31" i="36"/>
  <c r="AE10" i="36"/>
  <c r="AK30" i="36"/>
  <c r="AD140" i="36"/>
  <c r="AF5" i="36"/>
  <c r="AF133" i="36" s="1"/>
  <c r="AN155" i="36"/>
  <c r="AO153" i="36"/>
  <c r="Z118" i="36"/>
  <c r="Z120" i="36" s="1"/>
  <c r="AK6" i="36"/>
  <c r="AK134" i="36" s="1"/>
  <c r="Y121" i="36"/>
  <c r="Z12" i="36"/>
  <c r="Y131" i="36"/>
  <c r="Z130" i="36"/>
  <c r="AC18" i="36"/>
  <c r="AO14" i="36"/>
  <c r="AD168" i="36"/>
  <c r="AP7" i="36"/>
  <c r="AP135" i="36" s="1"/>
  <c r="AQ124" i="36"/>
  <c r="AO16" i="36"/>
  <c r="AO136" i="36" l="1"/>
  <c r="AQ125" i="36"/>
  <c r="AR135" i="36"/>
  <c r="AS35" i="36"/>
  <c r="AR16" i="36"/>
  <c r="AR14" i="36"/>
  <c r="AV126" i="36"/>
  <c r="AQ128" i="36"/>
  <c r="AS7" i="36"/>
  <c r="AS135" i="36" s="1"/>
  <c r="AU123" i="36"/>
  <c r="AU7" i="36" s="1"/>
  <c r="AU135" i="36" s="1"/>
  <c r="AT123" i="36"/>
  <c r="AT7" i="36" s="1"/>
  <c r="AT135" i="36" s="1"/>
  <c r="AG5" i="36"/>
  <c r="AH5" i="36"/>
  <c r="AQ126" i="36"/>
  <c r="AM31" i="36"/>
  <c r="AO155" i="36"/>
  <c r="AP153" i="36"/>
  <c r="AR153" i="36" s="1"/>
  <c r="AM30" i="36"/>
  <c r="AF10" i="36"/>
  <c r="AF8" i="36"/>
  <c r="AG62" i="36"/>
  <c r="AQ115" i="36"/>
  <c r="AQ116" i="36" s="1"/>
  <c r="Z131" i="36"/>
  <c r="AM6" i="36"/>
  <c r="Z121" i="36"/>
  <c r="AD170" i="36"/>
  <c r="AP14" i="36"/>
  <c r="AQ129" i="36"/>
  <c r="AQ7" i="36"/>
  <c r="AQ119" i="36"/>
  <c r="AP16" i="36"/>
  <c r="AQ104" i="36"/>
  <c r="AR136" i="36" l="1"/>
  <c r="AQ16" i="36"/>
  <c r="AV123" i="36"/>
  <c r="AV124" i="36" s="1"/>
  <c r="AV7" i="36"/>
  <c r="AS16" i="36"/>
  <c r="AS153" i="36"/>
  <c r="AR155" i="36"/>
  <c r="AS14" i="36"/>
  <c r="AT35" i="36"/>
  <c r="AG10" i="36"/>
  <c r="AH10" i="36"/>
  <c r="AP155" i="36"/>
  <c r="AQ155" i="36" s="1"/>
  <c r="AQ42" i="36"/>
  <c r="AH133" i="36"/>
  <c r="AH8" i="36"/>
  <c r="AG63" i="36"/>
  <c r="AI5" i="36"/>
  <c r="AI133" i="36" s="1"/>
  <c r="AF140" i="36"/>
  <c r="AN31" i="36"/>
  <c r="AN30" i="36"/>
  <c r="AL41" i="36"/>
  <c r="AP136" i="36"/>
  <c r="AQ74" i="36"/>
  <c r="AQ83" i="36"/>
  <c r="AM134" i="36"/>
  <c r="AN6" i="36"/>
  <c r="AQ50" i="36"/>
  <c r="AE168" i="36"/>
  <c r="AQ14" i="36"/>
  <c r="AD18" i="36"/>
  <c r="AQ112" i="36"/>
  <c r="AQ110" i="36"/>
  <c r="AQ95" i="36" l="1"/>
  <c r="AQ78" i="36"/>
  <c r="AV115" i="36"/>
  <c r="AV116" i="36" s="1"/>
  <c r="AT16" i="36"/>
  <c r="AV104" i="36"/>
  <c r="AV128" i="36"/>
  <c r="AT153" i="36"/>
  <c r="AS155" i="36"/>
  <c r="AV119" i="36"/>
  <c r="AR6" i="36"/>
  <c r="AR134" i="36" s="1"/>
  <c r="AS136" i="36"/>
  <c r="AU35" i="36"/>
  <c r="AU14" i="36"/>
  <c r="AT14" i="36"/>
  <c r="AQ58" i="36"/>
  <c r="AO31" i="36"/>
  <c r="AH140" i="36"/>
  <c r="AO30" i="36"/>
  <c r="AL45" i="36"/>
  <c r="AI8" i="36"/>
  <c r="AI10" i="36"/>
  <c r="S23" i="36"/>
  <c r="S143" i="36" s="1"/>
  <c r="AJ5" i="36"/>
  <c r="AJ133" i="36" s="1"/>
  <c r="AN134" i="36"/>
  <c r="AE170" i="36"/>
  <c r="AQ111" i="36"/>
  <c r="AQ113" i="36"/>
  <c r="AQ96" i="36" l="1"/>
  <c r="AV129" i="36"/>
  <c r="AV35" i="36"/>
  <c r="AT136" i="36"/>
  <c r="AT155" i="36"/>
  <c r="AU153" i="36"/>
  <c r="AU155" i="36" s="1"/>
  <c r="AV112" i="36"/>
  <c r="AV113" i="36" s="1"/>
  <c r="AV110" i="36"/>
  <c r="AV111" i="36" s="1"/>
  <c r="AV14" i="36"/>
  <c r="AU16" i="36"/>
  <c r="AS6" i="36"/>
  <c r="AS134" i="36" s="1"/>
  <c r="AJ10" i="36"/>
  <c r="AP31" i="36"/>
  <c r="AR31" i="36" s="1"/>
  <c r="AS31" i="36" s="1"/>
  <c r="AI140" i="36"/>
  <c r="AP30" i="36"/>
  <c r="AK5" i="36"/>
  <c r="AK133" i="36" s="1"/>
  <c r="AP6" i="36"/>
  <c r="AP134" i="36" s="1"/>
  <c r="AE18" i="36"/>
  <c r="AF168" i="36"/>
  <c r="AT31" i="36" l="1"/>
  <c r="AU31" i="36" s="1"/>
  <c r="AR30" i="36"/>
  <c r="AV16" i="36"/>
  <c r="AU136" i="36"/>
  <c r="AV50" i="36"/>
  <c r="AV83" i="36"/>
  <c r="AV125" i="36"/>
  <c r="AV42" i="36"/>
  <c r="AV58" i="36" s="1"/>
  <c r="AV155" i="36"/>
  <c r="S25" i="36"/>
  <c r="S29" i="36"/>
  <c r="AK10" i="36"/>
  <c r="AM5" i="36"/>
  <c r="AL62" i="36"/>
  <c r="AK8" i="36"/>
  <c r="AL5" i="36"/>
  <c r="AF170" i="36"/>
  <c r="AV78" i="36" l="1"/>
  <c r="AV95" i="36"/>
  <c r="AV96" i="36" s="1"/>
  <c r="AS30" i="36"/>
  <c r="AU6" i="36"/>
  <c r="AU134" i="36" s="1"/>
  <c r="AV74" i="36"/>
  <c r="AM8" i="36"/>
  <c r="AQ41" i="36"/>
  <c r="AL63" i="36"/>
  <c r="AK140" i="36"/>
  <c r="S34" i="36"/>
  <c r="AN5" i="36"/>
  <c r="AN133" i="36" s="1"/>
  <c r="S27" i="36"/>
  <c r="AL10" i="36"/>
  <c r="AM133" i="36"/>
  <c r="AM10" i="36"/>
  <c r="AH168" i="36"/>
  <c r="AF18" i="36"/>
  <c r="AT30" i="36" l="1"/>
  <c r="AN10" i="36"/>
  <c r="AM140" i="36"/>
  <c r="S147" i="36"/>
  <c r="AO5" i="36"/>
  <c r="AO133" i="36" s="1"/>
  <c r="S32" i="36"/>
  <c r="S33" i="36"/>
  <c r="AN8" i="36"/>
  <c r="AG18" i="36"/>
  <c r="AH170" i="36"/>
  <c r="AR5" i="36" l="1"/>
  <c r="AR8" i="36" s="1"/>
  <c r="AU30" i="36"/>
  <c r="AR10" i="36"/>
  <c r="AS5" i="36"/>
  <c r="AS10" i="36"/>
  <c r="AP5" i="36"/>
  <c r="AQ5" i="36" s="1"/>
  <c r="AN140" i="36"/>
  <c r="AQ45" i="36"/>
  <c r="AO10" i="36"/>
  <c r="AI168" i="36"/>
  <c r="AH18" i="36"/>
  <c r="AR140" i="36" l="1"/>
  <c r="AR133" i="36"/>
  <c r="AT5" i="36"/>
  <c r="AS133" i="36"/>
  <c r="AS8" i="36"/>
  <c r="AV41" i="36"/>
  <c r="AP133" i="36"/>
  <c r="AP8" i="36"/>
  <c r="AQ62" i="36"/>
  <c r="AP10" i="36"/>
  <c r="AI170" i="36"/>
  <c r="AV45" i="36" l="1"/>
  <c r="AT133" i="36"/>
  <c r="AS140" i="36"/>
  <c r="AT10" i="36"/>
  <c r="AU5" i="36"/>
  <c r="AU133" i="36" s="1"/>
  <c r="AU10" i="36"/>
  <c r="AQ10" i="36"/>
  <c r="AQ63" i="36"/>
  <c r="AP140" i="36"/>
  <c r="AJ168" i="36"/>
  <c r="AI18" i="36"/>
  <c r="AV10" i="36" l="1"/>
  <c r="AV62" i="36"/>
  <c r="AV63" i="36" s="1"/>
  <c r="AV5" i="36"/>
  <c r="AU8" i="36"/>
  <c r="AJ170" i="36"/>
  <c r="AU140" i="36" l="1"/>
  <c r="AJ18" i="36"/>
  <c r="AK168" i="36"/>
  <c r="AK170" i="36" l="1"/>
  <c r="AM168" i="36" l="1"/>
  <c r="AK18" i="36"/>
  <c r="AL18" i="36" l="1"/>
  <c r="AM170" i="36"/>
  <c r="AN168" i="36" l="1"/>
  <c r="AM18" i="36"/>
  <c r="T23" i="36" l="1"/>
  <c r="T143" i="36" s="1"/>
  <c r="AN170" i="36"/>
  <c r="AN18" i="36" l="1"/>
  <c r="AO168" i="36"/>
  <c r="T25" i="36" l="1"/>
  <c r="T29" i="36"/>
  <c r="AO170" i="36"/>
  <c r="T34" i="36" l="1"/>
  <c r="T27" i="36"/>
  <c r="AP168" i="36"/>
  <c r="AO18" i="36"/>
  <c r="AR168" i="36" l="1"/>
  <c r="AR170" i="36" s="1"/>
  <c r="T147" i="36"/>
  <c r="T32" i="36"/>
  <c r="T33" i="36"/>
  <c r="AP170" i="36"/>
  <c r="AS168" i="36" l="1"/>
  <c r="AS170" i="36" s="1"/>
  <c r="AS18" i="36" s="1"/>
  <c r="AT168" i="36"/>
  <c r="AT170" i="36" s="1"/>
  <c r="AR18" i="36"/>
  <c r="AP18" i="36"/>
  <c r="AU168" i="36" l="1"/>
  <c r="AU170" i="36" s="1"/>
  <c r="AT18" i="36"/>
  <c r="AQ18" i="36"/>
  <c r="AU18" i="36" l="1"/>
  <c r="AV18" i="36"/>
  <c r="U23" i="36" l="1"/>
  <c r="U143" i="36" s="1"/>
  <c r="AC143" i="36" l="1"/>
  <c r="AD143" i="36" s="1"/>
  <c r="U25" i="36"/>
  <c r="AE143" i="36" l="1"/>
  <c r="AF143" i="36"/>
  <c r="U27" i="36"/>
  <c r="AH143" i="36" l="1"/>
  <c r="U33" i="36"/>
  <c r="U32" i="36"/>
  <c r="AI143" i="36" l="1"/>
  <c r="AJ143" i="36" l="1"/>
  <c r="AK143" i="36"/>
  <c r="AM143" i="36" l="1"/>
  <c r="AN143" i="36" s="1"/>
  <c r="AO143" i="36" l="1"/>
  <c r="AP143" i="36" s="1"/>
  <c r="AR143" i="36" l="1"/>
  <c r="AS143" i="36" l="1"/>
  <c r="AT143" i="36" s="1"/>
  <c r="AU143" i="36" l="1"/>
  <c r="W21" i="36" l="1"/>
  <c r="W62" i="36" l="1"/>
  <c r="Z46" i="36"/>
  <c r="W45" i="36"/>
  <c r="U44" i="36"/>
  <c r="U46" i="36"/>
  <c r="W63" i="36" l="1"/>
  <c r="U59" i="36"/>
  <c r="U53" i="36"/>
  <c r="W54" i="36"/>
  <c r="U68" i="36" l="1"/>
  <c r="U65" i="36"/>
  <c r="U61" i="36"/>
  <c r="Z54" i="36"/>
  <c r="W60" i="36"/>
  <c r="W67" i="36"/>
  <c r="W59" i="36"/>
  <c r="V64" i="36" l="1"/>
  <c r="Y67" i="36"/>
  <c r="AA67" i="36"/>
  <c r="X67" i="36"/>
  <c r="U70" i="36"/>
  <c r="U71" i="36" s="1"/>
  <c r="W68" i="36"/>
  <c r="W61" i="36"/>
  <c r="Z59" i="36"/>
  <c r="AB54" i="36"/>
  <c r="V70" i="36" l="1"/>
  <c r="V71" i="36" s="1"/>
  <c r="W64" i="36"/>
  <c r="X64" i="36"/>
  <c r="Z67" i="36"/>
  <c r="AB59" i="36"/>
  <c r="Z60" i="36"/>
  <c r="AG54" i="36"/>
  <c r="W71" i="36"/>
  <c r="W72" i="36" s="1"/>
  <c r="U72" i="36"/>
  <c r="Y64" i="36" l="1"/>
  <c r="W65" i="36"/>
  <c r="W70" i="36"/>
  <c r="V72" i="36"/>
  <c r="X70" i="36"/>
  <c r="X71" i="36" s="1"/>
  <c r="X72" i="36" s="1"/>
  <c r="AL54" i="36"/>
  <c r="AG59" i="36"/>
  <c r="AB60" i="36"/>
  <c r="AB67" i="36"/>
  <c r="AB68" i="36" s="1"/>
  <c r="Y70" i="36" l="1"/>
  <c r="Y71" i="36" s="1"/>
  <c r="Z64" i="36"/>
  <c r="AQ54" i="36"/>
  <c r="AG67" i="36"/>
  <c r="AG68" i="36" s="1"/>
  <c r="AV54" i="36"/>
  <c r="AL59" i="36"/>
  <c r="AG60" i="36"/>
  <c r="AB61" i="36"/>
  <c r="Z70" i="36" l="1"/>
  <c r="Z71" i="36" s="1"/>
  <c r="Z72" i="36" s="1"/>
  <c r="AA64" i="36"/>
  <c r="Y72" i="36"/>
  <c r="AV59" i="36"/>
  <c r="AL67" i="36"/>
  <c r="AL68" i="36" s="1"/>
  <c r="AQ59" i="36"/>
  <c r="AG61" i="36"/>
  <c r="AB64" i="36" l="1"/>
  <c r="AB65" i="36" s="1"/>
  <c r="AL60" i="36"/>
  <c r="AQ67" i="36"/>
  <c r="AQ68" i="36" s="1"/>
  <c r="AV67" i="36" l="1"/>
  <c r="AV68" i="36" s="1"/>
  <c r="AQ60" i="36"/>
  <c r="AL61" i="36"/>
  <c r="AQ61" i="36" l="1"/>
  <c r="AV60" i="36" l="1"/>
  <c r="AG64" i="36" l="1"/>
  <c r="AG65" i="36" s="1"/>
  <c r="AV61" i="36"/>
  <c r="W95" i="36" l="1"/>
  <c r="U133" i="36"/>
  <c r="Z79" i="36"/>
  <c r="W78" i="36"/>
  <c r="U77" i="36"/>
  <c r="U79" i="36"/>
  <c r="W96" i="36" l="1"/>
  <c r="U92" i="36"/>
  <c r="U134" i="36"/>
  <c r="U86" i="36"/>
  <c r="W87" i="36"/>
  <c r="Z87" i="36" l="1"/>
  <c r="AB87" i="36" s="1"/>
  <c r="U101" i="36"/>
  <c r="U98" i="36"/>
  <c r="U94" i="36"/>
  <c r="AL64" i="36"/>
  <c r="AL65" i="36" s="1"/>
  <c r="AG87" i="36"/>
  <c r="AE6" i="36"/>
  <c r="AE134" i="36"/>
  <c r="Z92" i="36"/>
  <c r="Z6" i="36"/>
  <c r="W92" i="36"/>
  <c r="V100" i="36" l="1"/>
  <c r="V93" i="36"/>
  <c r="V97" i="36"/>
  <c r="U103" i="36"/>
  <c r="U105" i="36" s="1"/>
  <c r="AB92" i="36"/>
  <c r="AB6" i="36"/>
  <c r="AB8" i="36" s="1"/>
  <c r="Z8" i="36"/>
  <c r="AE8" i="36"/>
  <c r="AG6" i="36"/>
  <c r="AG8" i="36" s="1"/>
  <c r="Z134" i="36"/>
  <c r="AG92" i="36"/>
  <c r="V11" i="36" l="1"/>
  <c r="W11" i="36" s="1"/>
  <c r="W97" i="36"/>
  <c r="W98" i="36" s="1"/>
  <c r="X100" i="36"/>
  <c r="X13" i="36" s="1"/>
  <c r="V13" i="36"/>
  <c r="W13" i="36" s="1"/>
  <c r="W100" i="36"/>
  <c r="W101" i="36" s="1"/>
  <c r="X97" i="36"/>
  <c r="X11" i="36" s="1"/>
  <c r="V9" i="36"/>
  <c r="V103" i="36"/>
  <c r="V105" i="36" s="1"/>
  <c r="W93" i="36"/>
  <c r="X93" i="36"/>
  <c r="U137" i="36"/>
  <c r="U106" i="36"/>
  <c r="AG140" i="36"/>
  <c r="AB140" i="36"/>
  <c r="Z140" i="36"/>
  <c r="AE140" i="36"/>
  <c r="AJ6" i="36"/>
  <c r="AJ134" i="36" s="1"/>
  <c r="AL87" i="36"/>
  <c r="W9" i="36" l="1"/>
  <c r="W15" i="36" s="1"/>
  <c r="W17" i="36" s="1"/>
  <c r="V15" i="36"/>
  <c r="V106" i="36"/>
  <c r="Y97" i="36"/>
  <c r="W103" i="36"/>
  <c r="W94" i="36"/>
  <c r="W105" i="36"/>
  <c r="W106" i="36" s="1"/>
  <c r="X9" i="36"/>
  <c r="X103" i="36"/>
  <c r="X105" i="36" s="1"/>
  <c r="X106" i="36" s="1"/>
  <c r="Y100" i="36"/>
  <c r="Y93" i="36"/>
  <c r="AO6" i="36"/>
  <c r="AO134" i="36" s="1"/>
  <c r="AQ87" i="36"/>
  <c r="AL92" i="36"/>
  <c r="AJ8" i="36"/>
  <c r="AL6" i="36"/>
  <c r="AL8" i="36" s="1"/>
  <c r="AT6" i="36"/>
  <c r="AT134" i="36" s="1"/>
  <c r="AV87" i="36"/>
  <c r="Z100" i="36" l="1"/>
  <c r="Z13" i="36" s="1"/>
  <c r="Y11" i="36"/>
  <c r="Z97" i="36"/>
  <c r="Z11" i="36" s="1"/>
  <c r="AQ64" i="36"/>
  <c r="AQ65" i="36" s="1"/>
  <c r="Y9" i="36"/>
  <c r="Y103" i="36"/>
  <c r="Y105" i="36" s="1"/>
  <c r="X15" i="36"/>
  <c r="Z93" i="36"/>
  <c r="W19" i="36"/>
  <c r="W142" i="36" s="1"/>
  <c r="W141" i="36"/>
  <c r="W23" i="36"/>
  <c r="V17" i="36"/>
  <c r="Y13" i="36"/>
  <c r="AL140" i="36"/>
  <c r="AO8" i="36"/>
  <c r="AQ6" i="36"/>
  <c r="AQ8" i="36" s="1"/>
  <c r="AJ140" i="36"/>
  <c r="AQ92" i="36"/>
  <c r="AV92" i="36"/>
  <c r="AV6" i="36"/>
  <c r="AV8" i="36" s="1"/>
  <c r="AT8" i="36"/>
  <c r="Y106" i="36" l="1"/>
  <c r="Y15" i="36"/>
  <c r="AA97" i="36"/>
  <c r="AA11" i="36" s="1"/>
  <c r="AB11" i="36" s="1"/>
  <c r="Z103" i="36"/>
  <c r="Z105" i="36" s="1"/>
  <c r="Z106" i="36" s="1"/>
  <c r="Z9" i="36"/>
  <c r="AA93" i="36"/>
  <c r="V141" i="36"/>
  <c r="V19" i="36"/>
  <c r="V142" i="36" s="1"/>
  <c r="V23" i="36"/>
  <c r="V24" i="36" s="1"/>
  <c r="V137" i="36"/>
  <c r="X17" i="36"/>
  <c r="AA100" i="36"/>
  <c r="AQ140" i="36"/>
  <c r="AO140" i="36"/>
  <c r="AV140" i="36"/>
  <c r="AT140" i="36"/>
  <c r="AA13" i="36" l="1"/>
  <c r="AB13" i="36" s="1"/>
  <c r="AB100" i="36"/>
  <c r="AB101" i="36" s="1"/>
  <c r="X137" i="36"/>
  <c r="X19" i="36"/>
  <c r="X142" i="36" s="1"/>
  <c r="X141" i="36"/>
  <c r="Y17" i="36"/>
  <c r="V25" i="36"/>
  <c r="W24" i="36"/>
  <c r="AB97" i="36"/>
  <c r="AB98" i="36" s="1"/>
  <c r="Z15" i="36"/>
  <c r="AA9" i="36"/>
  <c r="AB93" i="36"/>
  <c r="AB94" i="36" s="1"/>
  <c r="AB114" i="36"/>
  <c r="AB118" i="36" s="1"/>
  <c r="AB120" i="36" s="1"/>
  <c r="AB121" i="36" s="1"/>
  <c r="AA118" i="36"/>
  <c r="AA120" i="36" s="1"/>
  <c r="AA121" i="36" s="1"/>
  <c r="AB99" i="36"/>
  <c r="AA103" i="36"/>
  <c r="AA105" i="36" s="1"/>
  <c r="AB66" i="36"/>
  <c r="AB70" i="36" s="1"/>
  <c r="AA70" i="36"/>
  <c r="AA71" i="36" s="1"/>
  <c r="AA12" i="36"/>
  <c r="AB127" i="36"/>
  <c r="AB130" i="36" s="1"/>
  <c r="AB131" i="36" s="1"/>
  <c r="AA130" i="36"/>
  <c r="AA131" i="36" s="1"/>
  <c r="AB103" i="36" l="1"/>
  <c r="AD13" i="36"/>
  <c r="AC9" i="36"/>
  <c r="AB9" i="36"/>
  <c r="AC13" i="36"/>
  <c r="AV64" i="36"/>
  <c r="AV65" i="36" s="1"/>
  <c r="Y19" i="36"/>
  <c r="Y142" i="36" s="1"/>
  <c r="Y141" i="36"/>
  <c r="Y137" i="36"/>
  <c r="Z17" i="36"/>
  <c r="W143" i="36"/>
  <c r="W25" i="36"/>
  <c r="AC11" i="36"/>
  <c r="AD9" i="36"/>
  <c r="V27" i="36"/>
  <c r="AD11" i="36"/>
  <c r="AB12" i="36"/>
  <c r="AA15" i="36"/>
  <c r="AA106" i="36"/>
  <c r="AB105" i="36"/>
  <c r="AB106" i="36" s="1"/>
  <c r="AB71" i="36"/>
  <c r="AB72" i="36" s="1"/>
  <c r="AA72" i="36"/>
  <c r="AE9" i="36" l="1"/>
  <c r="V33" i="36"/>
  <c r="V32" i="36"/>
  <c r="AE11" i="36"/>
  <c r="Z19" i="36"/>
  <c r="Z142" i="36" s="1"/>
  <c r="Z141" i="36"/>
  <c r="Z137" i="36"/>
  <c r="AB15" i="36"/>
  <c r="AB17" i="36" s="1"/>
  <c r="W27" i="36"/>
  <c r="AC12" i="36"/>
  <c r="AC70" i="36"/>
  <c r="AC71" i="36" s="1"/>
  <c r="AA17" i="36"/>
  <c r="AB19" i="36"/>
  <c r="AB141" i="36"/>
  <c r="AC130" i="36"/>
  <c r="AC131" i="36" s="1"/>
  <c r="AF11" i="36" l="1"/>
  <c r="AG11" i="36" s="1"/>
  <c r="W31" i="36"/>
  <c r="W33" i="36" s="1"/>
  <c r="W30" i="36"/>
  <c r="W32" i="36" s="1"/>
  <c r="AD70" i="36"/>
  <c r="AD71" i="36" s="1"/>
  <c r="AE13" i="36"/>
  <c r="AF13" i="36"/>
  <c r="AC72" i="36"/>
  <c r="AC15" i="36"/>
  <c r="AD130" i="36"/>
  <c r="AD131" i="36" s="1"/>
  <c r="AA19" i="36"/>
  <c r="AA141" i="36"/>
  <c r="AA137" i="36"/>
  <c r="AB142" i="36"/>
  <c r="AG100" i="36" l="1"/>
  <c r="AG101" i="36" s="1"/>
  <c r="AG97" i="36"/>
  <c r="AG98" i="36" s="1"/>
  <c r="AD12" i="36"/>
  <c r="AD15" i="36" s="1"/>
  <c r="AD17" i="36" s="1"/>
  <c r="AG13" i="36"/>
  <c r="AF9" i="36"/>
  <c r="AG93" i="36"/>
  <c r="AG94" i="36" s="1"/>
  <c r="W146" i="36"/>
  <c r="W36" i="36"/>
  <c r="AA142" i="36"/>
  <c r="AC17" i="36"/>
  <c r="AD72" i="36"/>
  <c r="AH11" i="36" l="1"/>
  <c r="AI13" i="36"/>
  <c r="AH9" i="36"/>
  <c r="AI9" i="36"/>
  <c r="AI11" i="36"/>
  <c r="AH13" i="36"/>
  <c r="AG9" i="36"/>
  <c r="AE130" i="36"/>
  <c r="AE131" i="36" s="1"/>
  <c r="AC19" i="36"/>
  <c r="AC141" i="36"/>
  <c r="AC137" i="36"/>
  <c r="AE70" i="36"/>
  <c r="AE71" i="36" s="1"/>
  <c r="AE12" i="36"/>
  <c r="AD19" i="36"/>
  <c r="AD141" i="36"/>
  <c r="AD137" i="36"/>
  <c r="AJ11" i="36" l="1"/>
  <c r="AJ9" i="36"/>
  <c r="AE72" i="36"/>
  <c r="AC142" i="36"/>
  <c r="AE15" i="36"/>
  <c r="AD142" i="36"/>
  <c r="AK9" i="36" l="1"/>
  <c r="AK13" i="36"/>
  <c r="AK11" i="36"/>
  <c r="AL11" i="36" s="1"/>
  <c r="AL9" i="36"/>
  <c r="AL97" i="36"/>
  <c r="AL98" i="36" s="1"/>
  <c r="AJ13" i="36"/>
  <c r="AL13" i="36" s="1"/>
  <c r="AL100" i="36"/>
  <c r="AL101" i="36" s="1"/>
  <c r="AF130" i="36"/>
  <c r="AF131" i="36" s="1"/>
  <c r="AG127" i="36"/>
  <c r="AG130" i="36" s="1"/>
  <c r="AG131" i="36" s="1"/>
  <c r="AE17" i="36"/>
  <c r="AF70" i="36"/>
  <c r="AF71" i="36" s="1"/>
  <c r="AF12" i="36"/>
  <c r="AG66" i="36"/>
  <c r="AG70" i="36" s="1"/>
  <c r="AG99" i="36"/>
  <c r="AG103" i="36" s="1"/>
  <c r="AG114" i="36"/>
  <c r="AG118" i="36" s="1"/>
  <c r="AG120" i="36" s="1"/>
  <c r="AG121" i="36" s="1"/>
  <c r="AL93" i="36" l="1"/>
  <c r="AL94" i="36" s="1"/>
  <c r="X23" i="36"/>
  <c r="AF15" i="36"/>
  <c r="AG12" i="36"/>
  <c r="AG15" i="36" s="1"/>
  <c r="AG17" i="36" s="1"/>
  <c r="AE141" i="36"/>
  <c r="AE19" i="36"/>
  <c r="AE137" i="36"/>
  <c r="AF72" i="36"/>
  <c r="AG71" i="36"/>
  <c r="AG72" i="36" s="1"/>
  <c r="AG105" i="36"/>
  <c r="AG106" i="36" s="1"/>
  <c r="X24" i="36" l="1"/>
  <c r="X25" i="36" s="1"/>
  <c r="AM9" i="36"/>
  <c r="AM13" i="36"/>
  <c r="AN13" i="36"/>
  <c r="AN9" i="36"/>
  <c r="AM11" i="36"/>
  <c r="AN11" i="36"/>
  <c r="AG19" i="36"/>
  <c r="AG141" i="36"/>
  <c r="AF17" i="36"/>
  <c r="AH70" i="36"/>
  <c r="AH71" i="36" s="1"/>
  <c r="AH12" i="36"/>
  <c r="AE142" i="36"/>
  <c r="AH130" i="36"/>
  <c r="AH131" i="36" s="1"/>
  <c r="AO13" i="36" l="1"/>
  <c r="X27" i="36"/>
  <c r="AF19" i="36"/>
  <c r="AF141" i="36"/>
  <c r="AF137" i="36"/>
  <c r="AG142" i="36"/>
  <c r="AH72" i="36"/>
  <c r="AH15" i="36"/>
  <c r="AO11" i="36" l="1"/>
  <c r="AO9" i="36"/>
  <c r="AP9" i="36"/>
  <c r="X32" i="36"/>
  <c r="X33" i="36"/>
  <c r="AP11" i="36"/>
  <c r="AI130" i="36"/>
  <c r="AI131" i="36" s="1"/>
  <c r="AI70" i="36"/>
  <c r="AI71" i="36" s="1"/>
  <c r="AI12" i="36"/>
  <c r="AF142" i="36"/>
  <c r="AH17" i="36"/>
  <c r="AQ93" i="36" l="1"/>
  <c r="AQ94" i="36" s="1"/>
  <c r="AQ9" i="36"/>
  <c r="AQ97" i="36"/>
  <c r="AQ98" i="36" s="1"/>
  <c r="AP13" i="36"/>
  <c r="AQ13" i="36" s="1"/>
  <c r="AQ100" i="36"/>
  <c r="AQ101" i="36" s="1"/>
  <c r="AQ11" i="36"/>
  <c r="AI15" i="36"/>
  <c r="AI72" i="36"/>
  <c r="AJ70" i="36"/>
  <c r="AJ71" i="36" s="1"/>
  <c r="AJ12" i="36"/>
  <c r="AJ15" i="36" s="1"/>
  <c r="AH141" i="36"/>
  <c r="AH19" i="36"/>
  <c r="AH137" i="36"/>
  <c r="AJ130" i="36"/>
  <c r="AJ131" i="36" s="1"/>
  <c r="AR13" i="36" l="1"/>
  <c r="AR9" i="36"/>
  <c r="AS9" i="36"/>
  <c r="AR11" i="36"/>
  <c r="AS13" i="36"/>
  <c r="AS11" i="36"/>
  <c r="AH142" i="36"/>
  <c r="AJ17" i="36"/>
  <c r="AL114" i="36"/>
  <c r="AL118" i="36" s="1"/>
  <c r="AL120" i="36" s="1"/>
  <c r="AL121" i="36" s="1"/>
  <c r="AL99" i="36"/>
  <c r="AL103" i="36" s="1"/>
  <c r="AJ72" i="36"/>
  <c r="AK70" i="36"/>
  <c r="AK71" i="36" s="1"/>
  <c r="AL71" i="36" s="1"/>
  <c r="AL72" i="36" s="1"/>
  <c r="AK12" i="36"/>
  <c r="AK15" i="36" s="1"/>
  <c r="AL66" i="36"/>
  <c r="AL70" i="36" s="1"/>
  <c r="AK130" i="36"/>
  <c r="AK131" i="36" s="1"/>
  <c r="AL127" i="36"/>
  <c r="AL130" i="36" s="1"/>
  <c r="AL131" i="36" s="1"/>
  <c r="AI17" i="36"/>
  <c r="AU9" i="36" l="1"/>
  <c r="AT9" i="36"/>
  <c r="AU11" i="36"/>
  <c r="AV93" i="36"/>
  <c r="AV94" i="36" s="1"/>
  <c r="AV9" i="36"/>
  <c r="AU13" i="36"/>
  <c r="AL12" i="36"/>
  <c r="AL15" i="36" s="1"/>
  <c r="AL17" i="36" s="1"/>
  <c r="AL19" i="36" s="1"/>
  <c r="AL105" i="36"/>
  <c r="AL106" i="36" s="1"/>
  <c r="AK17" i="36"/>
  <c r="AK137" i="36" s="1"/>
  <c r="AM130" i="36"/>
  <c r="AM131" i="36" s="1"/>
  <c r="AI141" i="36"/>
  <c r="AI19" i="36"/>
  <c r="AI137" i="36"/>
  <c r="AJ141" i="36"/>
  <c r="AJ19" i="36"/>
  <c r="AK72" i="36"/>
  <c r="AM12" i="36"/>
  <c r="AM70" i="36"/>
  <c r="AM71" i="36" s="1"/>
  <c r="AJ137" i="36"/>
  <c r="AT13" i="36" l="1"/>
  <c r="AV13" i="36" s="1"/>
  <c r="AV100" i="36"/>
  <c r="AV101" i="36" s="1"/>
  <c r="AT11" i="36"/>
  <c r="AV11" i="36" s="1"/>
  <c r="AV97" i="36"/>
  <c r="AV98" i="36" s="1"/>
  <c r="AL141" i="36"/>
  <c r="AN130" i="36"/>
  <c r="AN131" i="36" s="1"/>
  <c r="AK141" i="36"/>
  <c r="AK19" i="36"/>
  <c r="AM72" i="36"/>
  <c r="AM15" i="36"/>
  <c r="AI142" i="36"/>
  <c r="AJ142" i="36"/>
  <c r="AL142" i="36"/>
  <c r="AK142" i="36" l="1"/>
  <c r="AM17" i="36"/>
  <c r="AN70" i="36"/>
  <c r="AN71" i="36" s="1"/>
  <c r="AN12" i="36"/>
  <c r="AO70" i="36" l="1"/>
  <c r="AO71" i="36" s="1"/>
  <c r="AN15" i="36"/>
  <c r="AM141" i="36"/>
  <c r="AM19" i="36"/>
  <c r="AM137" i="36"/>
  <c r="AN72" i="36"/>
  <c r="Y23" i="36" l="1"/>
  <c r="AQ114" i="36"/>
  <c r="AQ118" i="36" s="1"/>
  <c r="AQ120" i="36" s="1"/>
  <c r="AQ121" i="36" s="1"/>
  <c r="AQ127" i="36"/>
  <c r="AQ130" i="36" s="1"/>
  <c r="AQ131" i="36" s="1"/>
  <c r="AO130" i="36"/>
  <c r="AO131" i="36" s="1"/>
  <c r="AO72" i="36"/>
  <c r="AO12" i="36"/>
  <c r="AN17" i="36"/>
  <c r="AM142" i="36"/>
  <c r="Y24" i="36" l="1"/>
  <c r="Y25" i="36" s="1"/>
  <c r="AN141" i="36"/>
  <c r="AN19" i="36"/>
  <c r="AN137" i="36"/>
  <c r="AP12" i="36"/>
  <c r="AP15" i="36" s="1"/>
  <c r="AP70" i="36"/>
  <c r="AP71" i="36" s="1"/>
  <c r="AQ66" i="36"/>
  <c r="AQ70" i="36" s="1"/>
  <c r="AO15" i="36"/>
  <c r="AQ12" i="36"/>
  <c r="AQ15" i="36" s="1"/>
  <c r="AQ17" i="36" s="1"/>
  <c r="AP130" i="36"/>
  <c r="AP131" i="36" s="1"/>
  <c r="AQ99" i="36"/>
  <c r="AQ103" i="36" s="1"/>
  <c r="Y27" i="36" l="1"/>
  <c r="AR130" i="36"/>
  <c r="AR131" i="36" s="1"/>
  <c r="AQ141" i="36"/>
  <c r="AQ19" i="36"/>
  <c r="AR12" i="36"/>
  <c r="AR70" i="36"/>
  <c r="AR71" i="36" s="1"/>
  <c r="AN142" i="36"/>
  <c r="AO17" i="36"/>
  <c r="AP72" i="36"/>
  <c r="AQ71" i="36"/>
  <c r="AQ72" i="36" s="1"/>
  <c r="AP17" i="36"/>
  <c r="AP137" i="36" s="1"/>
  <c r="AQ105" i="36"/>
  <c r="AQ106" i="36" s="1"/>
  <c r="Y32" i="36" l="1"/>
  <c r="Y33" i="36"/>
  <c r="AQ142" i="36"/>
  <c r="AO19" i="36"/>
  <c r="AO141" i="36"/>
  <c r="AO137" i="36"/>
  <c r="AP141" i="36"/>
  <c r="AP19" i="36"/>
  <c r="AR72" i="36"/>
  <c r="AS70" i="36"/>
  <c r="AS71" i="36" s="1"/>
  <c r="AR15" i="36"/>
  <c r="AR17" i="36" s="1"/>
  <c r="AR137" i="36" s="1"/>
  <c r="AS130" i="36" l="1"/>
  <c r="AS131" i="36" s="1"/>
  <c r="AO142" i="36"/>
  <c r="AR19" i="36"/>
  <c r="AR141" i="36"/>
  <c r="AS72" i="36"/>
  <c r="AS12" i="36"/>
  <c r="AP142" i="36"/>
  <c r="AR142" i="36" l="1"/>
  <c r="AS15" i="36"/>
  <c r="AS17" i="36" s="1"/>
  <c r="AS137" i="36" s="1"/>
  <c r="AV114" i="36" l="1"/>
  <c r="AV118" i="36" s="1"/>
  <c r="AV120" i="36" s="1"/>
  <c r="AV121" i="36" s="1"/>
  <c r="AT130" i="36"/>
  <c r="AT131" i="36" s="1"/>
  <c r="AU130" i="36"/>
  <c r="AU131" i="36" s="1"/>
  <c r="AS19" i="36"/>
  <c r="AS141" i="36"/>
  <c r="AV66" i="36"/>
  <c r="AV70" i="36" s="1"/>
  <c r="AT70" i="36"/>
  <c r="AT71" i="36" s="1"/>
  <c r="AT12" i="36"/>
  <c r="AS142" i="36" l="1"/>
  <c r="AV99" i="36"/>
  <c r="AV103" i="36" s="1"/>
  <c r="AV127" i="36"/>
  <c r="AV130" i="36" s="1"/>
  <c r="AV131" i="36" s="1"/>
  <c r="AT15" i="36"/>
  <c r="AT17" i="36" s="1"/>
  <c r="AT137" i="36" s="1"/>
  <c r="AT72" i="36"/>
  <c r="AU12" i="36"/>
  <c r="AU15" i="36" s="1"/>
  <c r="AU17" i="36" s="1"/>
  <c r="AU70" i="36"/>
  <c r="AU71" i="36" s="1"/>
  <c r="AV71" i="36" s="1"/>
  <c r="AV72" i="36" s="1"/>
  <c r="AV12" i="36" l="1"/>
  <c r="AV15" i="36" s="1"/>
  <c r="AV17" i="36" s="1"/>
  <c r="AU141" i="36"/>
  <c r="AU19" i="36"/>
  <c r="AT141" i="36"/>
  <c r="AT19" i="36"/>
  <c r="AV105" i="36"/>
  <c r="AV106" i="36" s="1"/>
  <c r="AU72" i="36"/>
  <c r="AU137" i="36"/>
  <c r="AT142" i="36" l="1"/>
  <c r="AU142" i="36"/>
  <c r="AV19" i="36"/>
  <c r="AV141" i="36"/>
  <c r="Z23" i="36" l="1"/>
  <c r="Z24" i="36" s="1"/>
  <c r="AV142" i="36"/>
  <c r="Z25" i="36" l="1"/>
  <c r="Z27" i="36" l="1"/>
  <c r="Z32" i="36" l="1"/>
  <c r="Z33" i="36"/>
  <c r="AA23" i="36" l="1"/>
  <c r="AB21" i="36"/>
  <c r="AB23" i="36" l="1"/>
  <c r="AA24" i="36"/>
  <c r="AB24" i="36" s="1"/>
  <c r="AB25" i="36" l="1"/>
  <c r="AB143" i="36"/>
  <c r="AA25" i="36"/>
  <c r="AA27" i="36" l="1"/>
  <c r="AB27" i="36"/>
  <c r="AB30" i="36" l="1"/>
  <c r="AB32" i="36" s="1"/>
  <c r="AB31" i="36"/>
  <c r="AB33" i="36" s="1"/>
  <c r="AB36" i="36" s="1"/>
  <c r="AA32" i="36"/>
  <c r="AA33" i="36"/>
  <c r="AC23" i="36" l="1"/>
  <c r="AC24" i="36" s="1"/>
  <c r="AC25" i="36" s="1"/>
  <c r="AC27" i="36" l="1"/>
  <c r="AC33" i="36" l="1"/>
  <c r="AC32" i="36"/>
  <c r="AD23" i="36" l="1"/>
  <c r="AD24" i="36" l="1"/>
  <c r="AD25" i="36" s="1"/>
  <c r="AD27" i="36" l="1"/>
  <c r="AD32" i="36" l="1"/>
  <c r="AD33" i="36"/>
  <c r="AE23" i="36" l="1"/>
  <c r="AE24" i="36" l="1"/>
  <c r="AE25" i="36" s="1"/>
  <c r="AE27" i="36" l="1"/>
  <c r="AE32" i="36" l="1"/>
  <c r="AE33" i="36"/>
  <c r="AF23" i="36" l="1"/>
  <c r="AF24" i="36" s="1"/>
  <c r="AG23" i="36" l="1"/>
  <c r="AF25" i="36"/>
  <c r="AG24" i="36"/>
  <c r="AF27" i="36" l="1"/>
  <c r="AG25" i="36"/>
  <c r="AG143" i="36"/>
  <c r="AG27" i="36" l="1"/>
  <c r="AF32" i="36"/>
  <c r="AF33" i="36"/>
  <c r="AG30" i="36" l="1"/>
  <c r="AG32" i="36" s="1"/>
  <c r="AG31" i="36"/>
  <c r="AG33" i="36" s="1"/>
  <c r="AG36" i="36" s="1"/>
  <c r="AH23" i="36" l="1"/>
  <c r="AH24" i="36" l="1"/>
  <c r="AH25" i="36" s="1"/>
  <c r="AH27" i="36" l="1"/>
  <c r="AH33" i="36" l="1"/>
  <c r="AH32" i="36"/>
  <c r="AI23" i="36" l="1"/>
  <c r="AI24" i="36" l="1"/>
  <c r="AI25" i="36" s="1"/>
  <c r="AI27" i="36" l="1"/>
  <c r="AI33" i="36" l="1"/>
  <c r="AI32" i="36"/>
  <c r="AJ23" i="36" l="1"/>
  <c r="AJ24" i="36" s="1"/>
  <c r="AJ25" i="36" l="1"/>
  <c r="AJ27" i="36" l="1"/>
  <c r="AJ33" i="36" l="1"/>
  <c r="AJ32" i="36"/>
  <c r="AK23" i="36" l="1"/>
  <c r="AL23" i="36" l="1"/>
  <c r="AK24" i="36"/>
  <c r="AL24" i="36" s="1"/>
  <c r="AL143" i="36" l="1"/>
  <c r="AK25" i="36"/>
  <c r="AL25" i="36"/>
  <c r="AL27" i="36" l="1"/>
  <c r="AK27" i="36"/>
  <c r="AK32" i="36" l="1"/>
  <c r="AK33" i="36"/>
  <c r="AL31" i="36"/>
  <c r="AL33" i="36" s="1"/>
  <c r="AL36" i="36" s="1"/>
  <c r="AL30" i="36"/>
  <c r="AL32" i="36" s="1"/>
  <c r="AM23" i="36" l="1"/>
  <c r="AM24" i="36" l="1"/>
  <c r="AM25" i="36"/>
  <c r="AM27" i="36" l="1"/>
  <c r="AM32" i="36" l="1"/>
  <c r="AM33" i="36"/>
  <c r="AN23" i="36" l="1"/>
  <c r="AN24" i="36" l="1"/>
  <c r="AN25" i="36" s="1"/>
  <c r="AN27" i="36" l="1"/>
  <c r="AN33" i="36" l="1"/>
  <c r="AN32" i="36"/>
  <c r="AO23" i="36" l="1"/>
  <c r="AO24" i="36" l="1"/>
  <c r="AO25" i="36" s="1"/>
  <c r="AO27" i="36" l="1"/>
  <c r="AO32" i="36" l="1"/>
  <c r="AO33" i="36"/>
  <c r="AP23" i="36" l="1"/>
  <c r="AP24" i="36" s="1"/>
  <c r="AQ23" i="36" l="1"/>
  <c r="AP25" i="36"/>
  <c r="AQ24" i="36"/>
  <c r="AP27" i="36" l="1"/>
  <c r="AQ25" i="36"/>
  <c r="AQ143" i="36"/>
  <c r="AQ27" i="36" l="1"/>
  <c r="AP32" i="36"/>
  <c r="AP33" i="36"/>
  <c r="AQ31" i="36" l="1"/>
  <c r="AQ33" i="36" s="1"/>
  <c r="AQ36" i="36" s="1"/>
  <c r="AQ30" i="36"/>
  <c r="AQ32" i="36" s="1"/>
  <c r="AR23" i="36" l="1"/>
  <c r="AR24" i="36" s="1"/>
  <c r="AR25" i="36" s="1"/>
  <c r="AR27" i="36" l="1"/>
  <c r="AR33" i="36" l="1"/>
  <c r="AR32" i="36"/>
  <c r="AS23" i="36" l="1"/>
  <c r="AS24" i="36" l="1"/>
  <c r="AS25" i="36" s="1"/>
  <c r="AS27" i="36" l="1"/>
  <c r="AS33" i="36" l="1"/>
  <c r="AS32" i="36"/>
  <c r="AT23" i="36" l="1"/>
  <c r="AT24" i="36" l="1"/>
  <c r="AT25" i="36" s="1"/>
  <c r="AT27" i="36" l="1"/>
  <c r="AT33" i="36" l="1"/>
  <c r="AT32" i="36"/>
  <c r="AU23" i="36" l="1"/>
  <c r="AV23" i="36"/>
  <c r="AU24" i="36" l="1"/>
  <c r="AV24" i="36" s="1"/>
  <c r="AU25" i="36" l="1"/>
  <c r="AU27" i="36" s="1"/>
  <c r="AV25" i="36"/>
  <c r="AV143" i="36"/>
  <c r="AV27" i="36" l="1"/>
  <c r="AU33" i="36"/>
  <c r="AU32" i="36"/>
  <c r="AV31" i="36" l="1"/>
  <c r="AV33" i="36" s="1"/>
  <c r="AV36" i="36" s="1"/>
  <c r="AV30" i="36"/>
  <c r="AV32" i="36" s="1"/>
  <c r="U28" i="36" l="1"/>
  <c r="U29" i="36" s="1"/>
  <c r="U34" i="36" s="1"/>
  <c r="U173" i="36"/>
  <c r="V173" i="36" s="1"/>
  <c r="V172" i="36" l="1"/>
  <c r="V28" i="36" s="1"/>
  <c r="V29" i="36" s="1"/>
  <c r="V34" i="36" s="1"/>
  <c r="V147" i="36" s="1"/>
  <c r="X173" i="36"/>
  <c r="U147" i="36"/>
  <c r="W28" i="36" l="1"/>
  <c r="W29" i="36" s="1"/>
  <c r="W34" i="36" s="1"/>
  <c r="W147" i="36" s="1"/>
  <c r="X172" i="36"/>
  <c r="X28" i="36" s="1"/>
  <c r="X29" i="36" s="1"/>
  <c r="X34" i="36" s="1"/>
  <c r="Y173" i="36"/>
  <c r="Z173" i="36" l="1"/>
  <c r="Y172" i="36"/>
  <c r="Y28" i="36" s="1"/>
  <c r="Y29" i="36" s="1"/>
  <c r="Y34" i="36" s="1"/>
  <c r="Y147" i="36" s="1"/>
  <c r="X147" i="36"/>
  <c r="AA173" i="36" l="1"/>
  <c r="Z172" i="36"/>
  <c r="Z28" i="36" s="1"/>
  <c r="Z29" i="36" l="1"/>
  <c r="Z34" i="36" s="1"/>
  <c r="Z147" i="36" s="1"/>
  <c r="AA172" i="36"/>
  <c r="AA28" i="36" s="1"/>
  <c r="AA29" i="36" s="1"/>
  <c r="AA34" i="36" s="1"/>
  <c r="AA147" i="36" s="1"/>
  <c r="AC173" i="36"/>
  <c r="AD173" i="36" l="1"/>
  <c r="AC172" i="36"/>
  <c r="AC28" i="36" s="1"/>
  <c r="AC29" i="36" s="1"/>
  <c r="AC34" i="36" s="1"/>
  <c r="AC147" i="36" s="1"/>
  <c r="AB28" i="36"/>
  <c r="AB29" i="36" s="1"/>
  <c r="AB34" i="36" s="1"/>
  <c r="AB147" i="36" s="1"/>
  <c r="AE173" i="36" l="1"/>
  <c r="AD172" i="36"/>
  <c r="AD28" i="36" s="1"/>
  <c r="AD29" i="36" s="1"/>
  <c r="AD34" i="36" s="1"/>
  <c r="AD147" i="36" s="1"/>
  <c r="AF173" i="36" l="1"/>
  <c r="AE172" i="36"/>
  <c r="AE28" i="36" s="1"/>
  <c r="AE29" i="36" l="1"/>
  <c r="AE34" i="36" s="1"/>
  <c r="AE147" i="36" s="1"/>
  <c r="AF172" i="36"/>
  <c r="AF28" i="36" s="1"/>
  <c r="AF29" i="36" s="1"/>
  <c r="AF34" i="36" s="1"/>
  <c r="AF147" i="36" s="1"/>
  <c r="AH173" i="36"/>
  <c r="AG28" i="36" l="1"/>
  <c r="AG29" i="36" s="1"/>
  <c r="AG34" i="36" s="1"/>
  <c r="AG147" i="36" s="1"/>
  <c r="AI173" i="36"/>
  <c r="AH172" i="36"/>
  <c r="AH28" i="36" s="1"/>
  <c r="AH29" i="36" s="1"/>
  <c r="AH34" i="36" s="1"/>
  <c r="AH147" i="36" s="1"/>
  <c r="AI172" i="36" l="1"/>
  <c r="AI28" i="36" s="1"/>
  <c r="AI29" i="36" s="1"/>
  <c r="AI34" i="36" s="1"/>
  <c r="AI147" i="36" s="1"/>
  <c r="AJ173" i="36"/>
  <c r="AJ172" i="36" l="1"/>
  <c r="AJ28" i="36" s="1"/>
  <c r="AK173" i="36"/>
  <c r="AM173" i="36" l="1"/>
  <c r="AK172" i="36"/>
  <c r="AK28" i="36" s="1"/>
  <c r="AK29" i="36" s="1"/>
  <c r="AK34" i="36" s="1"/>
  <c r="AK147" i="36" s="1"/>
  <c r="AJ29" i="36"/>
  <c r="AJ34" i="36" s="1"/>
  <c r="AJ147" i="36" s="1"/>
  <c r="AL28" i="36"/>
  <c r="AL29" i="36" s="1"/>
  <c r="AL34" i="36" s="1"/>
  <c r="AL147" i="36" s="1"/>
  <c r="AN173" i="36" l="1"/>
  <c r="AM172" i="36"/>
  <c r="AM28" i="36" s="1"/>
  <c r="AM29" i="36" s="1"/>
  <c r="AM34" i="36" s="1"/>
  <c r="AM147" i="36" s="1"/>
  <c r="AN172" i="36" l="1"/>
  <c r="AN28" i="36" s="1"/>
  <c r="AN29" i="36" s="1"/>
  <c r="AN34" i="36" s="1"/>
  <c r="AN147" i="36" s="1"/>
  <c r="AO173" i="36"/>
  <c r="AP173" i="36" l="1"/>
  <c r="AO172" i="36"/>
  <c r="AO28" i="36" s="1"/>
  <c r="AO29" i="36" l="1"/>
  <c r="AO34" i="36" s="1"/>
  <c r="AO147" i="36" s="1"/>
  <c r="AR173" i="36"/>
  <c r="AP172" i="36"/>
  <c r="AP28" i="36" s="1"/>
  <c r="AP29" i="36" s="1"/>
  <c r="AP34" i="36" s="1"/>
  <c r="AP147" i="36" s="1"/>
  <c r="AR172" i="36" l="1"/>
  <c r="AR28" i="36" s="1"/>
  <c r="AR29" i="36" s="1"/>
  <c r="AR34" i="36" s="1"/>
  <c r="AR147" i="36" s="1"/>
  <c r="AS173" i="36"/>
  <c r="AQ28" i="36"/>
  <c r="AQ29" i="36" s="1"/>
  <c r="AQ34" i="36" s="1"/>
  <c r="AQ147" i="36" s="1"/>
  <c r="AT173" i="36" l="1"/>
  <c r="AS172" i="36"/>
  <c r="AS28" i="36" s="1"/>
  <c r="AS29" i="36" l="1"/>
  <c r="AS34" i="36" s="1"/>
  <c r="AS147" i="36" s="1"/>
  <c r="AT172" i="36"/>
  <c r="AT28" i="36" s="1"/>
  <c r="AT29" i="36" s="1"/>
  <c r="AT34" i="36" s="1"/>
  <c r="AT147" i="36" s="1"/>
  <c r="AU173" i="36"/>
  <c r="AU172" i="36" s="1"/>
  <c r="AU28" i="36" s="1"/>
  <c r="AU29" i="36" s="1"/>
  <c r="AU34" i="36" s="1"/>
  <c r="AU147" i="36" s="1"/>
  <c r="AV28" i="36" l="1"/>
  <c r="AV29" i="36" s="1"/>
  <c r="AV34" i="36" s="1"/>
  <c r="AV147"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Moschella</author>
    <author>Admin</author>
    <author>Gutenberg Research</author>
  </authors>
  <commentList>
    <comment ref="N8" authorId="0" shapeId="0" xr:uid="{FC4173FE-3CB6-4A20-9DD5-53F8529DE92D}">
      <text>
        <r>
          <rPr>
            <b/>
            <sz val="9"/>
            <color indexed="81"/>
            <rFont val="Tahoma"/>
            <family val="2"/>
          </rPr>
          <t xml:space="preserve">-----------Review of Historic Results------------
MD&amp;A Comment: </t>
        </r>
        <r>
          <rPr>
            <sz val="9"/>
            <color indexed="81"/>
            <rFont val="Tahoma"/>
            <family val="2"/>
          </rPr>
          <t xml:space="preserve">Total net revenues for the first quarter of fiscal 2021 decreased $348 million. Company-operated stores revenue declined $54 million, reflecting a 5% decrease in comparable store sales ($279 million) attributed to a 19% decrease in transactions partially offset by a 17% increase in average ticket. This decrease was partially offset by 667 net new Starbucks company-operated stores, or a 4% increase, over the past 12 months ($170 million) and favorable foreign currency translation ($69 million).
Licensed stores revenue decreased $178 million, primarily driven by lower product and equipment sales to and royalty revenues from our licensees.
Other revenues decreased $115 million, primarily due to the transition of certain single-serve product activities to Nestlé and lapping of transition activities related
to the Global Coffee Alliance in the prior year. Also contributing were lower Global Coffee Alliance revenues, mainly driven by the Foodservice business, which
experienced softening due to COVID-19.
</t>
        </r>
        <r>
          <rPr>
            <b/>
            <sz val="9"/>
            <color indexed="81"/>
            <rFont val="Tahoma"/>
            <family val="2"/>
          </rPr>
          <t>Source:</t>
        </r>
        <r>
          <rPr>
            <sz val="9"/>
            <color indexed="81"/>
            <rFont val="Tahoma"/>
            <family val="2"/>
          </rPr>
          <t xml:space="preserve"> F1Q2021 10-Q</t>
        </r>
      </text>
    </comment>
    <comment ref="P8" authorId="0" shapeId="0" xr:uid="{DA0F198E-4BE8-4B90-B0D2-097503E23726}">
      <text>
        <r>
          <rPr>
            <b/>
            <sz val="9"/>
            <color indexed="81"/>
            <rFont val="Tahoma"/>
            <family val="2"/>
          </rPr>
          <t>-----------Review of Historic Results--------
MD&amp;A Comment:</t>
        </r>
        <r>
          <rPr>
            <sz val="9"/>
            <color indexed="81"/>
            <rFont val="Tahoma"/>
            <family val="2"/>
          </rPr>
          <t xml:space="preserve"> Total net revenues for the third quarter of fiscal 2021 increased $3.3 billion, primarily due to higher revenues from company-operated stores ($2.9 billion). The growth of company-operated stores revenues was driven by a 73% increase in comparable store sales ($2.5 billion) attributed to a 75% increase in transactions offset by a 1% decrease in average ticket. Also contributing to the increase were incremental revenues from 612 net new Starbucks company-operated stores, or a 4% increase, over the past 12 months ($268 million) and favorable foreign currency translation ($119 million).
Licensed stores revenue increased $380 million, primarily driven by higher product and equipment sales to and royalty revenues from our licensees.
Other revenues decreased $24 million, primarily due to the transition of certain single-serve product activities to Nestlé. This was partially offset by higher product
sales and royalty revenue in the Global Coffee Alliance and growth in our ready-to-drink business.</t>
        </r>
        <r>
          <rPr>
            <b/>
            <sz val="9"/>
            <color indexed="81"/>
            <rFont val="Tahoma"/>
            <family val="2"/>
          </rPr>
          <t xml:space="preserve">
Source: </t>
        </r>
        <r>
          <rPr>
            <sz val="9"/>
            <color indexed="81"/>
            <rFont val="Tahoma"/>
            <family val="2"/>
          </rPr>
          <t>F3Q2021 10-Q</t>
        </r>
      </text>
    </comment>
    <comment ref="R8" authorId="0" shapeId="0" xr:uid="{5CE4FDFF-0836-4E2B-AF7C-2D8AA0FE8CE7}">
      <text>
        <r>
          <rPr>
            <b/>
            <sz val="9"/>
            <color indexed="81"/>
            <rFont val="Tahoma"/>
            <family val="2"/>
          </rPr>
          <t>Management Guidance:</t>
        </r>
        <r>
          <rPr>
            <sz val="9"/>
            <color indexed="81"/>
            <rFont val="Tahoma"/>
            <family val="2"/>
          </rPr>
          <t xml:space="preserve">  Consolidated revenue of $28.0 billion to $29.0 billion, inclusive of a $500 million impact attributable to the 53rd week
</t>
        </r>
        <r>
          <rPr>
            <b/>
            <sz val="9"/>
            <color indexed="81"/>
            <rFont val="Tahoma"/>
            <family val="2"/>
          </rPr>
          <t xml:space="preserve">Source: </t>
        </r>
        <r>
          <rPr>
            <sz val="9"/>
            <color indexed="81"/>
            <rFont val="Tahoma"/>
            <family val="2"/>
          </rPr>
          <t>F1Q2021 Press Release, January 26, 2021</t>
        </r>
      </text>
    </comment>
    <comment ref="B9" authorId="1" shapeId="0" xr:uid="{4DD90310-88BF-4CF7-922C-FE5BBB3A71B1}">
      <text>
        <r>
          <rPr>
            <sz val="9"/>
            <color indexed="81"/>
            <rFont val="Tahoma"/>
            <family val="2"/>
          </rPr>
          <t>'The caption "Product and distribution costs" replaced "Cost of sales" in financial statements published in periods prior to our third quarter of fiscal 2020. Besides the name change, there were no other changes in the types of costs reported within the
caption." 
Management views as a percentage of total net revenue. Margin % tends to shift with changes in food/beverage mix, cost of coffee, and changes in fx.</t>
        </r>
      </text>
    </comment>
    <comment ref="N9" authorId="0" shapeId="0" xr:uid="{FD9E95BF-B6DE-4039-A1F4-0091DE5B9BF0}">
      <text>
        <r>
          <rPr>
            <b/>
            <sz val="9"/>
            <color indexed="81"/>
            <rFont val="Tahoma"/>
            <family val="2"/>
          </rPr>
          <t xml:space="preserve">----Review of Historic Results-------
MD&amp;A Comment: </t>
        </r>
        <r>
          <rPr>
            <sz val="9"/>
            <color indexed="81"/>
            <rFont val="Tahoma"/>
            <family val="2"/>
          </rPr>
          <t>Product and distribution costs as a percentage of total net revenues decreased 110 basis points for the first quarter of fiscal 2021, primarily due to the transfer of certain single-serve products to Nestlé beginning in the fourth quarter of fiscal 2020 (approximately 90 basis points) and pricing in Americas.</t>
        </r>
        <r>
          <rPr>
            <b/>
            <sz val="9"/>
            <color indexed="81"/>
            <rFont val="Tahoma"/>
            <family val="2"/>
          </rPr>
          <t xml:space="preserve">
Source: </t>
        </r>
        <r>
          <rPr>
            <sz val="9"/>
            <color indexed="81"/>
            <rFont val="Tahoma"/>
            <family val="2"/>
          </rPr>
          <t>F1Q2021 10-Q</t>
        </r>
      </text>
    </comment>
    <comment ref="P9" authorId="0" shapeId="0" xr:uid="{AB99DEB7-E9C8-4606-9AB7-0AD19AEA6332}">
      <text>
        <r>
          <rPr>
            <b/>
            <sz val="9"/>
            <color indexed="81"/>
            <rFont val="Tahoma"/>
            <family val="2"/>
          </rPr>
          <t xml:space="preserve">-----------Review of Historic Results--------
MD&amp;A Comment: </t>
        </r>
        <r>
          <rPr>
            <sz val="9"/>
            <color indexed="81"/>
            <rFont val="Tahoma"/>
            <family val="2"/>
          </rPr>
          <t>Product and distribution costs as a percentage of total net revenues decreased 570 basis points for the third quarter of fiscal 2021, primarily due to sales leverage driven by lapping the severe impact of the COVID-19 pandemic in the prior year and pricing in the Americas.</t>
        </r>
        <r>
          <rPr>
            <b/>
            <sz val="9"/>
            <color indexed="81"/>
            <rFont val="Tahoma"/>
            <family val="2"/>
          </rPr>
          <t xml:space="preserve">
Source: </t>
        </r>
        <r>
          <rPr>
            <sz val="9"/>
            <color indexed="81"/>
            <rFont val="Tahoma"/>
            <family val="2"/>
          </rPr>
          <t>F3Q2021 10-Q</t>
        </r>
      </text>
    </comment>
    <comment ref="N10" authorId="0" shapeId="0" xr:uid="{9791231D-845A-449D-8BE8-93E54C344658}">
      <text>
        <r>
          <rPr>
            <b/>
            <sz val="9"/>
            <color indexed="81"/>
            <rFont val="Tahoma"/>
            <family val="2"/>
          </rPr>
          <t>-----------Review of Historic Results------------
MD&amp;A Comment:</t>
        </r>
        <r>
          <rPr>
            <sz val="9"/>
            <color indexed="81"/>
            <rFont val="Tahoma"/>
            <family val="2"/>
          </rPr>
          <t xml:space="preserve"> Store operating expenses as a percentage of total net revenues increased 270 basis points for the first quarter of fiscal 2021. Store operating expenses as a percentage of company-operated store revenues increased 130 basis points, primarily due to sales deleverage attributable to COVID-19 impacts, as well as catastrophe pay programs for retail partners, net of benefits provided by temporary subsidies from the U.S. and certain foreign governments (approximately 50 basis points), and growth in wages and benefits (approximately 180 basis points). These were partially offset by labor efficiencies (approximately 250 basis points).</t>
        </r>
        <r>
          <rPr>
            <b/>
            <sz val="9"/>
            <color indexed="81"/>
            <rFont val="Tahoma"/>
            <family val="2"/>
          </rPr>
          <t xml:space="preserve">
Source: </t>
        </r>
        <r>
          <rPr>
            <sz val="9"/>
            <color indexed="81"/>
            <rFont val="Tahoma"/>
            <family val="2"/>
          </rPr>
          <t>F1Q2021 10-Q</t>
        </r>
      </text>
    </comment>
    <comment ref="P10" authorId="0" shapeId="0" xr:uid="{9C244ACF-BB1B-4BAF-BFC6-0D5355F220F2}">
      <text>
        <r>
          <rPr>
            <b/>
            <sz val="9"/>
            <color indexed="81"/>
            <rFont val="Tahoma"/>
            <family val="2"/>
          </rPr>
          <t>-----------Review of Historic Results--------
MD&amp;A Comment:</t>
        </r>
        <r>
          <rPr>
            <sz val="9"/>
            <color indexed="81"/>
            <rFont val="Tahoma"/>
            <family val="2"/>
          </rPr>
          <t xml:space="preserve"> Store operating expenses as a percentage of total net revenues decreased 2,050 basis points for the third quarter of fiscal 2021. Store operating expenses as a percentage of company-operated store revenues decreased 2,710 basis points, primarily due to sales leverage from business recovery and lapping higher COVID 19 related costs in the prior year, mainly catastrophe and service pay for store partners, net of temporary subsidies from the U.S. and certain foreign governments (approximately 840 basis points). These increases were partially offset by additional investments in retail store partners wages and benefits (approximately 100 basis points).</t>
        </r>
        <r>
          <rPr>
            <b/>
            <sz val="9"/>
            <color indexed="81"/>
            <rFont val="Tahoma"/>
            <family val="2"/>
          </rPr>
          <t xml:space="preserve">
Source:</t>
        </r>
        <r>
          <rPr>
            <sz val="9"/>
            <color indexed="81"/>
            <rFont val="Tahoma"/>
            <family val="2"/>
          </rPr>
          <t xml:space="preserve"> F3Q2021 10-Q</t>
        </r>
      </text>
    </comment>
    <comment ref="N11" authorId="0" shapeId="0" xr:uid="{5C883CCE-6819-4DFB-8DFE-2675FBFC4DE8}">
      <text>
        <r>
          <rPr>
            <b/>
            <sz val="9"/>
            <color indexed="81"/>
            <rFont val="Tahoma"/>
            <family val="2"/>
          </rPr>
          <t xml:space="preserve">----Review of Historic Results-----
MD&amp;A Comment: </t>
        </r>
        <r>
          <rPr>
            <sz val="9"/>
            <color indexed="81"/>
            <rFont val="Tahoma"/>
            <family val="2"/>
          </rPr>
          <t>Other operating expenses decreased $10 million for the first quarter of fiscal 2021, primarily due to lapping prior year incremental costs to develop and grow the Global Coffee Alliance.</t>
        </r>
        <r>
          <rPr>
            <b/>
            <sz val="9"/>
            <color indexed="81"/>
            <rFont val="Tahoma"/>
            <family val="2"/>
          </rPr>
          <t xml:space="preserve">
Source: </t>
        </r>
        <r>
          <rPr>
            <sz val="9"/>
            <color indexed="81"/>
            <rFont val="Tahoma"/>
            <family val="2"/>
          </rPr>
          <t>F1Q2021 10-Q</t>
        </r>
      </text>
    </comment>
    <comment ref="P11" authorId="0" shapeId="0" xr:uid="{EBC2D1C8-EB76-4A09-A165-00575EE794BE}">
      <text>
        <r>
          <rPr>
            <b/>
            <sz val="9"/>
            <color indexed="81"/>
            <rFont val="Tahoma"/>
            <family val="2"/>
          </rPr>
          <t xml:space="preserve">-----------Review of Historic Results--------
MD&amp;A Comment: </t>
        </r>
        <r>
          <rPr>
            <sz val="9"/>
            <color indexed="81"/>
            <rFont val="Tahoma"/>
            <family val="2"/>
          </rPr>
          <t>Other operating expenses decreased $62 million for the third quarter of fiscal 2021, primarily due to lower Global Coffee Alliance transaction costs, inclusive of
lapping certain transition items from the prior year and a change in estimate relating to a transaction cost accrual.</t>
        </r>
        <r>
          <rPr>
            <b/>
            <sz val="9"/>
            <color indexed="81"/>
            <rFont val="Tahoma"/>
            <family val="2"/>
          </rPr>
          <t xml:space="preserve">
Source: </t>
        </r>
        <r>
          <rPr>
            <sz val="9"/>
            <color indexed="81"/>
            <rFont val="Tahoma"/>
            <family val="2"/>
          </rPr>
          <t>F3Q2021 10-Q</t>
        </r>
      </text>
    </comment>
    <comment ref="N12" authorId="0" shapeId="0" xr:uid="{7959FD05-22DC-4B26-9949-9D693F49A31F}">
      <text>
        <r>
          <rPr>
            <b/>
            <sz val="9"/>
            <color indexed="81"/>
            <rFont val="Tahoma"/>
            <family val="2"/>
          </rPr>
          <t xml:space="preserve">------Review of Historic Results---
MD&amp;A Comment: </t>
        </r>
        <r>
          <rPr>
            <sz val="9"/>
            <color indexed="81"/>
            <rFont val="Tahoma"/>
            <family val="2"/>
          </rPr>
          <t>Depreciation and amortization expenses as a percentage of total net revenues increased 50 basis points, primarily due to sales eleverage.</t>
        </r>
        <r>
          <rPr>
            <b/>
            <sz val="9"/>
            <color indexed="81"/>
            <rFont val="Tahoma"/>
            <family val="2"/>
          </rPr>
          <t xml:space="preserve">
Source: </t>
        </r>
        <r>
          <rPr>
            <sz val="9"/>
            <color indexed="81"/>
            <rFont val="Tahoma"/>
            <family val="2"/>
          </rPr>
          <t>F1Q2021 10-Q</t>
        </r>
      </text>
    </comment>
    <comment ref="P12" authorId="0" shapeId="0" xr:uid="{18046147-CACD-4B42-B42A-5E4E456F3072}">
      <text>
        <r>
          <rPr>
            <b/>
            <sz val="9"/>
            <color indexed="81"/>
            <rFont val="Tahoma"/>
            <family val="2"/>
          </rPr>
          <t xml:space="preserve">-----------Review of Historic Results--------
MD&amp;A Comment: </t>
        </r>
        <r>
          <rPr>
            <sz val="9"/>
            <color indexed="81"/>
            <rFont val="Tahoma"/>
            <family val="2"/>
          </rPr>
          <t>Depreciation and amortization expenses as a percentage of total net revenues decreased 390 basis points, primarily due to sales leverage.</t>
        </r>
        <r>
          <rPr>
            <b/>
            <sz val="9"/>
            <color indexed="81"/>
            <rFont val="Tahoma"/>
            <family val="2"/>
          </rPr>
          <t xml:space="preserve">
Source: </t>
        </r>
        <r>
          <rPr>
            <sz val="9"/>
            <color indexed="81"/>
            <rFont val="Tahoma"/>
            <family val="2"/>
          </rPr>
          <t>F3Q2021 10-Q</t>
        </r>
      </text>
    </comment>
    <comment ref="N13" authorId="0" shapeId="0" xr:uid="{2D466054-3497-4B9F-A654-7C408E9390A6}">
      <text>
        <r>
          <rPr>
            <b/>
            <sz val="9"/>
            <color indexed="81"/>
            <rFont val="Tahoma"/>
            <family val="2"/>
          </rPr>
          <t xml:space="preserve">------Review of Historic Results-----
MD&amp;A Comment: </t>
        </r>
        <r>
          <rPr>
            <sz val="9"/>
            <color indexed="81"/>
            <rFont val="Tahoma"/>
            <family val="2"/>
          </rPr>
          <t>General and administrative expenses increased $38 million, primarily due to incremental strategic investments in technology ($28 million) and higher performance-based compensation, recognizing the strength of the company's overall recovery from pandemic-related business impacts ($18 million).</t>
        </r>
        <r>
          <rPr>
            <b/>
            <sz val="9"/>
            <color indexed="81"/>
            <rFont val="Tahoma"/>
            <family val="2"/>
          </rPr>
          <t xml:space="preserve">
Source: </t>
        </r>
        <r>
          <rPr>
            <sz val="9"/>
            <color indexed="81"/>
            <rFont val="Tahoma"/>
            <family val="2"/>
          </rPr>
          <t>F1Q2021 10-Q</t>
        </r>
      </text>
    </comment>
    <comment ref="P13" authorId="0" shapeId="0" xr:uid="{425CBD2F-7389-4EB1-9067-BF5E17987AF5}">
      <text>
        <r>
          <rPr>
            <b/>
            <sz val="9"/>
            <color indexed="81"/>
            <rFont val="Tahoma"/>
            <family val="2"/>
          </rPr>
          <t xml:space="preserve">-----------Review of Historic Results--------
MD&amp;A Comment: </t>
        </r>
        <r>
          <rPr>
            <sz val="9"/>
            <color indexed="81"/>
            <rFont val="Tahoma"/>
            <family val="2"/>
          </rPr>
          <t>General and administrative expenses increased $95 million, primarily due to higher performance-based compensation recognizing the better than expected business
recovery ($64 million) and incremental strategic investments in technology ($21 million).</t>
        </r>
        <r>
          <rPr>
            <b/>
            <sz val="9"/>
            <color indexed="81"/>
            <rFont val="Tahoma"/>
            <family val="2"/>
          </rPr>
          <t xml:space="preserve">
Source: </t>
        </r>
        <r>
          <rPr>
            <sz val="9"/>
            <color indexed="81"/>
            <rFont val="Tahoma"/>
            <family val="2"/>
          </rPr>
          <t>F3Q2021 10-Q</t>
        </r>
      </text>
    </comment>
    <comment ref="L14" authorId="2" shapeId="0" xr:uid="{6238CEC7-BEF8-4673-9056-CB25FDE62DAB}">
      <text>
        <r>
          <rPr>
            <b/>
            <sz val="9"/>
            <color indexed="81"/>
            <rFont val="Tahoma"/>
            <family val="2"/>
          </rPr>
          <t xml:space="preserve">Note (updated on 7/14): </t>
        </r>
        <r>
          <rPr>
            <sz val="9"/>
            <color indexed="81"/>
            <rFont val="Tahoma"/>
            <family val="2"/>
          </rPr>
          <t xml:space="preserve">Since management guided restructing costs to $0.11 per share (approximately $129M) we can change our opex allocation to meet this guidance [Increase allocation in cell L74 by 1.86% of the total opex allocation, and subtract 1.86% from Store operating expense]. </t>
        </r>
        <r>
          <rPr>
            <sz val="9"/>
            <color indexed="81"/>
            <rFont val="Tahoma"/>
            <family val="2"/>
          </rPr>
          <t xml:space="preserve">
</t>
        </r>
      </text>
    </comment>
    <comment ref="N14" authorId="0" shapeId="0" xr:uid="{3C474D17-A5C2-4808-87EF-7885E0783CF1}">
      <text>
        <r>
          <rPr>
            <b/>
            <sz val="9"/>
            <color indexed="81"/>
            <rFont val="Tahoma"/>
            <family val="2"/>
          </rPr>
          <t xml:space="preserve">--Review of Historic Results-----------
MD&amp;A Comment: </t>
        </r>
        <r>
          <rPr>
            <sz val="9"/>
            <color indexed="81"/>
            <rFont val="Tahoma"/>
            <family val="2"/>
          </rPr>
          <t>Restructuring and impairment expenses increased $66 million, primarily due to higher asset impairment related to store portfolio optimization ($42 million) and accelerated amortization of right-of-use lease assets associated with the closure of certain company-operated stores ($26 million).</t>
        </r>
        <r>
          <rPr>
            <b/>
            <sz val="9"/>
            <color indexed="81"/>
            <rFont val="Tahoma"/>
            <family val="2"/>
          </rPr>
          <t xml:space="preserve">
Source: </t>
        </r>
        <r>
          <rPr>
            <sz val="9"/>
            <color indexed="81"/>
            <rFont val="Tahoma"/>
            <family val="2"/>
          </rPr>
          <t>F1Q2021 10-Q</t>
        </r>
      </text>
    </comment>
    <comment ref="P14" authorId="0" shapeId="0" xr:uid="{D7336DF9-F522-4546-B771-FBE7AD16F236}">
      <text>
        <r>
          <rPr>
            <b/>
            <sz val="9"/>
            <color indexed="81"/>
            <rFont val="Tahoma"/>
            <family val="2"/>
          </rPr>
          <t xml:space="preserve">-----------Review of Historic Results--------
MD&amp;A Comment: </t>
        </r>
        <r>
          <rPr>
            <sz val="9"/>
            <color indexed="81"/>
            <rFont val="Tahoma"/>
            <family val="2"/>
          </rPr>
          <t>Restructuring and impairment expenses decreased $58 million, primarily due to lower asset impairment related to store portfolio optimization ($34 million) and
lapping the intangible asset impairment from the prior year ($22 million).</t>
        </r>
        <r>
          <rPr>
            <b/>
            <sz val="9"/>
            <color indexed="81"/>
            <rFont val="Tahoma"/>
            <family val="2"/>
          </rPr>
          <t xml:space="preserve">
Source: </t>
        </r>
        <r>
          <rPr>
            <sz val="9"/>
            <color indexed="81"/>
            <rFont val="Tahoma"/>
            <family val="2"/>
          </rPr>
          <t>F3Q2021 10-Q</t>
        </r>
      </text>
    </comment>
    <comment ref="B16" authorId="1" shapeId="0" xr:uid="{84152034-FA18-4F06-A203-A74731492ECE}">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N16" authorId="0" shapeId="0" xr:uid="{B521454C-8602-4F5A-872C-3C7D5EE45817}">
      <text>
        <r>
          <rPr>
            <b/>
            <sz val="9"/>
            <color indexed="81"/>
            <rFont val="Tahoma"/>
            <family val="2"/>
          </rPr>
          <t xml:space="preserve">-------Review of Historic Results------MD&amp;A Comment: </t>
        </r>
        <r>
          <rPr>
            <sz val="9"/>
            <color indexed="81"/>
            <rFont val="Tahoma"/>
            <family val="2"/>
          </rPr>
          <t>Income from equity investees increased $9 million, primarily due to higher income from our North American Coffee Partnership joint venture, partially offset by temporary store closures and reduced operating hours in our South Korea and India joint ventures.</t>
        </r>
        <r>
          <rPr>
            <b/>
            <sz val="9"/>
            <color indexed="81"/>
            <rFont val="Tahoma"/>
            <family val="2"/>
          </rPr>
          <t xml:space="preserve">
Source: </t>
        </r>
        <r>
          <rPr>
            <sz val="9"/>
            <color indexed="81"/>
            <rFont val="Tahoma"/>
            <family val="2"/>
          </rPr>
          <t>F1Q2021 10-Q</t>
        </r>
      </text>
    </comment>
    <comment ref="P16" authorId="0" shapeId="0" xr:uid="{5208089E-7D93-4545-A81B-9729E91254D9}">
      <text>
        <r>
          <rPr>
            <b/>
            <sz val="9"/>
            <color indexed="81"/>
            <rFont val="Tahoma"/>
            <family val="2"/>
          </rPr>
          <t>-----------Review of Historic Results--------
MD&amp;A Comment:</t>
        </r>
        <r>
          <rPr>
            <sz val="9"/>
            <color indexed="81"/>
            <rFont val="Tahoma"/>
            <family val="2"/>
          </rPr>
          <t xml:space="preserve"> Income from equity investees increased $37 million, primarily due to higher income from our South Korea joint venture attributable to net new store growth and lapping lower royalty income due to the severe impact of the COVID-19 pandemic in the prior year ($18 million). Higher income from our North American Coffee Partnership joint venture also contributed ($13 million).</t>
        </r>
        <r>
          <rPr>
            <b/>
            <sz val="9"/>
            <color indexed="81"/>
            <rFont val="Tahoma"/>
            <family val="2"/>
          </rPr>
          <t xml:space="preserve">
Source: </t>
        </r>
        <r>
          <rPr>
            <sz val="9"/>
            <color indexed="81"/>
            <rFont val="Tahoma"/>
            <family val="2"/>
          </rPr>
          <t>F3Q2021 10-Q</t>
        </r>
      </text>
    </comment>
    <comment ref="P21" authorId="0" shapeId="0" xr:uid="{DDD88715-BBCF-4D4F-AF4B-4878A9FC9C8D}">
      <text>
        <r>
          <rPr>
            <b/>
            <sz val="9"/>
            <color indexed="81"/>
            <rFont val="Tahoma"/>
            <family val="2"/>
          </rPr>
          <t xml:space="preserve">-----------Review of Historic Results--------
MD&amp;A Comment: </t>
        </r>
        <r>
          <rPr>
            <sz val="9"/>
            <color indexed="81"/>
            <rFont val="Tahoma"/>
            <family val="2"/>
          </rPr>
          <t>Interest income and other, net increased $23 million, primarily due to additional gains from certain investments.</t>
        </r>
        <r>
          <rPr>
            <b/>
            <sz val="9"/>
            <color indexed="81"/>
            <rFont val="Tahoma"/>
            <family val="2"/>
          </rPr>
          <t xml:space="preserve">
Source: </t>
        </r>
        <r>
          <rPr>
            <sz val="9"/>
            <color indexed="81"/>
            <rFont val="Tahoma"/>
            <family val="2"/>
          </rPr>
          <t>F3Q2021 10-Q</t>
        </r>
      </text>
    </comment>
    <comment ref="H22" authorId="1" shapeId="0" xr:uid="{3C9A7756-3B4B-4679-A466-9A78FF6CC450}">
      <text>
        <r>
          <rPr>
            <b/>
            <sz val="9"/>
            <color indexed="81"/>
            <rFont val="Tahoma"/>
            <family val="2"/>
          </rPr>
          <t>F3Q2019 Earnings call (7/25/2019) guidance for FY2019:</t>
        </r>
        <r>
          <rPr>
            <sz val="9"/>
            <color indexed="81"/>
            <rFont val="Tahoma"/>
            <family val="2"/>
          </rPr>
          <t xml:space="preserve"> Interest Expense guided to $330M.</t>
        </r>
      </text>
    </comment>
    <comment ref="M22" authorId="1" shapeId="0" xr:uid="{155B7C85-03A1-4BB0-B0C7-B9865A702162}">
      <text>
        <r>
          <rPr>
            <b/>
            <sz val="9"/>
            <color indexed="81"/>
            <rFont val="Tahoma"/>
            <family val="2"/>
          </rPr>
          <t xml:space="preserve">Management Guidance: </t>
        </r>
        <r>
          <rPr>
            <sz val="9"/>
            <color indexed="81"/>
            <rFont val="Tahoma"/>
            <family val="2"/>
          </rPr>
          <t>Interest expense of approximately $435 million to $445 million</t>
        </r>
        <r>
          <rPr>
            <b/>
            <sz val="9"/>
            <color indexed="81"/>
            <rFont val="Tahoma"/>
            <family val="2"/>
          </rPr>
          <t xml:space="preserve">
Source: </t>
        </r>
        <r>
          <rPr>
            <sz val="9"/>
            <color indexed="81"/>
            <rFont val="Tahoma"/>
            <family val="2"/>
          </rPr>
          <t>F3Q2020 Press Release, July 28, 2020</t>
        </r>
      </text>
    </comment>
    <comment ref="N22" authorId="0" shapeId="0" xr:uid="{6DD9557C-53CB-49F6-9B0C-3A4F05ED8FDB}">
      <text>
        <r>
          <rPr>
            <b/>
            <sz val="9"/>
            <color indexed="81"/>
            <rFont val="Tahoma"/>
            <family val="2"/>
          </rPr>
          <t xml:space="preserve">-----------Review of Historic Results------------MD&amp;A Comment: </t>
        </r>
        <r>
          <rPr>
            <sz val="9"/>
            <color indexed="81"/>
            <rFont val="Tahoma"/>
            <family val="2"/>
          </rPr>
          <t>Interest expense increased $29 million, primarily due to additional interest incurred on long-term debt issued in March 2020 and May 2020.</t>
        </r>
        <r>
          <rPr>
            <b/>
            <sz val="9"/>
            <color indexed="81"/>
            <rFont val="Tahoma"/>
            <family val="2"/>
          </rPr>
          <t xml:space="preserve">
Source: </t>
        </r>
        <r>
          <rPr>
            <sz val="9"/>
            <color indexed="81"/>
            <rFont val="Tahoma"/>
            <family val="2"/>
          </rPr>
          <t>F1Q2021 10-Q</t>
        </r>
      </text>
    </comment>
    <comment ref="P22" authorId="0" shapeId="0" xr:uid="{45B28F27-923E-43CE-8BD8-4C992C8D3AFA}">
      <text>
        <r>
          <rPr>
            <b/>
            <sz val="9"/>
            <color indexed="81"/>
            <rFont val="Tahoma"/>
            <family val="2"/>
          </rPr>
          <t xml:space="preserve">-----------Review of Historic Results--------
MD&amp;A Comment: </t>
        </r>
        <r>
          <rPr>
            <sz val="9"/>
            <color indexed="81"/>
            <rFont val="Tahoma"/>
            <family val="2"/>
          </rPr>
          <t>Interest expense decreased $7 million, primarily due to lower debt balances attributed to repayments of short-term and current portion of long-term debt balances.</t>
        </r>
        <r>
          <rPr>
            <b/>
            <sz val="9"/>
            <color indexed="81"/>
            <rFont val="Tahoma"/>
            <family val="2"/>
          </rPr>
          <t xml:space="preserve">
Source: </t>
        </r>
        <r>
          <rPr>
            <sz val="9"/>
            <color indexed="81"/>
            <rFont val="Tahoma"/>
            <family val="2"/>
          </rPr>
          <t>F3Q2021 10-Q</t>
        </r>
      </text>
    </comment>
    <comment ref="R22" authorId="0" shapeId="0" xr:uid="{57CB2C40-033B-4B95-BB90-AC1EE291FE7F}">
      <text>
        <r>
          <rPr>
            <b/>
            <sz val="9"/>
            <color indexed="81"/>
            <rFont val="Tahoma"/>
            <family val="2"/>
          </rPr>
          <t xml:space="preserve">Management Guidance: </t>
        </r>
        <r>
          <rPr>
            <sz val="9"/>
            <color indexed="81"/>
            <rFont val="Tahoma"/>
            <family val="2"/>
          </rPr>
          <t xml:space="preserve">  Interest expense of approximately $470 million to $480 million.
</t>
        </r>
        <r>
          <rPr>
            <b/>
            <sz val="9"/>
            <color indexed="81"/>
            <rFont val="Tahoma"/>
            <family val="2"/>
          </rPr>
          <t>Source:</t>
        </r>
        <r>
          <rPr>
            <sz val="9"/>
            <color indexed="81"/>
            <rFont val="Tahoma"/>
            <family val="2"/>
          </rPr>
          <t xml:space="preserve"> F1Q2021 Press Release, January 26, 2021</t>
        </r>
      </text>
    </comment>
    <comment ref="N24" authorId="0" shapeId="0" xr:uid="{6C94CC9A-FA60-46D4-9AFB-1F0B116D0935}">
      <text>
        <r>
          <rPr>
            <b/>
            <sz val="9"/>
            <color indexed="81"/>
            <rFont val="Tahoma"/>
            <family val="2"/>
          </rPr>
          <t xml:space="preserve">-----------Review of Historic Results---------MD&amp;A Comment: </t>
        </r>
        <r>
          <rPr>
            <sz val="9"/>
            <color indexed="81"/>
            <rFont val="Tahoma"/>
            <family val="2"/>
          </rPr>
          <t>The effective tax rate for the quarter ended December 27, 2020 was 23.0% compared to 22.6% for the same quarter in fiscal 2020. The increase was primarily due to the effect of lower pre-tax earnings and the proportionate impacts from certain permanent differences and discrete items, as well as the foreign rate differential on our jurisdictional mix of earnings. This was partially offset by an increase in stock-based compensation excess tax benefits (approximately 190 basis points).</t>
        </r>
        <r>
          <rPr>
            <b/>
            <sz val="9"/>
            <color indexed="81"/>
            <rFont val="Tahoma"/>
            <family val="2"/>
          </rPr>
          <t xml:space="preserve">
Source:</t>
        </r>
        <r>
          <rPr>
            <sz val="9"/>
            <color indexed="81"/>
            <rFont val="Tahoma"/>
            <family val="2"/>
          </rPr>
          <t xml:space="preserve"> F1Q2021 10-Q</t>
        </r>
      </text>
    </comment>
    <comment ref="P24" authorId="0" shapeId="0" xr:uid="{AFF09461-63F4-4A41-95CD-DB8925B1A458}">
      <text>
        <r>
          <rPr>
            <b/>
            <sz val="9"/>
            <color indexed="81"/>
            <rFont val="Tahoma"/>
            <family val="2"/>
          </rPr>
          <t xml:space="preserve">-----------Review of Historic Results--------
MD&amp;A Comment: </t>
        </r>
        <r>
          <rPr>
            <sz val="9"/>
            <color indexed="81"/>
            <rFont val="Tahoma"/>
            <family val="2"/>
          </rPr>
          <t>The effective tax rate for the quarter ended June 27, 2021 was 18.2% compared to 16.5% for the same quarter in fiscal 2020. The increase was primarily due to the foreign rate differential on our mix of earnings by tax jurisdictions, as well as a change in the absolute pre-tax operating results when compared to the same period of the prior year. This was partially offset by lapping valuation allowances recorded against deferred tax assets of certain international jurisdictions in the prior year
(approximately 840 basis points), a current year remeasurement of deferred tax assets due to an enacted corporate rate change (approximately 510 basis points) and lapping the release of income tax reserves related to the expiration of statute of limitations in the prior year (approximately 330 basis points).</t>
        </r>
        <r>
          <rPr>
            <b/>
            <sz val="9"/>
            <color indexed="81"/>
            <rFont val="Tahoma"/>
            <family val="2"/>
          </rPr>
          <t xml:space="preserve">
Source: </t>
        </r>
        <r>
          <rPr>
            <sz val="9"/>
            <color indexed="81"/>
            <rFont val="Tahoma"/>
            <family val="2"/>
          </rPr>
          <t>F3Q2021 10-Q</t>
        </r>
      </text>
    </comment>
    <comment ref="H33" authorId="1" shapeId="0" xr:uid="{C2C387A3-4923-47BC-899D-F580A405E86E}">
      <text>
        <r>
          <rPr>
            <b/>
            <sz val="9"/>
            <color indexed="81"/>
            <rFont val="Tahoma"/>
            <family val="2"/>
          </rPr>
          <t xml:space="preserve">F3Q2019 Earnings call (7/25/2019) guidance for FY2019: </t>
        </r>
        <r>
          <rPr>
            <sz val="9"/>
            <color indexed="81"/>
            <rFont val="Tahoma"/>
            <family val="2"/>
          </rPr>
          <t>GAAP EPS in the range of $2.86 to $2.88</t>
        </r>
        <r>
          <rPr>
            <b/>
            <sz val="9"/>
            <color indexed="81"/>
            <rFont val="Tahoma"/>
            <family val="2"/>
          </rPr>
          <t xml:space="preserve">
Previous Guidance:
F2Q2019 Earnings call guidance for FY2019: </t>
        </r>
        <r>
          <rPr>
            <sz val="9"/>
            <color indexed="81"/>
            <rFont val="Tahoma"/>
            <family val="2"/>
          </rPr>
          <t xml:space="preserve">GAAP EPS in the range of $2.40 to $2.44
</t>
        </r>
        <r>
          <rPr>
            <b/>
            <sz val="9"/>
            <color indexed="81"/>
            <rFont val="Tahoma"/>
            <family val="2"/>
          </rPr>
          <t>F1Q2019 Earnings call guidance for FY2019:</t>
        </r>
        <r>
          <rPr>
            <sz val="9"/>
            <color indexed="81"/>
            <rFont val="Tahoma"/>
            <family val="2"/>
          </rPr>
          <t xml:space="preserve"> GAAP EPS in the range of $2.32 to $2.37
</t>
        </r>
      </text>
    </comment>
    <comment ref="L33" authorId="1" shapeId="0" xr:uid="{6DEEA8A7-C930-4027-8E79-9DC28E7C1B83}">
      <text>
        <r>
          <rPr>
            <b/>
            <sz val="9"/>
            <color indexed="81"/>
            <rFont val="Tahoma"/>
            <family val="2"/>
          </rPr>
          <t xml:space="preserve">Management Guidance: </t>
        </r>
        <r>
          <rPr>
            <sz val="9"/>
            <color indexed="81"/>
            <rFont val="Tahoma"/>
            <family val="2"/>
          </rPr>
          <t xml:space="preserve">GAAP EPS in the range of $0.06 to $0.21 for Q4.
</t>
        </r>
        <r>
          <rPr>
            <b/>
            <sz val="9"/>
            <color indexed="81"/>
            <rFont val="Tahoma"/>
            <family val="2"/>
          </rPr>
          <t>Source:</t>
        </r>
        <r>
          <rPr>
            <sz val="9"/>
            <color indexed="81"/>
            <rFont val="Tahoma"/>
            <family val="2"/>
          </rPr>
          <t xml:space="preserve"> F3Q2020 Press Release, July 28, 2020</t>
        </r>
      </text>
    </comment>
    <comment ref="M33" authorId="1" shapeId="0" xr:uid="{AC427072-5199-4EC0-A9D2-61D9953B8278}">
      <text>
        <r>
          <rPr>
            <b/>
            <sz val="9"/>
            <color indexed="81"/>
            <rFont val="Tahoma"/>
            <family val="2"/>
          </rPr>
          <t>Management Guidance:</t>
        </r>
        <r>
          <rPr>
            <sz val="9"/>
            <color indexed="81"/>
            <rFont val="Tahoma"/>
            <family val="2"/>
          </rPr>
          <t xml:space="preserve"> GAAP EPS in the range of $0.50 to $0.65 for full year.
</t>
        </r>
        <r>
          <rPr>
            <b/>
            <sz val="9"/>
            <color indexed="81"/>
            <rFont val="Tahoma"/>
            <family val="2"/>
          </rPr>
          <t>Source:</t>
        </r>
        <r>
          <rPr>
            <sz val="9"/>
            <color indexed="81"/>
            <rFont val="Tahoma"/>
            <family val="2"/>
          </rPr>
          <t xml:space="preserve"> F3Q2020 Press Release, July 28, 2020</t>
        </r>
      </text>
    </comment>
    <comment ref="O33" authorId="0" shapeId="0" xr:uid="{C6A28E9A-2BF6-4CC7-86FF-A80B318C2152}">
      <text>
        <r>
          <rPr>
            <b/>
            <sz val="9"/>
            <color indexed="81"/>
            <rFont val="Tahoma"/>
            <family val="2"/>
          </rPr>
          <t xml:space="preserve">Management Guidance: </t>
        </r>
        <r>
          <rPr>
            <sz val="9"/>
            <color indexed="81"/>
            <rFont val="Tahoma"/>
            <family val="2"/>
          </rPr>
          <t>GAAP EPS in the range of $0.36 to $0.41.</t>
        </r>
        <r>
          <rPr>
            <b/>
            <sz val="9"/>
            <color indexed="81"/>
            <rFont val="Tahoma"/>
            <family val="2"/>
          </rPr>
          <t xml:space="preserve">
Source: </t>
        </r>
        <r>
          <rPr>
            <sz val="9"/>
            <color indexed="81"/>
            <rFont val="Tahoma"/>
            <family val="2"/>
          </rPr>
          <t>F1Q2021 Press Release, January 26, 2021</t>
        </r>
      </text>
    </comment>
    <comment ref="R33" authorId="0" shapeId="0" xr:uid="{ADF09FB6-08B0-402A-BBDB-236793D54F89}">
      <text>
        <r>
          <rPr>
            <b/>
            <sz val="9"/>
            <color indexed="81"/>
            <rFont val="Tahoma"/>
            <family val="2"/>
          </rPr>
          <t>Management Guidance:</t>
        </r>
        <r>
          <rPr>
            <sz val="9"/>
            <color indexed="81"/>
            <rFont val="Tahoma"/>
            <family val="2"/>
          </rPr>
          <t xml:space="preserve"> GAAP EPS in the range of $2.97 to $3.02, inclusive of a $0.10 impact attributable to the 53rd week
</t>
        </r>
        <r>
          <rPr>
            <b/>
            <sz val="9"/>
            <color indexed="81"/>
            <rFont val="Tahoma"/>
            <family val="2"/>
          </rPr>
          <t>Source:</t>
        </r>
        <r>
          <rPr>
            <sz val="9"/>
            <color indexed="81"/>
            <rFont val="Tahoma"/>
            <family val="2"/>
          </rPr>
          <t xml:space="preserve"> F3Q2021 Press Release
</t>
        </r>
      </text>
    </comment>
    <comment ref="H34" authorId="1" shapeId="0" xr:uid="{154595BD-4431-4AB9-A14D-8C6D49818259}">
      <text>
        <r>
          <rPr>
            <b/>
            <sz val="9"/>
            <color indexed="81"/>
            <rFont val="Tahoma"/>
            <family val="2"/>
          </rPr>
          <t xml:space="preserve">F3Q2019 Earnings call (7/25/2019) guidance for FY2019: </t>
        </r>
        <r>
          <rPr>
            <sz val="9"/>
            <color indexed="81"/>
            <rFont val="Tahoma"/>
            <family val="2"/>
          </rPr>
          <t xml:space="preserve">Non-GAAP EPS in the range of $2.80 to $2.82 </t>
        </r>
        <r>
          <rPr>
            <b/>
            <sz val="9"/>
            <color indexed="81"/>
            <rFont val="Tahoma"/>
            <family val="2"/>
          </rPr>
          <t xml:space="preserve">
Previous Guidance:
F2Q2019 Earnings call guidance for FY2019:</t>
        </r>
        <r>
          <rPr>
            <sz val="9"/>
            <color indexed="81"/>
            <rFont val="Tahoma"/>
            <family val="2"/>
          </rPr>
          <t xml:space="preserve"> Non-GAAP EPS in the range of $2.75 to $2.79 
</t>
        </r>
        <r>
          <rPr>
            <b/>
            <sz val="9"/>
            <color indexed="81"/>
            <rFont val="Tahoma"/>
            <family val="2"/>
          </rPr>
          <t>F1Q2019 Earnings call guidance for FY2019:</t>
        </r>
        <r>
          <rPr>
            <sz val="9"/>
            <color indexed="81"/>
            <rFont val="Tahoma"/>
            <family val="2"/>
          </rPr>
          <t xml:space="preserve"> Non-GAAP EPS in the range of $2.68 to $2.73 </t>
        </r>
      </text>
    </comment>
    <comment ref="L34" authorId="1" shapeId="0" xr:uid="{A566C189-957D-4C02-9263-C339BF84988E}">
      <text>
        <r>
          <rPr>
            <b/>
            <sz val="9"/>
            <color indexed="81"/>
            <rFont val="Tahoma"/>
            <family val="2"/>
          </rPr>
          <t>Management Guidance:</t>
        </r>
        <r>
          <rPr>
            <sz val="9"/>
            <color indexed="81"/>
            <rFont val="Tahoma"/>
            <family val="2"/>
          </rPr>
          <t xml:space="preserve"> Non-GAAP EPS in the range of $0.18 to $0.33 for Q4.
</t>
        </r>
        <r>
          <rPr>
            <b/>
            <sz val="9"/>
            <color indexed="81"/>
            <rFont val="Tahoma"/>
            <family val="2"/>
          </rPr>
          <t>Source:</t>
        </r>
        <r>
          <rPr>
            <sz val="9"/>
            <color indexed="81"/>
            <rFont val="Tahoma"/>
            <family val="2"/>
          </rPr>
          <t xml:space="preserve"> F3Q2020 Press Release, July 28, 2020</t>
        </r>
      </text>
    </comment>
    <comment ref="M34" authorId="1" shapeId="0" xr:uid="{D42E38DE-FBCA-4959-977A-C9F9B71A8973}">
      <text>
        <r>
          <rPr>
            <b/>
            <sz val="9"/>
            <color indexed="81"/>
            <rFont val="Tahoma"/>
            <family val="2"/>
          </rPr>
          <t xml:space="preserve">Management Guidance: </t>
        </r>
        <r>
          <rPr>
            <sz val="9"/>
            <color indexed="81"/>
            <rFont val="Tahoma"/>
            <family val="2"/>
          </rPr>
          <t xml:space="preserve">Non-GAAP EPS in the range of $0.83 to $0.93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Primary Output:</t>
        </r>
        <r>
          <rPr>
            <sz val="9"/>
            <color indexed="81"/>
            <rFont val="Tahoma"/>
            <family val="2"/>
          </rPr>
          <t xml:space="preserve"> After you adjust the Primary Inputs in the model below, your new earnings forecast will recalculate based on the new assumptions resulting in a new EPS estimate, and theoretical target share price band.</t>
        </r>
      </text>
    </comment>
    <comment ref="O34" authorId="0" shapeId="0" xr:uid="{4E840D5A-09F0-46EF-807F-8C571E18F7D3}">
      <text>
        <r>
          <rPr>
            <b/>
            <sz val="9"/>
            <color indexed="81"/>
            <rFont val="Tahoma"/>
            <family val="2"/>
          </rPr>
          <t xml:space="preserve">Management Guidance: </t>
        </r>
        <r>
          <rPr>
            <sz val="9"/>
            <color indexed="81"/>
            <rFont val="Tahoma"/>
            <family val="2"/>
          </rPr>
          <t xml:space="preserve">GAAP EPS in the range of $0.45 to $0.50.
</t>
        </r>
        <r>
          <rPr>
            <b/>
            <sz val="9"/>
            <color indexed="81"/>
            <rFont val="Tahoma"/>
            <family val="2"/>
          </rPr>
          <t xml:space="preserve">Source: </t>
        </r>
        <r>
          <rPr>
            <sz val="9"/>
            <color indexed="81"/>
            <rFont val="Tahoma"/>
            <family val="2"/>
          </rPr>
          <t>F1Q2021 Press Release, January 26, 2021</t>
        </r>
      </text>
    </comment>
    <comment ref="R34" authorId="0" shapeId="0" xr:uid="{45EFC18F-0508-423F-BE1F-4E8F984485EB}">
      <text>
        <r>
          <rPr>
            <b/>
            <sz val="9"/>
            <color indexed="81"/>
            <rFont val="Tahoma"/>
            <family val="2"/>
          </rPr>
          <t xml:space="preserve">Management Guidance: </t>
        </r>
        <r>
          <rPr>
            <sz val="9"/>
            <color indexed="81"/>
            <rFont val="Tahoma"/>
            <family val="2"/>
          </rPr>
          <t>Non-GAAP EPS in the range of $3.20 to $3.25, inclusive of a $0.10 impact attributable to the 53rd week.</t>
        </r>
        <r>
          <rPr>
            <b/>
            <sz val="9"/>
            <color indexed="81"/>
            <rFont val="Tahoma"/>
            <family val="2"/>
          </rPr>
          <t xml:space="preserve">
Source: </t>
        </r>
        <r>
          <rPr>
            <sz val="9"/>
            <color indexed="81"/>
            <rFont val="Tahoma"/>
            <family val="2"/>
          </rPr>
          <t>F3Q2021 Press Release</t>
        </r>
      </text>
    </comment>
    <comment ref="L35" authorId="1" shapeId="0" xr:uid="{BF7BC5B1-9019-4DAC-827A-892DE5EDCF6A}">
      <text>
        <r>
          <rPr>
            <b/>
            <sz val="9"/>
            <color indexed="81"/>
            <rFont val="Tahoma"/>
            <family val="2"/>
          </rPr>
          <t>Note:</t>
        </r>
        <r>
          <rPr>
            <sz val="9"/>
            <color indexed="81"/>
            <rFont val="Tahoma"/>
            <family val="2"/>
          </rPr>
          <t xml:space="preserve"> Management increased the dividend by 14% last year. This year I have entered a 7% increase (half of 14%). If you believe the dividend growth rate will be lower or higher, enter your assumption here.
</t>
        </r>
      </text>
    </comment>
    <comment ref="B40" authorId="0" shapeId="0" xr:uid="{5BE65310-F8BE-4C56-87AB-4E863B6DAE26}">
      <text>
        <r>
          <rPr>
            <sz val="9"/>
            <color indexed="81"/>
            <rFont val="Tahoma"/>
            <family val="2"/>
          </rPr>
          <t xml:space="preserve">In F4Q2021 management re-segmented the Latin America stores to the International Segment, and renamed the Americas Segment "Nor America". F4Q2020 and F4Q2021 have been adjusted to reflect the change. 
</t>
        </r>
      </text>
    </comment>
    <comment ref="Q42" authorId="0" shapeId="0" xr:uid="{0E2733A7-7C6D-4455-B03F-28D4D900AC98}">
      <text>
        <r>
          <rPr>
            <b/>
            <sz val="9"/>
            <color indexed="81"/>
            <rFont val="Tahoma"/>
            <family val="2"/>
          </rPr>
          <t>Primary Input:</t>
        </r>
        <r>
          <rPr>
            <sz val="9"/>
            <color indexed="81"/>
            <rFont val="Tahoma"/>
            <family val="2"/>
          </rPr>
          <t xml:space="preserve"> If you believe the macroeconomic and competitive landscape  will result in a favorable conditions for the company, consider increaseing the number of new stores over time, for each region. If not decrease the store count. </t>
        </r>
      </text>
    </comment>
    <comment ref="N45" authorId="0" shapeId="0" xr:uid="{D231A052-7CF8-4DE9-86A4-FCBD44C82C4C}">
      <text>
        <r>
          <rPr>
            <b/>
            <sz val="9"/>
            <color indexed="81"/>
            <rFont val="Tahoma"/>
            <family val="2"/>
          </rPr>
          <t>-----------Review of Historic Results------------MD&amp;A Comment:</t>
        </r>
        <r>
          <rPr>
            <sz val="9"/>
            <color indexed="81"/>
            <rFont val="Tahoma"/>
            <family val="2"/>
          </rPr>
          <t xml:space="preserve"> Americas total net revenues for the first quarter of fiscal 2021 decreased $308 million, or 6%, primarily due to a 6% decrease in comparable store sales ($242 million) driven by a 21% decrease in transactions, partially offset by a 20% increase in average ticket. These declines were slightly offset by the opening of new company-operated stores ($62 million).
</t>
        </r>
        <r>
          <rPr>
            <b/>
            <sz val="9"/>
            <color indexed="81"/>
            <rFont val="Tahoma"/>
            <family val="2"/>
          </rPr>
          <t>Source:</t>
        </r>
        <r>
          <rPr>
            <sz val="9"/>
            <color indexed="81"/>
            <rFont val="Tahoma"/>
            <family val="2"/>
          </rPr>
          <t xml:space="preserve"> F1Q2021 10-Q
</t>
        </r>
      </text>
    </comment>
    <comment ref="P45" authorId="0" shapeId="0" xr:uid="{BED616A1-E448-4D42-9B2A-7AE9504C6031}">
      <text>
        <r>
          <rPr>
            <b/>
            <sz val="9"/>
            <color indexed="81"/>
            <rFont val="Tahoma"/>
            <family val="2"/>
          </rPr>
          <t xml:space="preserve">-----------Review of Historic Results--------
MD&amp;A Comment: </t>
        </r>
        <r>
          <rPr>
            <sz val="9"/>
            <color indexed="81"/>
            <rFont val="Tahoma"/>
            <family val="2"/>
          </rPr>
          <t>Americas total net revenues for the third quarter of fiscal 2021 increased $2.6 billion, or 92%, primarily due to an 84% increase in comparable store sales ($2.1 billion) driven by an 82% increase in transactions and a 1% increase in average ticket, and the opening of new company-operated stores ($172 million). Also contributing to these increases were higher product and equipment sales to and royalty revenues from our licensees ($231 million), primarily due to lapping the severe impact of the COVID-19 pandemic in the prior year, and favorable foreign currency translation ($39 million).</t>
        </r>
        <r>
          <rPr>
            <b/>
            <sz val="9"/>
            <color indexed="81"/>
            <rFont val="Tahoma"/>
            <family val="2"/>
          </rPr>
          <t xml:space="preserve">
Source: </t>
        </r>
        <r>
          <rPr>
            <sz val="9"/>
            <color indexed="81"/>
            <rFont val="Tahoma"/>
            <family val="2"/>
          </rPr>
          <t>F3Q2021 10-Q</t>
        </r>
      </text>
    </comment>
    <comment ref="L49" authorId="1" shapeId="0" xr:uid="{BA14AE02-3979-4508-9925-DCAA5ADA4390}">
      <text>
        <r>
          <rPr>
            <b/>
            <sz val="9"/>
            <color indexed="81"/>
            <rFont val="Tahoma"/>
            <family val="2"/>
          </rPr>
          <t xml:space="preserve">Primary Input: </t>
        </r>
        <r>
          <rPr>
            <sz val="9"/>
            <color indexed="81"/>
            <rFont val="Tahoma"/>
            <family val="2"/>
          </rPr>
          <t xml:space="preserve">If you believe the SBUX product offerings, macroeconomic and competitive conditions  will benefit the company, increase the Comp Store Sales rate. If not, decrease the rate.
</t>
        </r>
        <r>
          <rPr>
            <b/>
            <sz val="9"/>
            <color indexed="81"/>
            <rFont val="Tahoma"/>
            <family val="2"/>
          </rPr>
          <t xml:space="preserve">
Management Guidance:</t>
        </r>
        <r>
          <rPr>
            <sz val="9"/>
            <color indexed="81"/>
            <rFont val="Tahoma"/>
            <family val="2"/>
          </rPr>
          <t xml:space="preserve"> Americas and U.S. comparable store sales declines of 12% to 17% for each of Q4 and full year.  (previously declines of 10% to 20% for each of Q4 and full year).
</t>
        </r>
        <r>
          <rPr>
            <b/>
            <sz val="9"/>
            <color indexed="81"/>
            <rFont val="Tahoma"/>
            <family val="2"/>
          </rPr>
          <t>Source:</t>
        </r>
        <r>
          <rPr>
            <sz val="9"/>
            <color indexed="81"/>
            <rFont val="Tahoma"/>
            <family val="2"/>
          </rPr>
          <t xml:space="preserve"> F3Q2020 Press Release, July 28, 2020</t>
        </r>
      </text>
    </comment>
    <comment ref="Q49" authorId="0" shapeId="0" xr:uid="{511D3A20-BCAD-4D38-BCCB-C4D27247F742}">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Management Guidance:</t>
        </r>
        <r>
          <rPr>
            <sz val="9"/>
            <color indexed="81"/>
            <rFont val="Tahoma"/>
            <family val="2"/>
          </rPr>
          <t xml:space="preserve"> 22% to 25%
</t>
        </r>
        <r>
          <rPr>
            <b/>
            <sz val="9"/>
            <color indexed="81"/>
            <rFont val="Tahoma"/>
            <family val="2"/>
          </rPr>
          <t xml:space="preserve">Source: </t>
        </r>
        <r>
          <rPr>
            <sz val="9"/>
            <color indexed="81"/>
            <rFont val="Tahoma"/>
            <family val="2"/>
          </rPr>
          <t>F3Q2021 Press Release</t>
        </r>
      </text>
    </comment>
    <comment ref="N54" authorId="0" shapeId="0" xr:uid="{04F1E402-EF0E-42C9-B684-EF0289A8FAC3}">
      <text>
        <r>
          <rPr>
            <b/>
            <sz val="9"/>
            <color indexed="81"/>
            <rFont val="Tahoma"/>
            <family val="2"/>
          </rPr>
          <t xml:space="preserve">-----------Review of Historic Results------------MD&amp;A Comment: </t>
        </r>
        <r>
          <rPr>
            <sz val="9"/>
            <color indexed="81"/>
            <rFont val="Tahoma"/>
            <family val="2"/>
          </rPr>
          <t>Licensed stores revenues declined by $121.1 million, primarily due to lower product and equipment sales to and royalty revenues from our licensees.</t>
        </r>
        <r>
          <rPr>
            <b/>
            <sz val="9"/>
            <color indexed="81"/>
            <rFont val="Tahoma"/>
            <family val="2"/>
          </rPr>
          <t xml:space="preserve">
Source: </t>
        </r>
        <r>
          <rPr>
            <sz val="9"/>
            <color indexed="81"/>
            <rFont val="Tahoma"/>
            <family val="2"/>
          </rPr>
          <t>F1Q2021 10-Q</t>
        </r>
      </text>
    </comment>
    <comment ref="H58" authorId="1" shapeId="0" xr:uid="{5CA4B7B0-EB99-4281-B99C-176567519924}">
      <text>
        <r>
          <rPr>
            <b/>
            <sz val="9"/>
            <color indexed="81"/>
            <rFont val="Tahoma"/>
            <family val="2"/>
          </rPr>
          <t>3Q2019 Earnings call (7/25/2019) guidance for FY2019:</t>
        </r>
        <r>
          <rPr>
            <sz val="9"/>
            <color indexed="81"/>
            <rFont val="Tahoma"/>
            <family val="2"/>
          </rPr>
          <t xml:space="preserve"> ~2,000 net new Starbucks stores globally
Americas over 600
CAP ~1,100 (nearly 600 in China)
</t>
        </r>
        <r>
          <rPr>
            <u/>
            <sz val="9"/>
            <color indexed="81"/>
            <rFont val="Tahoma"/>
            <family val="2"/>
          </rPr>
          <t>EMEA ~300</t>
        </r>
        <r>
          <rPr>
            <sz val="9"/>
            <color indexed="81"/>
            <rFont val="Tahoma"/>
            <family val="2"/>
          </rPr>
          <t xml:space="preserve"> (virtually all license)</t>
        </r>
        <r>
          <rPr>
            <b/>
            <sz val="9"/>
            <color indexed="81"/>
            <rFont val="Tahoma"/>
            <family val="2"/>
          </rPr>
          <t xml:space="preserve">
Previous Guidance:
2Q2019 Earnings call guidance for FY2019: </t>
        </r>
        <r>
          <rPr>
            <sz val="9"/>
            <color indexed="81"/>
            <rFont val="Tahoma"/>
            <family val="2"/>
          </rPr>
          <t>~2,100 net new Starbucks stores globally
Americas over 600
CAP ~1,100 (nearly 600 in China)
EMEA ~400 (virtually all license)</t>
        </r>
      </text>
    </comment>
    <comment ref="M58" authorId="1" shapeId="0" xr:uid="{DF28B33A-AD36-422F-ACAF-18B236AEBEDE}">
      <text>
        <r>
          <rPr>
            <sz val="9"/>
            <color indexed="81"/>
            <rFont val="Tahoma"/>
            <family val="2"/>
          </rPr>
          <t>M</t>
        </r>
        <r>
          <rPr>
            <b/>
            <sz val="9"/>
            <color indexed="81"/>
            <rFont val="Tahoma"/>
            <family val="2"/>
          </rPr>
          <t>anagement Gudiance:</t>
        </r>
        <r>
          <rPr>
            <sz val="9"/>
            <color indexed="81"/>
            <rFont val="Tahoma"/>
            <family val="2"/>
          </rPr>
          <t xml:space="preserve"> Americas approximately 300 net new stores
</t>
        </r>
        <r>
          <rPr>
            <b/>
            <sz val="9"/>
            <color indexed="81"/>
            <rFont val="Tahoma"/>
            <family val="2"/>
          </rPr>
          <t xml:space="preserve">Source: </t>
        </r>
        <r>
          <rPr>
            <sz val="9"/>
            <color indexed="81"/>
            <rFont val="Tahoma"/>
            <family val="2"/>
          </rPr>
          <t>F3Q2020 Press Release, July 28, 2020</t>
        </r>
      </text>
    </comment>
    <comment ref="R58" authorId="0" shapeId="0" xr:uid="{F839E160-003B-4D5B-B8E8-89BC34623438}">
      <text>
        <r>
          <rPr>
            <b/>
            <sz val="9"/>
            <color indexed="81"/>
            <rFont val="Tahoma"/>
            <family val="2"/>
          </rPr>
          <t xml:space="preserve">Management Guidance: </t>
        </r>
        <r>
          <rPr>
            <sz val="9"/>
            <color indexed="81"/>
            <rFont val="Tahoma"/>
            <family val="2"/>
          </rPr>
          <t xml:space="preserve">Approximately flat
</t>
        </r>
        <r>
          <rPr>
            <b/>
            <sz val="9"/>
            <color indexed="81"/>
            <rFont val="Tahoma"/>
            <family val="2"/>
          </rPr>
          <t>Source:</t>
        </r>
        <r>
          <rPr>
            <sz val="9"/>
            <color indexed="81"/>
            <rFont val="Tahoma"/>
            <family val="2"/>
          </rPr>
          <t xml:space="preserve"> F3Q2021 Press Release</t>
        </r>
      </text>
    </comment>
    <comment ref="H72" authorId="1" shapeId="0" xr:uid="{73C91A52-9169-44FE-897B-2AEDBCB63342}">
      <text>
        <r>
          <rPr>
            <b/>
            <sz val="9"/>
            <color indexed="81"/>
            <rFont val="Tahoma"/>
            <family val="2"/>
          </rPr>
          <t xml:space="preserve">F3Q2019 Earnings call (7/25/2019) guidance for FY2019:
</t>
        </r>
        <r>
          <rPr>
            <sz val="9"/>
            <color indexed="81"/>
            <rFont val="Tahoma"/>
            <family val="2"/>
          </rPr>
          <t xml:space="preserve">Consolidated operating margin down moderately
&gt;Americas operating margin up slightly
&gt;CAP operating margin roughly flat
&gt;EMEA operating margin improving over the course of 2019
&gt;Channel Development operating margin mid-30% range
</t>
        </r>
        <r>
          <rPr>
            <b/>
            <sz val="9"/>
            <color indexed="81"/>
            <rFont val="Tahoma"/>
            <family val="2"/>
          </rPr>
          <t xml:space="preserve">
Past Guidance:
F2Q2019 Earnings call guidance for FY2019:
</t>
        </r>
        <r>
          <rPr>
            <sz val="9"/>
            <color indexed="81"/>
            <rFont val="Tahoma"/>
            <family val="2"/>
          </rPr>
          <t xml:space="preserve">Consolidated operating margin down moderately
&gt;Americas operating margin </t>
        </r>
        <r>
          <rPr>
            <u/>
            <sz val="9"/>
            <color indexed="81"/>
            <rFont val="Tahoma"/>
            <family val="2"/>
          </rPr>
          <t>up</t>
        </r>
        <r>
          <rPr>
            <sz val="9"/>
            <color indexed="81"/>
            <rFont val="Tahoma"/>
            <family val="2"/>
          </rPr>
          <t xml:space="preserve"> slightly
&gt;CAP operating margin roughly flat
&gt;EMEA operating margin improving over the course of 2019
&gt;Channel Development operating margin </t>
        </r>
        <r>
          <rPr>
            <u/>
            <sz val="9"/>
            <color indexed="81"/>
            <rFont val="Tahoma"/>
            <family val="2"/>
          </rPr>
          <t>mid-30%</t>
        </r>
        <r>
          <rPr>
            <sz val="9"/>
            <color indexed="81"/>
            <rFont val="Tahoma"/>
            <family val="2"/>
          </rPr>
          <t xml:space="preserve">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N72" authorId="0" shapeId="0" xr:uid="{2DE70375-7909-4A0F-8388-F300F05FA5C9}">
      <text>
        <r>
          <rPr>
            <b/>
            <sz val="9"/>
            <color indexed="81"/>
            <rFont val="Tahoma"/>
            <family val="2"/>
          </rPr>
          <t xml:space="preserve">-----------Review of Historic Results------------
MD&amp;A Comment: </t>
        </r>
        <r>
          <rPr>
            <sz val="9"/>
            <color indexed="81"/>
            <rFont val="Tahoma"/>
            <family val="2"/>
          </rPr>
          <t xml:space="preserve">Americas operating income for the first quarter of fiscal 2021 decreased 26% to $814 million, compared to $1.1 billion in the first quarter of fiscal 2020. Operating margin decreased 460 basis points to 17.3%, primarily due to sales deleverage attributed to COVID-19 impacts. In addition, we also incurred additional costs, primarily catastrophe pay programs for retail store partners incurred, net of benefits provided by the CARES Act and CEWS (approximately 40 basis points), and growth in wages and benefits (approximately 200 basis points). Higher restructuring expenses relating to our Americas portfolio optimization (approximately 140 basis points) also contributed to the decrease. Partially offsetting these decreases were improved labor efficiencies (approximately 260 basis points) and pricing (approximately 110 basis points).
</t>
        </r>
        <r>
          <rPr>
            <b/>
            <sz val="9"/>
            <color indexed="81"/>
            <rFont val="Tahoma"/>
            <family val="2"/>
          </rPr>
          <t xml:space="preserve">Source: </t>
        </r>
        <r>
          <rPr>
            <sz val="9"/>
            <color indexed="81"/>
            <rFont val="Tahoma"/>
            <family val="2"/>
          </rPr>
          <t>F1Q2021 10-Q</t>
        </r>
      </text>
    </comment>
    <comment ref="O72" authorId="1" shapeId="0" xr:uid="{D205546F-D29C-465F-A05B-5A174E3E364B}">
      <text>
        <r>
          <rPr>
            <b/>
            <sz val="9"/>
            <color indexed="81"/>
            <rFont val="Tahoma"/>
            <family val="2"/>
          </rPr>
          <t xml:space="preserve">Comment from F3Q2020 Earnings Call: </t>
        </r>
        <r>
          <rPr>
            <sz val="9"/>
            <color indexed="81"/>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72" authorId="0" shapeId="0" xr:uid="{DE3BDDF8-7560-4B19-9994-3E973CC32463}">
      <text>
        <r>
          <rPr>
            <b/>
            <sz val="9"/>
            <color indexed="81"/>
            <rFont val="Tahoma"/>
            <family val="2"/>
          </rPr>
          <t>-----------Review of Historic Results--------
MD&amp;A Comment:</t>
        </r>
        <r>
          <rPr>
            <sz val="9"/>
            <color indexed="81"/>
            <rFont val="Tahoma"/>
            <family val="2"/>
          </rPr>
          <t xml:space="preserve"> Americas operating income for the third quarter of fiscal 2021 was $1.3 billion, compared to a loss of $405 million in the third quarter of fiscal 2020. Operating margin increased 3,880 basis points to 24.4%, primarily due to sales leverage from business recovery and lapping higher COVID-19 related costs in the prior year, mainly catastrophe and service pay for store partners, net of temporary subsidies provided by the CARES Act and CEWS (approximately 930 basis points). Also contributing to the margin improvements were lower restructuring expenses (approximately 160 basis points), pricing (approximately 150 basis points) and benefits from the closure of lower-performing stores (approximately 80 basis points). These increases were partially offset by additional investments in retail store partners wages and benefits (approximately 110 basis points) and increased supply chain costs attributed to inflation (approximately 70 basis points).</t>
        </r>
        <r>
          <rPr>
            <b/>
            <sz val="9"/>
            <color indexed="81"/>
            <rFont val="Tahoma"/>
            <family val="2"/>
          </rPr>
          <t xml:space="preserve">
Source: </t>
        </r>
        <r>
          <rPr>
            <sz val="9"/>
            <color indexed="81"/>
            <rFont val="Tahoma"/>
            <family val="2"/>
          </rPr>
          <t>F3Q2021 10-Q</t>
        </r>
      </text>
    </comment>
    <comment ref="F75" authorId="1" shapeId="0" xr:uid="{BD5DA2D8-5672-4693-B276-0C646153377D}">
      <text>
        <r>
          <rPr>
            <b/>
            <sz val="9"/>
            <color indexed="81"/>
            <rFont val="Tahoma"/>
            <family val="2"/>
          </rPr>
          <t xml:space="preserve">Primary Input: </t>
        </r>
        <r>
          <rPr>
            <sz val="9"/>
            <color indexed="81"/>
            <rFont val="Tahoma"/>
            <family val="2"/>
          </rPr>
          <t>Similar comment as with the Americas Region above.</t>
        </r>
        <r>
          <rPr>
            <b/>
            <sz val="9"/>
            <color indexed="81"/>
            <rFont val="Tahoma"/>
            <family val="2"/>
          </rPr>
          <t xml:space="preserve">
</t>
        </r>
      </text>
    </comment>
    <comment ref="N78" authorId="0" shapeId="0" xr:uid="{2987A97C-7544-45CD-B21C-9BD9FB0F1891}">
      <text>
        <r>
          <rPr>
            <b/>
            <sz val="9"/>
            <color indexed="81"/>
            <rFont val="Tahoma"/>
            <family val="2"/>
          </rPr>
          <t xml:space="preserve">-----------Review of Historic Results------------MD&amp;A Comment: </t>
        </r>
        <r>
          <rPr>
            <sz val="9"/>
            <color indexed="81"/>
            <rFont val="Tahoma"/>
            <family val="2"/>
          </rPr>
          <t>International total net revenues for the first quarter of fiscal 2021 increased $83 million, or 5%. Company-operated store revenues increased $132 million, primarily driven by 658 net new Starbucks company-operated stores, or an 11% increase, over the past 12 months ($108 million) and favorable foreign currency translation ($71 million). These were partially offset by a 3% decline in comparable store sales ($37 million), driven by a 10% decrease in transactions, partially offset by an 8% increase in average ticket.</t>
        </r>
        <r>
          <rPr>
            <b/>
            <sz val="9"/>
            <color indexed="81"/>
            <rFont val="Tahoma"/>
            <family val="2"/>
          </rPr>
          <t xml:space="preserve">
Source: </t>
        </r>
        <r>
          <rPr>
            <sz val="9"/>
            <color indexed="81"/>
            <rFont val="Tahoma"/>
            <family val="2"/>
          </rPr>
          <t>F1Q2021 10-Q</t>
        </r>
      </text>
    </comment>
    <comment ref="P78" authorId="0" shapeId="0" xr:uid="{620781FB-AEC9-4FBD-A68B-8F4D077D028C}">
      <text>
        <r>
          <rPr>
            <b/>
            <sz val="9"/>
            <color indexed="81"/>
            <rFont val="Tahoma"/>
            <family val="2"/>
          </rPr>
          <t xml:space="preserve">-----------Review of Historic Results--------
MD&amp;A Comment: </t>
        </r>
        <r>
          <rPr>
            <sz val="9"/>
            <color indexed="81"/>
            <rFont val="Tahoma"/>
            <family val="2"/>
          </rPr>
          <t>International total net revenues for the third quarter of fiscal 2021 increased $709 million, or 75%. Company-operated store revenues increased $558 million, primarily due to a 41% increase in comparable store sales ($373 million), driven by a 55% increase in transactions, partially offset by a 9% decrease in average ticket. Additionally there were 761 net new stores, a 12% increase, over the past 12 months ($96 million). Also contributing to the increase in net revenues were
higher product and equipment sales to and royalty revenues from our licensees ($135 million) and favorable foreign currency translation ($94 million)</t>
        </r>
        <r>
          <rPr>
            <b/>
            <sz val="9"/>
            <color indexed="81"/>
            <rFont val="Tahoma"/>
            <family val="2"/>
          </rPr>
          <t xml:space="preserve">
Source: </t>
        </r>
        <r>
          <rPr>
            <sz val="9"/>
            <color indexed="81"/>
            <rFont val="Tahoma"/>
            <family val="2"/>
          </rPr>
          <t>F3Q2021 10-Q</t>
        </r>
      </text>
    </comment>
    <comment ref="F82" authorId="1" shapeId="0" xr:uid="{A66FC5B3-09B0-4B24-B46F-795ECF80F7FC}">
      <text>
        <r>
          <rPr>
            <b/>
            <sz val="9"/>
            <color indexed="81"/>
            <rFont val="Tahoma"/>
            <family val="2"/>
          </rPr>
          <t xml:space="preserve">Primary Input: </t>
        </r>
        <r>
          <rPr>
            <sz val="9"/>
            <color indexed="81"/>
            <rFont val="Tahoma"/>
            <family val="2"/>
          </rPr>
          <t>Similar comment as with the Americas Region above (also remember that U.S. Dollar strength is a headwind for SBUX).</t>
        </r>
      </text>
    </comment>
    <comment ref="L82" authorId="1" shapeId="0" xr:uid="{E4DB7D9F-BD95-4ED9-B85B-9FC0C6574E9D}">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International comparable store sales declines of 10% to 15% for Q4 and 20% to 25% for full year inclusive of a benefit from value-added tax exemption of approximately 3% and 1%, respectively  (previously declines of 10% to 20% for Q4 and 20% to 30%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 xml:space="preserve">Comment from F3Q2020 Earnings Call: </t>
        </r>
        <r>
          <rPr>
            <sz val="9"/>
            <color indexed="81"/>
            <rFont val="Tahoma"/>
            <family val="2"/>
          </rPr>
          <t xml:space="preserve">"Moving on to our International segment, with the expectation of COVID-19 impacts continuing to ease in the fourth quarter, particularly in Japan, we now expect International's comparable store sales to decline between 10% and 15% in Q4, including a 3% favorable VAT impact. For China specifically, we expect Q4 comparable store sales to range between flat and minus 5%.
Although this is generally in line with our previous guidance and now reflects both a new tailwind and a new headwind, the new tailwind is the temporary VAT exemption which I mentioned earlier, benefiting China's fourth quarter comp sales growth by about 4 percentage points. The new headwind is a combination of factors. First, COVID-related emergency response measures in Beijing where Starbucks currently has over 360 locations. And second, a prolonged slowdown in international and domestic travel, impacting Starbucks locations at China's airports and tourist venues. We expect the VAT exemption will expire at the end of December"
</t>
        </r>
      </text>
    </comment>
    <comment ref="Q82" authorId="0" shapeId="0" xr:uid="{7BBCDE31-DD94-4426-81DB-EAA997C23525}">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 Mid to high single digits.
</t>
        </r>
        <r>
          <rPr>
            <b/>
            <sz val="9"/>
            <color indexed="81"/>
            <rFont val="Tahoma"/>
            <family val="2"/>
          </rPr>
          <t xml:space="preserve">Source: </t>
        </r>
        <r>
          <rPr>
            <sz val="9"/>
            <color indexed="81"/>
            <rFont val="Tahoma"/>
            <family val="2"/>
          </rPr>
          <t>F3Q2021 Press Release</t>
        </r>
      </text>
    </comment>
    <comment ref="M84" authorId="1" shapeId="0" xr:uid="{01704175-429A-47F5-B9BA-A1C252EFCFFF}">
      <text>
        <r>
          <rPr>
            <b/>
            <sz val="9"/>
            <color indexed="81"/>
            <rFont val="Tahoma"/>
            <family val="2"/>
          </rPr>
          <t xml:space="preserve">Management Gudiance: </t>
        </r>
        <r>
          <rPr>
            <sz val="9"/>
            <color indexed="81"/>
            <rFont val="Tahoma"/>
            <family val="2"/>
          </rPr>
          <t>Management does not provide guidance for the entire International segment, but did guide China to at least 300 net new stores.</t>
        </r>
        <r>
          <rPr>
            <b/>
            <sz val="9"/>
            <color indexed="81"/>
            <rFont val="Tahoma"/>
            <family val="2"/>
          </rPr>
          <t xml:space="preserve">
Source: </t>
        </r>
        <r>
          <rPr>
            <sz val="9"/>
            <color indexed="81"/>
            <rFont val="Tahoma"/>
            <family val="2"/>
          </rPr>
          <t>F3Q2020 Press Release, July 28, 2020</t>
        </r>
      </text>
    </comment>
    <comment ref="K86" authorId="1" shapeId="0" xr:uid="{E8785240-1783-48B0-A92E-E0BF58DA2EFD}">
      <text>
        <r>
          <rPr>
            <b/>
            <sz val="9"/>
            <color indexed="81"/>
            <rFont val="Tahoma"/>
            <family val="2"/>
          </rPr>
          <t>Comment from F3Q2020 Earnings Call:</t>
        </r>
        <r>
          <rPr>
            <sz val="9"/>
            <color indexed="81"/>
            <rFont val="Tahoma"/>
            <family val="2"/>
          </rPr>
          <t xml:space="preserve"> "Also contributing to the decline were lower product sales to our licensees as a result of lost sales related to the COVID-19 outbreak as well as temporary royalty relief that we granted our international licensees. And there was an additional 2% revenue dilutive impact of transitioning our Thailand business to licensed operations last year."</t>
        </r>
      </text>
    </comment>
    <comment ref="N87" authorId="0" shapeId="0" xr:uid="{10804E00-FA9D-47CA-A879-C2CC4F179012}">
      <text>
        <r>
          <rPr>
            <b/>
            <sz val="9"/>
            <color indexed="81"/>
            <rFont val="Tahoma"/>
            <family val="2"/>
          </rPr>
          <t>-----------Review of Historic Results--------MD&amp;A Comment:</t>
        </r>
        <r>
          <rPr>
            <sz val="9"/>
            <color indexed="81"/>
            <rFont val="Tahoma"/>
            <family val="2"/>
          </rPr>
          <t xml:space="preserve"> Licensed stores revenues declined by $57.1 million, primarily due to lower product and equipment sales to and royalty revenues from our licensees.
</t>
        </r>
        <r>
          <rPr>
            <b/>
            <sz val="9"/>
            <color indexed="81"/>
            <rFont val="Tahoma"/>
            <family val="2"/>
          </rPr>
          <t>Source:</t>
        </r>
        <r>
          <rPr>
            <sz val="9"/>
            <color indexed="81"/>
            <rFont val="Tahoma"/>
            <family val="2"/>
          </rPr>
          <t xml:space="preserve"> F1Q2021 10-Q</t>
        </r>
      </text>
    </comment>
    <comment ref="R91" authorId="0" shapeId="0" xr:uid="{3D9B9803-EB71-4401-8DA2-06B1A1A74425}">
      <text>
        <r>
          <rPr>
            <b/>
            <sz val="9"/>
            <color indexed="81"/>
            <rFont val="Tahoma"/>
            <family val="2"/>
          </rPr>
          <t xml:space="preserve">Management Guidance: </t>
        </r>
        <r>
          <rPr>
            <sz val="9"/>
            <color indexed="81"/>
            <rFont val="Tahoma"/>
            <family val="2"/>
          </rPr>
          <t xml:space="preserve">Approximately 1,100 net new stores.
</t>
        </r>
        <r>
          <rPr>
            <b/>
            <sz val="9"/>
            <color indexed="81"/>
            <rFont val="Tahoma"/>
            <family val="2"/>
          </rPr>
          <t>Source:</t>
        </r>
        <r>
          <rPr>
            <sz val="9"/>
            <color indexed="81"/>
            <rFont val="Tahoma"/>
            <family val="2"/>
          </rPr>
          <t xml:space="preserve"> F3Q2021 Press Release</t>
        </r>
      </text>
    </comment>
    <comment ref="N106" authorId="0" shapeId="0" xr:uid="{1AD2A546-8CBF-4261-B339-04437C6B3ADA}">
      <text>
        <r>
          <rPr>
            <b/>
            <sz val="9"/>
            <color indexed="81"/>
            <rFont val="Tahoma"/>
            <family val="2"/>
          </rPr>
          <t>-----------Review of Historic Results------------
MD&amp;A Comment:</t>
        </r>
        <r>
          <rPr>
            <sz val="9"/>
            <color indexed="81"/>
            <rFont val="Tahoma"/>
            <family val="2"/>
          </rPr>
          <t xml:space="preserve"> International operating income for the first quarter of fiscal 2021 was $275 million, compared to $276 million in the first quarter of fiscal 2020. Operating margin decreased 100 basis points to 16.6%, primarily due to sales deleverage attributable to COVID-19, as well as additional costs incurred to invest in partner wages and benefits (approximately 70 basis points). These were partially offset by labor efficiencies (approximately 80 basis points).</t>
        </r>
        <r>
          <rPr>
            <b/>
            <sz val="9"/>
            <color indexed="81"/>
            <rFont val="Tahoma"/>
            <family val="2"/>
          </rPr>
          <t xml:space="preserve">
Source:</t>
        </r>
        <r>
          <rPr>
            <sz val="9"/>
            <color indexed="81"/>
            <rFont val="Tahoma"/>
            <family val="2"/>
          </rPr>
          <t xml:space="preserve"> F1Q2021 10-Q</t>
        </r>
      </text>
    </comment>
    <comment ref="O106" authorId="1" shapeId="0" xr:uid="{75D13763-67BC-405E-88D7-39D104C3D076}">
      <text>
        <r>
          <rPr>
            <b/>
            <sz val="9"/>
            <color indexed="81"/>
            <rFont val="Tahoma"/>
            <family val="2"/>
          </rPr>
          <t>Comment from F3Q2020 Earnings Call:</t>
        </r>
        <r>
          <rPr>
            <sz val="9"/>
            <color indexed="81"/>
            <rFont val="Tahoma"/>
            <family val="2"/>
          </rPr>
          <t xml:space="preserve"> "We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106" authorId="0" shapeId="0" xr:uid="{35EBC08A-45B1-47F1-B1A5-43E8784B65EB}">
      <text>
        <r>
          <rPr>
            <b/>
            <sz val="9"/>
            <color indexed="81"/>
            <rFont val="Tahoma"/>
            <family val="2"/>
          </rPr>
          <t xml:space="preserve">-----------Review of Historic Results--------
MD&amp;A Comment: </t>
        </r>
        <r>
          <rPr>
            <sz val="9"/>
            <color indexed="81"/>
            <rFont val="Tahoma"/>
            <family val="2"/>
          </rPr>
          <t>International operating income for the third quarter of fiscal 2021 was $318 million, compared to a loss of $86 million in the third quarter of fiscal 2020. Operating margin increased 2,830 basis points to 19.2%, primarily due to sales leverage driven by lapping the severe impact of the COVID-19 pandemic in the prior year as well labor efficiencies (approximately 310 basis points). Also contributing to this increase was lower catastrophe pay (approximately 290 basis points), lapping
temporary royalty relief provided to licensees in the prior year (approximately 230 basis points) and higher temporary government subsidies approximately 200 basis points).</t>
        </r>
        <r>
          <rPr>
            <b/>
            <sz val="9"/>
            <color indexed="81"/>
            <rFont val="Tahoma"/>
            <family val="2"/>
          </rPr>
          <t xml:space="preserve">
Source: </t>
        </r>
        <r>
          <rPr>
            <sz val="9"/>
            <color indexed="81"/>
            <rFont val="Tahoma"/>
            <family val="2"/>
          </rPr>
          <t>F3Q2021 10-Q</t>
        </r>
      </text>
    </comment>
    <comment ref="B107" authorId="1" shapeId="0" xr:uid="{68AF3152-DF11-41B8-937F-AE6A09DAE465}">
      <text>
        <r>
          <rPr>
            <b/>
            <sz val="9"/>
            <color indexed="81"/>
            <rFont val="Tahoma"/>
            <family val="2"/>
          </rPr>
          <t xml:space="preserve">Description of Channel Development Segment from 10-K: </t>
        </r>
        <r>
          <rPr>
            <sz val="9"/>
            <color indexed="81"/>
            <rFont val="Tahoma"/>
            <family val="2"/>
          </rPr>
          <t xml:space="preserve">"Our Channel Development segment includes roasted whole bean and ground coffees, Seattle's Best Coffee®, Starbucks- and Teavana-branded single-serve
products, a variety of ready-to-drink beverages, such as Frappuccino®, Starbucks Doubleshot®, Starbucks Refreshers® beverages and TeavanaTM/MC iced tea, and other branded products sold worldwide outside of our company-operated and licensed stores. Historically our consumer packaged goods ("CPG") have been sold directly to grocery, warehouse club and specialty retail stores and through institutional foodservice companies. With the establishment of the Global Coffee Alliance with Nestlé, a large portion of our Channel Development business transitioned to a licensed model in the fourth quarter of fiscal 2018. Our collaborative relationships with PepsiCo, Inc., Anheuser-Busch InBev, Tingyi Holding Corp., Arla Foods and others for our global ready-to-drink beverage businesses in this segment are excluded from the Global Coffee Alliance."
</t>
        </r>
      </text>
    </comment>
    <comment ref="K108" authorId="1" shapeId="0" xr:uid="{4D60D761-7357-41A7-B2A9-236327C20B93}">
      <text>
        <r>
          <rPr>
            <b/>
            <sz val="9"/>
            <color indexed="81"/>
            <rFont val="Tahoma"/>
            <family val="2"/>
          </rPr>
          <t>Comment from F3Q2020 Earnings Call: "</t>
        </r>
        <r>
          <rPr>
            <sz val="9"/>
            <color indexed="81"/>
            <rFont val="Tahoma"/>
            <family val="2"/>
          </rPr>
          <t xml:space="preserve">When normalizing for the 21% unfavorable impact of lapping Global Coffee Alliance transition-related items that benefited the prior year including higher inventory sales as Nestlé prepared to fulfill customer orders"...based on the fact that the high revenue mark in F3Q2019 was due in part to higher inventory sales, the F3Q2021 revenue will probably be somewhat below this level.
</t>
        </r>
      </text>
    </comment>
    <comment ref="N108" authorId="0" shapeId="0" xr:uid="{949A6226-E323-48C3-A679-FF53F688AC93}">
      <text>
        <r>
          <rPr>
            <b/>
            <sz val="9"/>
            <color indexed="81"/>
            <rFont val="Tahoma"/>
            <family val="2"/>
          </rPr>
          <t>-----------Review of Historic Results------------
MD&amp;A Comment:</t>
        </r>
        <r>
          <rPr>
            <sz val="9"/>
            <color indexed="81"/>
            <rFont val="Tahoma"/>
            <family val="2"/>
          </rPr>
          <t xml:space="preserve"> Channel Development total net revenues for the first quarter of fiscal 2021 decreased $123 million, or 25%, primarily due to the transition of certain single-serve product activities to Nestlé ($91 million) and lapping of transition activities related to the Global Coffee Alliance ($21 million). Also contributing were lower Global Coffee Alliance revenues ($18 million), mainly driven by the Foodservice business, which experienced softening due to COVID-19. These were partially offset by growth in at-home coffee and our ready-to-drink business.
</t>
        </r>
        <r>
          <rPr>
            <b/>
            <sz val="9"/>
            <color indexed="81"/>
            <rFont val="Tahoma"/>
            <family val="2"/>
          </rPr>
          <t>Source:</t>
        </r>
        <r>
          <rPr>
            <sz val="9"/>
            <color indexed="81"/>
            <rFont val="Tahoma"/>
            <family val="2"/>
          </rPr>
          <t xml:space="preserve"> F1Q2021 10-Q</t>
        </r>
      </text>
    </comment>
    <comment ref="P108" authorId="0" shapeId="0" xr:uid="{2480D8FB-83DD-4FDE-B322-410E9B404F6C}">
      <text>
        <r>
          <rPr>
            <b/>
            <sz val="9"/>
            <color indexed="81"/>
            <rFont val="Tahoma"/>
            <family val="2"/>
          </rPr>
          <t xml:space="preserve">-----------Review of Historic Results--------
MD&amp;A Comment: </t>
        </r>
        <r>
          <rPr>
            <sz val="9"/>
            <color indexed="81"/>
            <rFont val="Tahoma"/>
            <family val="2"/>
          </rPr>
          <t>Channel Development total net revenues for the third quarter of fiscal 2021 decreased $33 million, or 7%, primarily due to the transition of certain single-serve product activities to Nestlé ($74 million). This was partially offset by higher product sales and royalty revenue in the Global Coffee Alliance ($30 million) and growth in our ready-to-drink business. We expect the impacts from the transition to be substantially completed by the end of fiscal 2021</t>
        </r>
        <r>
          <rPr>
            <b/>
            <sz val="9"/>
            <color indexed="81"/>
            <rFont val="Tahoma"/>
            <family val="2"/>
          </rPr>
          <t xml:space="preserve">
Source: </t>
        </r>
        <r>
          <rPr>
            <sz val="9"/>
            <color indexed="81"/>
            <rFont val="Tahoma"/>
            <family val="2"/>
          </rPr>
          <t>F3Q2021 10-Q</t>
        </r>
      </text>
    </comment>
    <comment ref="R108" authorId="0" shapeId="0" xr:uid="{66B089D0-BE52-4E27-8B26-C38A6003A96D}">
      <text>
        <r>
          <rPr>
            <b/>
            <sz val="9"/>
            <color indexed="81"/>
            <rFont val="Tahoma"/>
            <family val="2"/>
          </rPr>
          <t xml:space="preserve">Management Guidance: </t>
        </r>
        <r>
          <rPr>
            <sz val="9"/>
            <color indexed="81"/>
            <rFont val="Tahoma"/>
            <family val="2"/>
          </rPr>
          <t xml:space="preserve">Channel Development revenue of $1.5 billion to $1.6 billion
</t>
        </r>
        <r>
          <rPr>
            <b/>
            <sz val="9"/>
            <color indexed="81"/>
            <rFont val="Tahoma"/>
            <family val="2"/>
          </rPr>
          <t>Source:</t>
        </r>
        <r>
          <rPr>
            <sz val="9"/>
            <color indexed="81"/>
            <rFont val="Tahoma"/>
            <family val="2"/>
          </rPr>
          <t xml:space="preserve"> F3Q2021 Press Release</t>
        </r>
      </text>
    </comment>
    <comment ref="M109" authorId="1" shapeId="0" xr:uid="{8A6C5BE3-47A2-4474-804D-8CD5CF704B2D}">
      <text>
        <r>
          <rPr>
            <b/>
            <sz val="9"/>
            <color indexed="81"/>
            <rFont val="Tahoma"/>
            <family val="2"/>
          </rPr>
          <t xml:space="preserve">Management Gudiance: </t>
        </r>
        <r>
          <rPr>
            <sz val="9"/>
            <color indexed="81"/>
            <rFont val="Tahoma"/>
            <family val="2"/>
          </rPr>
          <t xml:space="preserve">Channel Development revenue decline of 5% to 6% for full year.
</t>
        </r>
        <r>
          <rPr>
            <b/>
            <sz val="9"/>
            <color indexed="81"/>
            <rFont val="Tahoma"/>
            <family val="2"/>
          </rPr>
          <t>Source:</t>
        </r>
        <r>
          <rPr>
            <sz val="9"/>
            <color indexed="81"/>
            <rFont val="Tahoma"/>
            <family val="2"/>
          </rPr>
          <t xml:space="preserve"> F3Q2020 Press Release, July 28, 2020</t>
        </r>
      </text>
    </comment>
    <comment ref="N120" authorId="0" shapeId="0" xr:uid="{7A205AD4-56A7-40D5-8915-EFC9B4DEF5B0}">
      <text>
        <r>
          <rPr>
            <b/>
            <sz val="9"/>
            <color indexed="81"/>
            <rFont val="Tahoma"/>
            <family val="2"/>
          </rPr>
          <t>-----------Review of Historic Results------------
MD&amp;A Comment:</t>
        </r>
        <r>
          <rPr>
            <sz val="9"/>
            <color indexed="81"/>
            <rFont val="Tahoma"/>
            <family val="2"/>
          </rPr>
          <t xml:space="preserve"> Channel Development operating income for the first quarter of fiscal 2021 increased 3% to $181 million, compared to $176 million in the first quarter of fiscal 2020. Operating margin increased 1,320 basis points to 48.7%, primarily due to the transfer of certain single-serve products to Nestlé as part of the Global Coffee Alliance (approximately 820 basis points). Strong performance from our North American Coffee Partnership joint venture also contributed.
</t>
        </r>
        <r>
          <rPr>
            <b/>
            <sz val="9"/>
            <color indexed="81"/>
            <rFont val="Tahoma"/>
            <family val="2"/>
          </rPr>
          <t>Source:</t>
        </r>
        <r>
          <rPr>
            <sz val="9"/>
            <color indexed="81"/>
            <rFont val="Tahoma"/>
            <family val="2"/>
          </rPr>
          <t xml:space="preserve"> F1Q2021 10-Q</t>
        </r>
      </text>
    </comment>
    <comment ref="P120" authorId="0" shapeId="0" xr:uid="{EDD0E7A8-F13E-4A34-A4FF-73D72D954C92}">
      <text>
        <r>
          <rPr>
            <b/>
            <sz val="9"/>
            <color indexed="81"/>
            <rFont val="Tahoma"/>
            <family val="2"/>
          </rPr>
          <t>-----------Review of Historic Results--------
MD&amp;A Comment:</t>
        </r>
        <r>
          <rPr>
            <sz val="9"/>
            <color indexed="81"/>
            <rFont val="Tahoma"/>
            <family val="2"/>
          </rPr>
          <t xml:space="preserve"> Channel Development operating income for the third quarter of fiscal 2021 increased 74% to $216 million, compared to $124 million in the third quarter of fiscal 2020. Operating margin increased 2,440 basis points to 52.2%, primarily due to lower Global Coffee Alliance transaction costs, inclusive of lapping certain transition items from prior year (approximately 780 basis points) and a change in estimate relating to a transaction cost accrual (approximately 550 basis points), as well as the transfer of certain single-serve products to Nestlé as part of the Global Coffee Alliance (approximately 700 basis points). Strong performance from our
North American Coffee Partnership joint venture also contributed</t>
        </r>
        <r>
          <rPr>
            <b/>
            <sz val="9"/>
            <color indexed="81"/>
            <rFont val="Tahoma"/>
            <family val="2"/>
          </rPr>
          <t xml:space="preserve">
Source: </t>
        </r>
        <r>
          <rPr>
            <sz val="9"/>
            <color indexed="81"/>
            <rFont val="Tahoma"/>
            <family val="2"/>
          </rPr>
          <t>F3Q2021 10-Q</t>
        </r>
      </text>
    </comment>
    <comment ref="H121" authorId="1" shapeId="0" xr:uid="{92D456D5-110A-4474-ABE1-ADC7BD423C71}">
      <text>
        <r>
          <rPr>
            <b/>
            <sz val="9"/>
            <color indexed="81"/>
            <rFont val="Tahoma"/>
            <family val="2"/>
          </rPr>
          <t xml:space="preserve">F3Q2019 Earnings call (7/25/2019)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K121" authorId="1" shapeId="0" xr:uid="{5312E305-9894-4F77-A73B-CA142549DE86}">
      <text>
        <r>
          <rPr>
            <b/>
            <sz val="9"/>
            <color indexed="81"/>
            <rFont val="Tahoma"/>
            <family val="2"/>
          </rPr>
          <t>Comment from F3Q2020 Earnings Call: "</t>
        </r>
        <r>
          <rPr>
            <sz val="9"/>
            <color indexed="81"/>
            <rFont val="Tahoma"/>
            <family val="2"/>
          </rPr>
          <t>Normalizing for the 460 basis point impact of the transition activities I just mentioned, Channel Development's non-GAAP operating margin contracted 340 basis points in Q3. The contraction was due primarily to a business mix shift within Channel Development as well as deleverage on fixed coffee manufacturing costs shared across the company's operating segments driven by lower retail production volumes resulting from COVID-19."</t>
        </r>
      </text>
    </comment>
    <comment ref="N131" authorId="0" shapeId="0" xr:uid="{754A029F-AFF1-43CD-BEEF-9ACC30A9C38A}">
      <text>
        <r>
          <rPr>
            <b/>
            <sz val="9"/>
            <color indexed="81"/>
            <rFont val="Tahoma"/>
            <family val="2"/>
          </rPr>
          <t xml:space="preserve">-----------Review of Historic Results------------
MD&amp;A Comment: </t>
        </r>
        <r>
          <rPr>
            <sz val="9"/>
            <color indexed="81"/>
            <rFont val="Tahoma"/>
            <family val="2"/>
          </rPr>
          <t>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$356 million for the first fiscal quarter of 2021, or 8%, compared to $330 million for the first fiscal quarter of
2020. This increase was primarily driven by incremental strategic investments in technology and higher performance-based compensation recognizing the strength of the company's overall recovery from pandemic-related business impacts.</t>
        </r>
        <r>
          <rPr>
            <b/>
            <sz val="9"/>
            <color indexed="81"/>
            <rFont val="Tahoma"/>
            <family val="2"/>
          </rPr>
          <t xml:space="preserve">
Source: </t>
        </r>
        <r>
          <rPr>
            <sz val="9"/>
            <color indexed="81"/>
            <rFont val="Tahoma"/>
            <family val="2"/>
          </rPr>
          <t>F1Q2021 10-Q</t>
        </r>
      </text>
    </comment>
    <comment ref="P131" authorId="0" shapeId="0" xr:uid="{7EB92423-D38D-4B20-9CB4-DD33C65EDED5}">
      <text>
        <r>
          <rPr>
            <b/>
            <sz val="9"/>
            <color indexed="81"/>
            <rFont val="Tahoma"/>
            <family val="2"/>
          </rPr>
          <t xml:space="preserve">-----------Review of Historic Results--------
MD&amp;A Comment: </t>
        </r>
        <r>
          <rPr>
            <sz val="9"/>
            <color indexed="81"/>
            <rFont val="Tahoma"/>
            <family val="2"/>
          </rPr>
          <t xml:space="preserve">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$361 million for the third quarter of fiscal 2021, or 7%, compared to $337 million for the third quarter of fiscal
2020. This increase was primarily driven by higher performance-based compensation recognizing the better than expected business recovery ($37 million) and incremental strategic investments in technology ($19 million).
</t>
        </r>
        <r>
          <rPr>
            <b/>
            <sz val="9"/>
            <color indexed="81"/>
            <rFont val="Tahoma"/>
            <family val="2"/>
          </rPr>
          <t xml:space="preserve">
Source:</t>
        </r>
        <r>
          <rPr>
            <sz val="9"/>
            <color indexed="81"/>
            <rFont val="Tahoma"/>
            <family val="2"/>
          </rPr>
          <t xml:space="preserve"> F3Q2021 10-Q</t>
        </r>
      </text>
    </comment>
    <comment ref="H140" authorId="1" shapeId="0" xr:uid="{0B8C9A3B-A74E-488F-88B1-B7E6A2C0D3A2}">
      <text>
        <r>
          <rPr>
            <b/>
            <sz val="9"/>
            <color indexed="81"/>
            <rFont val="Tahoma"/>
            <family val="2"/>
          </rPr>
          <t xml:space="preserve">3Q2019 Earnings call (7/25/2019) guidance for FY2019: </t>
        </r>
        <r>
          <rPr>
            <sz val="9"/>
            <color indexed="81"/>
            <rFont val="Tahoma"/>
            <family val="2"/>
          </rPr>
          <t>Revenue growth of 7%.</t>
        </r>
        <r>
          <rPr>
            <b/>
            <sz val="9"/>
            <color indexed="81"/>
            <rFont val="Tahoma"/>
            <family val="2"/>
          </rPr>
          <t xml:space="preserve">
Previous Guidance:
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L140" authorId="1" shapeId="0" xr:uid="{DB6D06B5-14FC-48CA-BC3C-5CDCBBE416DD}">
      <text>
        <r>
          <rPr>
            <b/>
            <sz val="9"/>
            <color indexed="81"/>
            <rFont val="Tahoma"/>
            <family val="2"/>
          </rPr>
          <t>Management Guidance:</t>
        </r>
        <r>
          <rPr>
            <sz val="9"/>
            <color indexed="81"/>
            <rFont val="Tahoma"/>
            <family val="2"/>
          </rPr>
          <t xml:space="preserve"> Consolidated revenue decline of 10% to 15% for Q4.
</t>
        </r>
        <r>
          <rPr>
            <b/>
            <sz val="9"/>
            <color indexed="81"/>
            <rFont val="Tahoma"/>
            <family val="2"/>
          </rPr>
          <t>Source:</t>
        </r>
        <r>
          <rPr>
            <sz val="9"/>
            <color indexed="81"/>
            <rFont val="Tahoma"/>
            <family val="2"/>
          </rPr>
          <t xml:space="preserve"> F3Q2020 Press Release, July 28, 2020</t>
        </r>
      </text>
    </comment>
    <comment ref="R141" authorId="0" shapeId="0" xr:uid="{E5BB554B-B60C-438B-81D3-0D3F27F34080}">
      <text>
        <r>
          <rPr>
            <b/>
            <sz val="9"/>
            <color indexed="81"/>
            <rFont val="Tahoma"/>
            <family val="2"/>
          </rPr>
          <t xml:space="preserve">Management Guidance: </t>
        </r>
        <r>
          <rPr>
            <sz val="9"/>
            <color indexed="81"/>
            <rFont val="Tahoma"/>
            <family val="2"/>
          </rPr>
          <t xml:space="preserve">  Consolidated GAAP operating margin of ~17%.
</t>
        </r>
        <r>
          <rPr>
            <b/>
            <sz val="9"/>
            <color indexed="81"/>
            <rFont val="Tahoma"/>
            <family val="2"/>
          </rPr>
          <t>Source:</t>
        </r>
        <r>
          <rPr>
            <sz val="9"/>
            <color indexed="81"/>
            <rFont val="Tahoma"/>
            <family val="2"/>
          </rPr>
          <t xml:space="preserve"> F3Q2021 Press Release</t>
        </r>
      </text>
    </comment>
    <comment ref="R142" authorId="0" shapeId="0" xr:uid="{FE027E3D-84B0-4F3D-BE91-D8C5EB06162A}">
      <text>
        <r>
          <rPr>
            <b/>
            <sz val="9"/>
            <color indexed="81"/>
            <rFont val="Tahoma"/>
            <family val="2"/>
          </rPr>
          <t>Management Guidance:</t>
        </r>
        <r>
          <rPr>
            <sz val="9"/>
            <color indexed="81"/>
            <rFont val="Tahoma"/>
            <family val="2"/>
          </rPr>
          <t xml:space="preserve">   Consolidated Non-GAAP operating margin of ~18%
</t>
        </r>
        <r>
          <rPr>
            <b/>
            <sz val="9"/>
            <color indexed="81"/>
            <rFont val="Tahoma"/>
            <family val="2"/>
          </rPr>
          <t>Source:</t>
        </r>
        <r>
          <rPr>
            <sz val="9"/>
            <color indexed="81"/>
            <rFont val="Tahoma"/>
            <family val="2"/>
          </rPr>
          <t xml:space="preserve"> F3Q2021 Press Release</t>
        </r>
      </text>
    </comment>
    <comment ref="H143" authorId="1" shapeId="0" xr:uid="{B1087744-88E4-46CF-A5A4-CA94C83BEDF8}">
      <text>
        <r>
          <rPr>
            <b/>
            <sz val="9"/>
            <color indexed="81"/>
            <rFont val="Tahoma"/>
            <family val="2"/>
          </rPr>
          <t xml:space="preserve">F3Q2019 Earnings call (7/25/2019) guidance for FY2019: </t>
        </r>
        <r>
          <rPr>
            <sz val="9"/>
            <color indexed="81"/>
            <rFont val="Tahoma"/>
            <family val="2"/>
          </rPr>
          <t>19% to 20%, Non-GAAP tax rate in the range of 19% to 20%.</t>
        </r>
        <r>
          <rPr>
            <b/>
            <sz val="9"/>
            <color indexed="81"/>
            <rFont val="Tahoma"/>
            <family val="2"/>
          </rPr>
          <t xml:space="preserve">
Previous Guidance:
F2Q2019 Earnings call guidance for FY2019: </t>
        </r>
        <r>
          <rPr>
            <sz val="9"/>
            <color indexed="81"/>
            <rFont val="Tahoma"/>
            <family val="2"/>
          </rPr>
          <t xml:space="preserve">20% to 22%, Non-GAAP tax rate in the range of 19% to 21%.
</t>
        </r>
        <r>
          <rPr>
            <b/>
            <sz val="9"/>
            <color indexed="81"/>
            <rFont val="Tahoma"/>
            <family val="2"/>
          </rPr>
          <t>F1Q2019 Earnings call guidance for FY2019:</t>
        </r>
        <r>
          <rPr>
            <sz val="9"/>
            <color indexed="81"/>
            <rFont val="Tahoma"/>
            <family val="2"/>
          </rPr>
          <t xml:space="preserve"> 21% to 23%</t>
        </r>
      </text>
    </comment>
    <comment ref="L143" authorId="1" shapeId="0" xr:uid="{9978783A-8063-4704-BDE0-68854B5A7921}">
      <text>
        <r>
          <rPr>
            <b/>
            <sz val="9"/>
            <color indexed="81"/>
            <rFont val="Tahoma"/>
            <family val="2"/>
          </rPr>
          <t>Management Guidance:</t>
        </r>
        <r>
          <rPr>
            <sz val="9"/>
            <color indexed="81"/>
            <rFont val="Tahoma"/>
            <family val="2"/>
          </rPr>
          <t xml:space="preserve"> GAAP and non-GAAP effective tax rates in the range of mid- to high-20%s.
</t>
        </r>
        <r>
          <rPr>
            <b/>
            <sz val="9"/>
            <color indexed="81"/>
            <rFont val="Tahoma"/>
            <family val="2"/>
          </rPr>
          <t>Source:</t>
        </r>
        <r>
          <rPr>
            <sz val="9"/>
            <color indexed="81"/>
            <rFont val="Tahoma"/>
            <family val="2"/>
          </rPr>
          <t xml:space="preserve"> F3Q2020 Press Release, July 28, 2020</t>
        </r>
      </text>
    </comment>
    <comment ref="R143" authorId="0" shapeId="0" xr:uid="{E85CBCB5-5BE2-4EBC-91A1-7EDAFF3FF39C}">
      <text>
        <r>
          <rPr>
            <b/>
            <sz val="9"/>
            <color indexed="81"/>
            <rFont val="Tahoma"/>
            <family val="2"/>
          </rPr>
          <t xml:space="preserve">Management Guidance:  </t>
        </r>
        <r>
          <rPr>
            <sz val="9"/>
            <color indexed="81"/>
            <rFont val="Tahoma"/>
            <family val="2"/>
          </rPr>
          <t xml:space="preserve"> GAAP and non-GAAP effective tax rates in the low-20%s
</t>
        </r>
        <r>
          <rPr>
            <b/>
            <sz val="9"/>
            <color indexed="81"/>
            <rFont val="Tahoma"/>
            <family val="2"/>
          </rPr>
          <t>Source:</t>
        </r>
        <r>
          <rPr>
            <sz val="9"/>
            <color indexed="81"/>
            <rFont val="Tahoma"/>
            <family val="2"/>
          </rPr>
          <t xml:space="preserve"> F3Q2021 Press Release</t>
        </r>
      </text>
    </comment>
    <comment ref="B150" authorId="1" shapeId="0" xr:uid="{DEC99592-60F8-4237-A3AF-C12FFFDD676D}">
      <text>
        <r>
          <rPr>
            <b/>
            <sz val="9"/>
            <color indexed="81"/>
            <rFont val="Tahoma"/>
            <family val="2"/>
          </rPr>
          <t>Note:</t>
        </r>
        <r>
          <rPr>
            <sz val="9"/>
            <color indexed="81"/>
            <rFont val="Tahoma"/>
            <family val="2"/>
          </rPr>
          <t xml:space="preserve"> Item 2 Unregistered Sales of Equity Securities includes the ASRs. They have been seperated here. (Refer to F1Q2019 and F2Q2019 to reconcile)</t>
        </r>
      </text>
    </comment>
    <comment ref="B165" authorId="1" shapeId="0" xr:uid="{69FDD77B-4BBD-4E6D-BFDB-AA8A8FEF59B2}">
      <text>
        <r>
          <rPr>
            <sz val="9"/>
            <color indexed="81"/>
            <rFont val="Tahoma"/>
            <family val="2"/>
          </rPr>
          <t>Includes transaction costs for the acquisition of our East China joint venture; ongoing amortization expense of acquired
intangible assets associated with the acquisition of East China and Starbucks Japan; and the related post-acquisition integration costs, such as incremental information technology and compensation-related costs</t>
        </r>
      </text>
    </comment>
    <comment ref="Q169" authorId="0" shapeId="0" xr:uid="{0A7519ED-36AE-486E-9ACE-D0FCBECA0496}">
      <text>
        <r>
          <rPr>
            <b/>
            <sz val="9"/>
            <color indexed="81"/>
            <rFont val="Tahoma"/>
            <family val="2"/>
          </rPr>
          <t>Note:</t>
        </r>
        <r>
          <rPr>
            <sz val="9"/>
            <color indexed="81"/>
            <rFont val="Tahoma"/>
            <family val="2"/>
          </rPr>
          <t xml:space="preserve"> management's guidance for non-GAAP EPS is "inclusive of the impact attributable to the 53rd week" therefore we will not remove it here.</t>
        </r>
      </text>
    </comment>
    <comment ref="B172" authorId="1" shapeId="0" xr:uid="{8507D281-FAA7-4AF9-A8E8-6AF1772B2BCE}">
      <text>
        <r>
          <rPr>
            <b/>
            <sz val="9"/>
            <color indexed="81"/>
            <rFont val="Tahoma"/>
            <family val="2"/>
          </rPr>
          <t>Enter negative EPS income tax effect as positive on this line</t>
        </r>
      </text>
    </comment>
  </commentList>
</comments>
</file>

<file path=xl/sharedStrings.xml><?xml version="1.0" encoding="utf-8"?>
<sst xmlns="http://schemas.openxmlformats.org/spreadsheetml/2006/main" count="664" uniqueCount="211">
  <si>
    <t>Basic shares outstanding</t>
  </si>
  <si>
    <t xml:space="preserve">Diluted shares outstanding </t>
  </si>
  <si>
    <t>Effective tax rate</t>
  </si>
  <si>
    <t>(Dollars in millions, except per share data)</t>
  </si>
  <si>
    <t>Operating margin (GAAP)</t>
  </si>
  <si>
    <t>Provisions for income tax</t>
  </si>
  <si>
    <t xml:space="preserve">Basic EPS </t>
  </si>
  <si>
    <t xml:space="preserve">Diluted EPS </t>
  </si>
  <si>
    <t>Total operating expenses</t>
  </si>
  <si>
    <t>Ratio Analysis</t>
  </si>
  <si>
    <t>Total operating income/(loss)</t>
  </si>
  <si>
    <t>Income/(loss) before income tax</t>
  </si>
  <si>
    <t>Non-GAAP Adjustments</t>
  </si>
  <si>
    <t>Segment Data</t>
  </si>
  <si>
    <t>Reconciliation</t>
  </si>
  <si>
    <t>Dec-18</t>
  </si>
  <si>
    <t xml:space="preserve">   Net income attributable to common shareholders</t>
  </si>
  <si>
    <t>Revenue growth rate (GAAP, YoY)</t>
  </si>
  <si>
    <t>Starbucks Income Statement</t>
  </si>
  <si>
    <t>F1Q19</t>
  </si>
  <si>
    <t>Sept-22E</t>
  </si>
  <si>
    <t>Dec-22E</t>
  </si>
  <si>
    <t>Mar-23E</t>
  </si>
  <si>
    <t>June-23E</t>
  </si>
  <si>
    <t>Sept-23E</t>
  </si>
  <si>
    <t>F4Q22E</t>
  </si>
  <si>
    <t>FY 2022E</t>
  </si>
  <si>
    <t>F1Q23E</t>
  </si>
  <si>
    <t>F2Q23E</t>
  </si>
  <si>
    <t>F3Q23E</t>
  </si>
  <si>
    <t>F4Q23E</t>
  </si>
  <si>
    <t>FY 2023E</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</si>
  <si>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</si>
  <si>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</si>
  <si>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</si>
  <si>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</si>
  <si>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</si>
  <si>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</si>
  <si>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</si>
  <si>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</si>
  <si>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</si>
  <si>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</si>
  <si>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Restructuring and impairments</t>
  </si>
  <si>
    <t>Comp store sales - Ticket</t>
  </si>
  <si>
    <t>Comp store sales - Transaction</t>
  </si>
  <si>
    <t>Comp store sales - Total</t>
  </si>
  <si>
    <t xml:space="preserve">Net new company operated stores added </t>
  </si>
  <si>
    <t xml:space="preserve">Net new licensed  stores added </t>
  </si>
  <si>
    <t>Average revenue per licensed store</t>
  </si>
  <si>
    <t>Average licensed stores in the period</t>
  </si>
  <si>
    <t>Other revenue YoY growth rate</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</si>
  <si>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</si>
  <si>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</si>
  <si>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</si>
  <si>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</si>
  <si>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</si>
  <si>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</si>
  <si>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</si>
  <si>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Revenue YoY growth rate</t>
  </si>
  <si>
    <t>Company-operated revenue</t>
  </si>
  <si>
    <t>Licensed store revenue</t>
  </si>
  <si>
    <t>Other revenue</t>
  </si>
  <si>
    <t>Operating Income</t>
  </si>
  <si>
    <t>Gain on acquisition of JV/disposition of business</t>
  </si>
  <si>
    <t>Nestle Transaction (Operating expenses)</t>
  </si>
  <si>
    <t>Restructuring and impairments (Operating expenses)</t>
  </si>
  <si>
    <t>Stock Awards (Operating expenses)</t>
  </si>
  <si>
    <t>Total impact on operating expenses</t>
  </si>
  <si>
    <t>Total impact on operating income</t>
  </si>
  <si>
    <t>Gain/(loss) on acquisitions and divestitures (Net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</si>
  <si>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</si>
  <si>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</si>
  <si>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</si>
  <si>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</si>
  <si>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</si>
  <si>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</si>
  <si>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</si>
  <si>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Operating margin (Non-GAAP)</t>
  </si>
  <si>
    <t>Interest &amp; other income as a % of average  investments and cash</t>
  </si>
  <si>
    <t>Interest expense as a % of average debt balances</t>
  </si>
  <si>
    <t>All Other  (Operating expense)</t>
  </si>
  <si>
    <t>F2Q19</t>
  </si>
  <si>
    <t>Mar-19</t>
  </si>
  <si>
    <t>General and administrative expenses (GAAP)</t>
  </si>
  <si>
    <t>June-19</t>
  </si>
  <si>
    <t>F3Q19</t>
  </si>
  <si>
    <t>Dec-23E</t>
  </si>
  <si>
    <t>Mar-24E</t>
  </si>
  <si>
    <t>June-24E</t>
  </si>
  <si>
    <t>Sept-24E</t>
  </si>
  <si>
    <t>F1Q24E</t>
  </si>
  <si>
    <t>F2Q24E</t>
  </si>
  <si>
    <t>F3Q24E</t>
  </si>
  <si>
    <t>F4Q24E</t>
  </si>
  <si>
    <t>FY 2024E</t>
  </si>
  <si>
    <t>F4Q19</t>
  </si>
  <si>
    <t>FY 2019</t>
  </si>
  <si>
    <t>F1Q20</t>
  </si>
  <si>
    <t>F2Q20</t>
  </si>
  <si>
    <t>F3Q20</t>
  </si>
  <si>
    <t>Product and distribution costs</t>
  </si>
  <si>
    <t>Revenue - Company-operated stores</t>
  </si>
  <si>
    <t>Revenue - Licensed stores revenue</t>
  </si>
  <si>
    <t>Revenue - Product, Services, and Other</t>
  </si>
  <si>
    <t>Total revenues</t>
  </si>
  <si>
    <t>Dec-24E</t>
  </si>
  <si>
    <t>Mar-25E</t>
  </si>
  <si>
    <t>June-25E</t>
  </si>
  <si>
    <t>Sept-25E</t>
  </si>
  <si>
    <t>F1Q25E</t>
  </si>
  <si>
    <t>F2Q25E</t>
  </si>
  <si>
    <t>F3Q25E</t>
  </si>
  <si>
    <t>F4Q25E</t>
  </si>
  <si>
    <t>FY 2025E</t>
  </si>
  <si>
    <t>International Segment (GAAP)</t>
  </si>
  <si>
    <t>International company-operated stores</t>
  </si>
  <si>
    <t>Int'l Revenue: Company-operated stores ($M)</t>
  </si>
  <si>
    <t>International licensed stores</t>
  </si>
  <si>
    <t>Int'l Revenue: licensed stores ($M)</t>
  </si>
  <si>
    <t>Int'l Revenue: Other</t>
  </si>
  <si>
    <t>Int'l total stores</t>
  </si>
  <si>
    <t>Int'l total net store additions</t>
  </si>
  <si>
    <t>Int'l total net revenues ($M)</t>
  </si>
  <si>
    <t>Int'l Total operating expenses</t>
  </si>
  <si>
    <t>Int'l Total operating income</t>
  </si>
  <si>
    <t>Int'l Total operating margin (%)</t>
  </si>
  <si>
    <t>Channel Development Revenue</t>
  </si>
  <si>
    <t>Net revenues ($M)</t>
  </si>
  <si>
    <t>Net revenue YoY growth rate</t>
  </si>
  <si>
    <t>International transaction and integration related costs</t>
  </si>
  <si>
    <t>Share Count Analysis</t>
  </si>
  <si>
    <t>Sept '18 ASR - Share repurchase assumptions: average price</t>
  </si>
  <si>
    <t>Sept '18 ASR - Share repurchase: amount in the period ($M)</t>
  </si>
  <si>
    <t>Sept '18 ASR -Shares repurchased (in millions)</t>
  </si>
  <si>
    <t>March '19 ASR - Share repurchase assumptions: average price</t>
  </si>
  <si>
    <t>March '19 ASR - Share repurchase: amount in the period ($M)</t>
  </si>
  <si>
    <t>March '19 ASR -Shares repurchased (in millions)</t>
  </si>
  <si>
    <t>Share repurchase assumptions: average price (exASRs)</t>
  </si>
  <si>
    <t>Share repurchase: amount in the period ($M, exASRs)</t>
  </si>
  <si>
    <t>Non-GAAP EPS Growth (YoY)</t>
  </si>
  <si>
    <t>Cash Flow From Operations Growth (YoY)</t>
  </si>
  <si>
    <t>Free Cash Flow Growth (YoY)</t>
  </si>
  <si>
    <t>Sept-20</t>
  </si>
  <si>
    <t>F4Q20</t>
  </si>
  <si>
    <t>FY 2020</t>
  </si>
  <si>
    <t>June-20</t>
  </si>
  <si>
    <t>Mar-20</t>
  </si>
  <si>
    <t>Dec-19</t>
  </si>
  <si>
    <t>Sept-19</t>
  </si>
  <si>
    <t>Dec-20</t>
  </si>
  <si>
    <t>F1Q21</t>
  </si>
  <si>
    <t xml:space="preserve"> Store opex (as % of comp-op store revenue)</t>
  </si>
  <si>
    <t>Product/dist costs (as % of total segment revenue)</t>
  </si>
  <si>
    <t xml:space="preserve"> Other opex (as % of total segment revenue)</t>
  </si>
  <si>
    <t>G&amp;A expense (as % of total segment revenue)</t>
  </si>
  <si>
    <t>Other opex (as % of comp-op store revenue)</t>
  </si>
  <si>
    <t>Impact of extra week  (Operating income)</t>
  </si>
  <si>
    <t>Mar-21</t>
  </si>
  <si>
    <t>F2Q21</t>
  </si>
  <si>
    <t>June-21</t>
  </si>
  <si>
    <t>F3Q21</t>
  </si>
  <si>
    <t>Dec-25E</t>
  </si>
  <si>
    <t>Mar-26E</t>
  </si>
  <si>
    <t>June-26E</t>
  </si>
  <si>
    <t>Sept-26E</t>
  </si>
  <si>
    <t>F1Q26E</t>
  </si>
  <si>
    <t>F2Q26E</t>
  </si>
  <si>
    <t>F3Q26E</t>
  </si>
  <si>
    <t>F4Q26E</t>
  </si>
  <si>
    <t>FY 2026E</t>
  </si>
  <si>
    <t>Global Store Growth</t>
  </si>
  <si>
    <t>Approximate Dividend Payout Ratio</t>
  </si>
  <si>
    <t>Sept-21</t>
  </si>
  <si>
    <t>F4Q21</t>
  </si>
  <si>
    <t>FY 2021</t>
  </si>
  <si>
    <t>North America (GAAP)</t>
  </si>
  <si>
    <t>NA company-operated stores</t>
  </si>
  <si>
    <t>NA Revenue: Company-operated stores ($M)</t>
  </si>
  <si>
    <t>NA licensed stores</t>
  </si>
  <si>
    <t>NA Revenue: licensed stores ($M)</t>
  </si>
  <si>
    <t>NA Revenue: Other</t>
  </si>
  <si>
    <t>NA total stores</t>
  </si>
  <si>
    <t>NA total net store additions</t>
  </si>
  <si>
    <t>NA total net revenues ($M)</t>
  </si>
  <si>
    <t>NA total operating expenses</t>
  </si>
  <si>
    <t>NA total operating income</t>
  </si>
  <si>
    <t>NA total operating margin (%)</t>
  </si>
  <si>
    <t>GAAP EPS Growth (YoY)</t>
  </si>
  <si>
    <t>Jan-22</t>
  </si>
  <si>
    <t>F1Q22</t>
  </si>
  <si>
    <t>F2Q22</t>
  </si>
  <si>
    <t>Mar-22</t>
  </si>
  <si>
    <t>Dec-26E</t>
  </si>
  <si>
    <t>Mar-27E</t>
  </si>
  <si>
    <t>June-27E</t>
  </si>
  <si>
    <t>Sept-27E</t>
  </si>
  <si>
    <t>F1Q27E</t>
  </si>
  <si>
    <t>F2Q27E</t>
  </si>
  <si>
    <t>F3Q27E</t>
  </si>
  <si>
    <t>F4Q27E</t>
  </si>
  <si>
    <t>FY 2027E</t>
  </si>
  <si>
    <t>Revenue growth rate (YoY)</t>
  </si>
  <si>
    <t>Average company operated stores in the period</t>
  </si>
  <si>
    <t>Average revenue per average licensed store</t>
  </si>
  <si>
    <t>June-22</t>
  </si>
  <si>
    <t>F3Q22</t>
  </si>
  <si>
    <t>Average revenue per average company operated store</t>
  </si>
  <si>
    <t xml:space="preserve">Average revenue per average company operated store </t>
  </si>
  <si>
    <t>Shares repurchased: Share count (in millions of shares, exASRs)</t>
  </si>
  <si>
    <t>Change in basic shares  (excluding repurchases)</t>
  </si>
  <si>
    <t>Change in diluted shares  (excluding repurchases)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</si>
</sst>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_(* #,##0.0000_);_(* \(#,##0.0000\);_(* &quot;-&quot;??_);_(@_)"/>
    <numFmt numFmtId="226" formatCode="0.000%"/>
  </numFmts>
  <fonts count="7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b/>
      <u val="singleAccounting"/>
      <sz val="11"/>
      <name val="Calibri"/>
      <family val="2"/>
      <scheme val="minor"/>
    </font>
    <font>
      <b/>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u/>
      <sz val="11"/>
      <name val="Calibri"/>
      <family val="2"/>
      <scheme val="minor"/>
    </font>
    <font>
      <i/>
      <sz val="11"/>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sz val="11"/>
      <color theme="0"/>
      <name val="Calibri"/>
      <family val="2"/>
      <scheme val="minor"/>
    </font>
    <font>
      <u/>
      <sz val="9"/>
      <color indexed="81"/>
      <name val="Tahoma"/>
      <family val="2"/>
    </font>
    <font>
      <i/>
      <sz val="11"/>
      <name val="Calibri"/>
      <family val="2"/>
      <scheme val="minor"/>
    </font>
    <font>
      <i/>
      <sz val="11"/>
      <color rgb="FFFF0000"/>
      <name val="Calibri"/>
      <family val="2"/>
      <scheme val="minor"/>
    </font>
    <font>
      <i/>
      <sz val="11"/>
      <color theme="4"/>
      <name val="Calibri"/>
      <family val="2"/>
      <scheme val="minor"/>
    </font>
    <font>
      <i/>
      <sz val="8"/>
      <color theme="3"/>
      <name val="Calibri"/>
      <family val="2"/>
      <scheme val="minor"/>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39994506668294322"/>
        <bgColor indexed="64"/>
      </patternFill>
    </fill>
  </fills>
  <borders count="35">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medium">
        <color auto="1"/>
      </bottom>
      <diagonal/>
    </border>
  </borders>
  <cellStyleXfs count="33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10" fillId="0" borderId="15" applyNumberFormat="0" applyFill="0" applyAlignment="0" applyProtection="0"/>
    <xf numFmtId="0" fontId="11" fillId="0" borderId="16" applyNumberFormat="0" applyFill="0" applyProtection="0">
      <alignment horizontal="center"/>
    </xf>
    <xf numFmtId="0" fontId="11" fillId="0" borderId="0" applyNumberFormat="0" applyFill="0" applyBorder="0" applyProtection="0">
      <alignment horizontal="left"/>
    </xf>
    <xf numFmtId="0" fontId="12" fillId="0" borderId="0" applyNumberFormat="0" applyFill="0" applyBorder="0" applyProtection="0">
      <alignment horizontal="centerContinuous"/>
    </xf>
    <xf numFmtId="0" fontId="13" fillId="0" borderId="0" applyNumberFormat="0" applyFill="0" applyBorder="0" applyAlignment="0" applyProtection="0"/>
    <xf numFmtId="0" fontId="14" fillId="0" borderId="0"/>
    <xf numFmtId="176" fontId="15" fillId="0" borderId="0">
      <alignment horizontal="center"/>
    </xf>
    <xf numFmtId="37" fontId="16" fillId="0" borderId="0"/>
    <xf numFmtId="37" fontId="17" fillId="0" borderId="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 fillId="0" borderId="0" applyAlignment="0" applyProtection="0"/>
    <xf numFmtId="178" fontId="19"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19"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0" fillId="0" borderId="0" applyFill="0" applyBorder="0" applyProtection="0">
      <alignment horizontal="center"/>
      <protection locked="0"/>
    </xf>
    <xf numFmtId="0" fontId="21"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1" fillId="0" borderId="7"/>
    <xf numFmtId="192" fontId="1" fillId="0" borderId="0"/>
    <xf numFmtId="0" fontId="14"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2" fillId="0" borderId="0" applyFont="0" applyFill="0" applyBorder="0" applyAlignment="0" applyProtection="0"/>
    <xf numFmtId="4" fontId="1" fillId="0" borderId="0" applyFont="0" applyFill="0" applyBorder="0" applyAlignment="0" applyProtection="0"/>
    <xf numFmtId="4" fontId="14"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0" fontId="24" fillId="0" borderId="0" applyFill="0" applyBorder="0" applyAlignment="0" applyProtection="0">
      <protection locked="0"/>
    </xf>
    <xf numFmtId="193" fontId="3" fillId="0" borderId="0">
      <alignment horizontal="center"/>
    </xf>
    <xf numFmtId="194" fontId="25" fillId="0" borderId="0" applyFill="0" applyBorder="0" applyProtection="0"/>
    <xf numFmtId="195" fontId="26" fillId="0" borderId="0" applyFont="0" applyFill="0" applyBorder="0" applyAlignment="0" applyProtection="0"/>
    <xf numFmtId="196" fontId="27"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3" fillId="0" borderId="0" applyNumberFormat="0" applyFill="0" applyBorder="0" applyAlignment="0" applyProtection="0"/>
    <xf numFmtId="1" fontId="15" fillId="0" borderId="0"/>
    <xf numFmtId="14" fontId="28" fillId="0" borderId="0">
      <alignment horizontal="center"/>
    </xf>
    <xf numFmtId="14" fontId="19" fillId="0" borderId="0" applyFill="0" applyBorder="0" applyAlignment="0"/>
    <xf numFmtId="15" fontId="29" fillId="5" borderId="0" applyNumberFormat="0" applyFont="0" applyFill="0" applyBorder="0" applyAlignment="0">
      <alignment horizontal="center" wrapText="1"/>
    </xf>
    <xf numFmtId="0" fontId="19" fillId="0" borderId="14" applyNumberFormat="0" applyFill="0" applyBorder="0" applyAlignment="0" applyProtection="0"/>
    <xf numFmtId="197" fontId="21" fillId="0" borderId="0" applyFont="0" applyFill="0" applyBorder="0" applyAlignment="0" applyProtection="0"/>
    <xf numFmtId="198" fontId="26" fillId="0" borderId="0" applyFont="0" applyFill="0" applyBorder="0" applyAlignment="0" applyProtection="0"/>
    <xf numFmtId="178" fontId="30"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7" fillId="0" borderId="17">
      <protection hidden="1"/>
    </xf>
    <xf numFmtId="199" fontId="3" fillId="0" borderId="0" applyFont="0" applyFill="0" applyBorder="0" applyAlignment="0" applyProtection="0"/>
    <xf numFmtId="38" fontId="31" fillId="5" borderId="0" applyNumberFormat="0" applyBorder="0" applyAlignment="0" applyProtection="0"/>
    <xf numFmtId="0" fontId="32" fillId="0" borderId="18" applyNumberFormat="0" applyAlignment="0" applyProtection="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1" fillId="0" borderId="0">
      <alignment horizontal="left" vertical="center"/>
    </xf>
    <xf numFmtId="14" fontId="33" fillId="6" borderId="17">
      <alignment horizontal="center" vertical="center"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0" applyFill="0" applyAlignment="0" applyProtection="0">
      <protection locked="0"/>
    </xf>
    <xf numFmtId="0" fontId="20" fillId="0" borderId="7" applyFill="0" applyAlignment="0" applyProtection="0">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0" fontId="31" fillId="7" borderId="14" applyNumberFormat="0" applyBorder="0" applyAlignment="0" applyProtection="0"/>
    <xf numFmtId="178" fontId="3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204" fontId="15" fillId="0" borderId="7"/>
    <xf numFmtId="37" fontId="39" fillId="0" borderId="0"/>
    <xf numFmtId="205" fontId="21" fillId="0" borderId="0"/>
    <xf numFmtId="205" fontId="1" fillId="0" borderId="0"/>
    <xf numFmtId="206" fontId="3" fillId="0" borderId="0"/>
    <xf numFmtId="207" fontId="3" fillId="0" borderId="0"/>
    <xf numFmtId="0" fontId="40" fillId="0" borderId="0"/>
    <xf numFmtId="0" fontId="40" fillId="0" borderId="0"/>
    <xf numFmtId="0" fontId="40" fillId="0" borderId="0"/>
    <xf numFmtId="0" fontId="40"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1" fillId="0" borderId="0"/>
    <xf numFmtId="0" fontId="3" fillId="0" borderId="0"/>
    <xf numFmtId="0" fontId="3" fillId="0" borderId="0"/>
    <xf numFmtId="37" fontId="42" fillId="0" borderId="0"/>
    <xf numFmtId="0" fontId="1" fillId="0" borderId="0"/>
    <xf numFmtId="0" fontId="1" fillId="0" borderId="0"/>
    <xf numFmtId="0" fontId="3" fillId="0" borderId="0">
      <alignment wrapText="1"/>
    </xf>
    <xf numFmtId="0" fontId="3" fillId="0" borderId="0"/>
    <xf numFmtId="37" fontId="42" fillId="0" borderId="0"/>
    <xf numFmtId="0" fontId="3" fillId="0" borderId="0"/>
    <xf numFmtId="37" fontId="42" fillId="0" borderId="0"/>
    <xf numFmtId="0" fontId="1" fillId="0" borderId="0"/>
    <xf numFmtId="0" fontId="22" fillId="0" borderId="0"/>
    <xf numFmtId="37" fontId="1" fillId="0" borderId="0"/>
    <xf numFmtId="0" fontId="1" fillId="0" borderId="0"/>
    <xf numFmtId="37" fontId="1" fillId="0" borderId="0"/>
    <xf numFmtId="0" fontId="3" fillId="0" borderId="0">
      <alignment wrapText="1"/>
    </xf>
    <xf numFmtId="37" fontId="43"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8" fillId="0" borderId="0"/>
    <xf numFmtId="218" fontId="27"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38" fillId="0" borderId="19" applyNumberFormat="0" applyBorder="0"/>
    <xf numFmtId="204" fontId="15" fillId="0" borderId="0"/>
    <xf numFmtId="0" fontId="45" fillId="8" borderId="20" applyNumberFormat="0" applyFont="0" applyFill="0" applyAlignment="0">
      <alignment horizontal="center" vertical="center"/>
    </xf>
    <xf numFmtId="178" fontId="46"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6"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2" fillId="0" borderId="21"/>
    <xf numFmtId="0" fontId="47" fillId="0" borderId="0"/>
    <xf numFmtId="0" fontId="21" fillId="0" borderId="0"/>
    <xf numFmtId="0" fontId="38" fillId="0" borderId="0"/>
    <xf numFmtId="37" fontId="48" fillId="0" borderId="17">
      <alignment horizontal="right"/>
      <protection locked="0"/>
    </xf>
    <xf numFmtId="37" fontId="49" fillId="0" borderId="17">
      <alignment horizontal="right"/>
      <protection locked="0"/>
    </xf>
    <xf numFmtId="49" fontId="19"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0" fillId="0" borderId="0" applyFill="0" applyBorder="0" applyProtection="0">
      <alignment horizontal="left" vertical="top"/>
    </xf>
    <xf numFmtId="40" fontId="5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37" fontId="42" fillId="0" borderId="7"/>
    <xf numFmtId="37" fontId="42"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3" fillId="0" borderId="0"/>
    <xf numFmtId="0" fontId="3" fillId="0" borderId="0"/>
    <xf numFmtId="14" fontId="33" fillId="6" borderId="34">
      <alignment horizontal="center" vertical="center" wrapText="1"/>
    </xf>
    <xf numFmtId="196" fontId="27" fillId="0" borderId="34">
      <protection hidden="1"/>
    </xf>
    <xf numFmtId="196" fontId="27" fillId="0" borderId="34">
      <protection hidden="1"/>
    </xf>
    <xf numFmtId="37" fontId="48" fillId="0" borderId="34">
      <alignment horizontal="right"/>
      <protection locked="0"/>
    </xf>
    <xf numFmtId="37" fontId="49" fillId="0" borderId="34">
      <alignment horizontal="right"/>
      <protection locked="0"/>
    </xf>
  </cellStyleXfs>
  <cellXfs count="318">
    <xf numFmtId="0" fontId="0" fillId="0" borderId="0" xfId="0"/>
    <xf numFmtId="164" fontId="4" fillId="0" borderId="0" xfId="1" applyNumberFormat="1" applyFont="1" applyAlignment="1">
      <alignment horizontal="right"/>
    </xf>
    <xf numFmtId="0" fontId="4" fillId="0" borderId="0" xfId="0" applyFont="1"/>
    <xf numFmtId="0" fontId="4" fillId="0" borderId="0" xfId="0" applyFont="1" applyAlignment="1">
      <alignment horizontal="right"/>
    </xf>
    <xf numFmtId="165" fontId="4" fillId="0" borderId="0" xfId="1" applyNumberFormat="1" applyFont="1" applyAlignment="1">
      <alignment horizontal="right"/>
    </xf>
    <xf numFmtId="9" fontId="4" fillId="0" borderId="0" xfId="2" applyFont="1" applyAlignment="1">
      <alignment horizontal="right"/>
    </xf>
    <xf numFmtId="165" fontId="4" fillId="0" borderId="5" xfId="1" quotePrefix="1" applyNumberFormat="1" applyFont="1" applyBorder="1" applyAlignment="1">
      <alignment horizontal="right"/>
    </xf>
    <xf numFmtId="0" fontId="4" fillId="0" borderId="0" xfId="0" applyFont="1" applyAlignment="1">
      <alignment horizontal="left"/>
    </xf>
    <xf numFmtId="0" fontId="53" fillId="0" borderId="0" xfId="0" applyFont="1"/>
    <xf numFmtId="9" fontId="4" fillId="0" borderId="5" xfId="2" applyFont="1" applyBorder="1" applyAlignment="1">
      <alignment horizontal="right"/>
    </xf>
    <xf numFmtId="164" fontId="53" fillId="0" borderId="0" xfId="1" quotePrefix="1" applyNumberFormat="1" applyFont="1" applyAlignment="1">
      <alignment horizontal="right"/>
    </xf>
    <xf numFmtId="43" fontId="53" fillId="0" borderId="0" xfId="1" quotePrefix="1" applyFont="1" applyAlignment="1">
      <alignment horizontal="right"/>
    </xf>
    <xf numFmtId="164" fontId="52" fillId="3" borderId="0" xfId="1" quotePrefix="1" applyNumberFormat="1" applyFont="1" applyFill="1" applyAlignment="1">
      <alignment horizontal="right"/>
    </xf>
    <xf numFmtId="164" fontId="54" fillId="2" borderId="2" xfId="1" quotePrefix="1" applyNumberFormat="1" applyFont="1" applyFill="1" applyBorder="1" applyAlignment="1">
      <alignment horizontal="right"/>
    </xf>
    <xf numFmtId="164" fontId="55"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58" fillId="0" borderId="0" xfId="1" applyNumberFormat="1" applyFont="1" applyAlignment="1">
      <alignment horizontal="right"/>
    </xf>
    <xf numFmtId="165" fontId="58" fillId="0" borderId="5" xfId="1" applyNumberFormat="1" applyFont="1" applyBorder="1" applyAlignment="1">
      <alignment horizontal="right"/>
    </xf>
    <xf numFmtId="0" fontId="4" fillId="0" borderId="4" xfId="0" applyFont="1" applyBorder="1"/>
    <xf numFmtId="0" fontId="59" fillId="0" borderId="4" xfId="0" applyFont="1" applyBorder="1"/>
    <xf numFmtId="0" fontId="59" fillId="0" borderId="0" xfId="0" applyFont="1"/>
    <xf numFmtId="165" fontId="59" fillId="0" borderId="0" xfId="1" applyNumberFormat="1" applyFont="1" applyAlignment="1">
      <alignment horizontal="right"/>
    </xf>
    <xf numFmtId="165" fontId="59" fillId="0" borderId="5" xfId="1" applyNumberFormat="1" applyFont="1" applyBorder="1" applyAlignment="1">
      <alignment horizontal="right"/>
    </xf>
    <xf numFmtId="0" fontId="58" fillId="0" borderId="0" xfId="0" applyFont="1"/>
    <xf numFmtId="43" fontId="59" fillId="0" borderId="0" xfId="1" applyFont="1" applyAlignment="1">
      <alignment horizontal="right"/>
    </xf>
    <xf numFmtId="43" fontId="59" fillId="0" borderId="5" xfId="1" applyFont="1" applyBorder="1" applyAlignment="1">
      <alignment horizontal="right"/>
    </xf>
    <xf numFmtId="165" fontId="58" fillId="0" borderId="5" xfId="1" quotePrefix="1" applyNumberFormat="1" applyFont="1" applyBorder="1" applyAlignment="1">
      <alignment horizontal="right"/>
    </xf>
    <xf numFmtId="166" fontId="58" fillId="0" borderId="0" xfId="2" applyNumberFormat="1" applyFont="1" applyAlignment="1">
      <alignment horizontal="right"/>
    </xf>
    <xf numFmtId="9" fontId="58" fillId="0" borderId="5" xfId="2" applyFont="1" applyBorder="1" applyAlignment="1">
      <alignment horizontal="right"/>
    </xf>
    <xf numFmtId="166" fontId="58" fillId="0" borderId="5" xfId="2" applyNumberFormat="1" applyFont="1" applyBorder="1" applyAlignment="1">
      <alignment horizontal="right"/>
    </xf>
    <xf numFmtId="9" fontId="58" fillId="0" borderId="0" xfId="2" applyFont="1" applyAlignment="1">
      <alignment horizontal="right"/>
    </xf>
    <xf numFmtId="164" fontId="58" fillId="0" borderId="5" xfId="1" quotePrefix="1" applyNumberFormat="1" applyFont="1" applyBorder="1" applyAlignment="1">
      <alignment horizontal="right"/>
    </xf>
    <xf numFmtId="165" fontId="60" fillId="9" borderId="0" xfId="1" applyNumberFormat="1" applyFont="1" applyFill="1" applyAlignment="1">
      <alignment horizontal="right"/>
    </xf>
    <xf numFmtId="165" fontId="58" fillId="9" borderId="0" xfId="1" applyNumberFormat="1" applyFont="1" applyFill="1" applyAlignment="1">
      <alignment horizontal="right"/>
    </xf>
    <xf numFmtId="9" fontId="58" fillId="9" borderId="0" xfId="2" applyFont="1" applyFill="1" applyAlignment="1">
      <alignment horizontal="right"/>
    </xf>
    <xf numFmtId="166" fontId="58" fillId="9" borderId="0" xfId="2" applyNumberFormat="1" applyFont="1" applyFill="1" applyAlignment="1">
      <alignment horizontal="right"/>
    </xf>
    <xf numFmtId="7" fontId="58" fillId="0" borderId="0" xfId="1" applyNumberFormat="1" applyFont="1" applyAlignment="1">
      <alignment horizontal="right"/>
    </xf>
    <xf numFmtId="165" fontId="58" fillId="0" borderId="8" xfId="1" applyNumberFormat="1" applyFont="1" applyBorder="1" applyAlignment="1">
      <alignment horizontal="right"/>
    </xf>
    <xf numFmtId="0" fontId="58" fillId="0" borderId="3" xfId="0" applyFont="1" applyBorder="1" applyAlignment="1">
      <alignment horizontal="left" indent="2"/>
    </xf>
    <xf numFmtId="164" fontId="54" fillId="2" borderId="29" xfId="1" quotePrefix="1" applyNumberFormat="1" applyFont="1" applyFill="1" applyBorder="1" applyAlignment="1">
      <alignment horizontal="right"/>
    </xf>
    <xf numFmtId="164" fontId="55" fillId="2" borderId="5" xfId="1" quotePrefix="1" applyNumberFormat="1" applyFont="1" applyFill="1" applyBorder="1" applyAlignment="1">
      <alignment horizontal="right"/>
    </xf>
    <xf numFmtId="164" fontId="2" fillId="3" borderId="29" xfId="1" quotePrefix="1" applyNumberFormat="1" applyFont="1" applyFill="1" applyBorder="1" applyAlignment="1">
      <alignment horizontal="right"/>
    </xf>
    <xf numFmtId="164" fontId="52" fillId="3" borderId="5" xfId="1" quotePrefix="1" applyNumberFormat="1" applyFont="1" applyFill="1" applyBorder="1" applyAlignment="1">
      <alignment horizontal="right"/>
    </xf>
    <xf numFmtId="167" fontId="58" fillId="0" borderId="0" xfId="1" applyNumberFormat="1" applyFont="1" applyAlignment="1">
      <alignment horizontal="right"/>
    </xf>
    <xf numFmtId="0" fontId="58" fillId="0" borderId="4" xfId="0" applyFont="1" applyBorder="1"/>
    <xf numFmtId="9" fontId="4" fillId="0" borderId="0" xfId="1" applyNumberFormat="1" applyFont="1"/>
    <xf numFmtId="0" fontId="59" fillId="0" borderId="3" xfId="0" applyFont="1" applyBorder="1" applyAlignment="1">
      <alignment horizontal="left" indent="4"/>
    </xf>
    <xf numFmtId="0" fontId="58" fillId="0" borderId="3" xfId="0" applyFont="1" applyBorder="1" applyAlignment="1">
      <alignment horizontal="left" indent="5"/>
    </xf>
    <xf numFmtId="164" fontId="58" fillId="0" borderId="0" xfId="1" applyNumberFormat="1" applyFont="1" applyAlignment="1">
      <alignment horizontal="right"/>
    </xf>
    <xf numFmtId="164" fontId="58" fillId="0" borderId="5" xfId="1" applyNumberFormat="1" applyFont="1" applyBorder="1" applyAlignment="1">
      <alignment horizontal="right"/>
    </xf>
    <xf numFmtId="164" fontId="59" fillId="0" borderId="0" xfId="1" applyNumberFormat="1" applyFont="1" applyAlignment="1">
      <alignment horizontal="right"/>
    </xf>
    <xf numFmtId="164" fontId="59" fillId="0" borderId="5" xfId="1" applyNumberFormat="1" applyFont="1" applyBorder="1" applyAlignment="1">
      <alignment horizontal="right"/>
    </xf>
    <xf numFmtId="164" fontId="60" fillId="0" borderId="0" xfId="1" applyNumberFormat="1" applyFont="1" applyAlignment="1">
      <alignment horizontal="right"/>
    </xf>
    <xf numFmtId="164" fontId="60" fillId="0" borderId="5" xfId="1" applyNumberFormat="1" applyFont="1" applyBorder="1" applyAlignment="1">
      <alignment horizontal="right"/>
    </xf>
    <xf numFmtId="164" fontId="52" fillId="0" borderId="0" xfId="1" applyNumberFormat="1" applyFont="1" applyAlignment="1">
      <alignment horizontal="right"/>
    </xf>
    <xf numFmtId="164" fontId="52" fillId="0" borderId="5" xfId="1" applyNumberFormat="1" applyFont="1" applyBorder="1" applyAlignment="1">
      <alignment horizontal="right"/>
    </xf>
    <xf numFmtId="164" fontId="60" fillId="9" borderId="0" xfId="1" applyNumberFormat="1" applyFont="1" applyFill="1" applyAlignment="1">
      <alignment horizontal="right"/>
    </xf>
    <xf numFmtId="165" fontId="53" fillId="0" borderId="5" xfId="1" quotePrefix="1" applyNumberFormat="1" applyFont="1" applyBorder="1" applyAlignment="1">
      <alignment horizontal="right"/>
    </xf>
    <xf numFmtId="165" fontId="4" fillId="0" borderId="25" xfId="1" quotePrefix="1" applyNumberFormat="1" applyFont="1" applyBorder="1" applyAlignment="1">
      <alignment horizontal="right"/>
    </xf>
    <xf numFmtId="9" fontId="62" fillId="0" borderId="0" xfId="2" applyFont="1" applyAlignment="1">
      <alignment horizontal="right"/>
    </xf>
    <xf numFmtId="9" fontId="62" fillId="0" borderId="5" xfId="2" applyFont="1" applyBorder="1" applyAlignment="1">
      <alignment horizontal="right"/>
    </xf>
    <xf numFmtId="9" fontId="59" fillId="0" borderId="5" xfId="2" applyFont="1" applyBorder="1" applyAlignment="1">
      <alignment horizontal="right"/>
    </xf>
    <xf numFmtId="167" fontId="58" fillId="9" borderId="0" xfId="1" applyNumberFormat="1" applyFont="1" applyFill="1" applyAlignment="1">
      <alignment horizontal="right"/>
    </xf>
    <xf numFmtId="0" fontId="63" fillId="0" borderId="0" xfId="0" applyFont="1"/>
    <xf numFmtId="0" fontId="63" fillId="0" borderId="3" xfId="0" applyFont="1" applyBorder="1" applyAlignment="1">
      <alignment horizontal="left"/>
    </xf>
    <xf numFmtId="165" fontId="63" fillId="0" borderId="0" xfId="1" applyNumberFormat="1" applyFont="1" applyAlignment="1">
      <alignment horizontal="right"/>
    </xf>
    <xf numFmtId="165" fontId="63" fillId="0" borderId="5" xfId="1" quotePrefix="1" applyNumberFormat="1" applyFont="1" applyBorder="1" applyAlignment="1">
      <alignment horizontal="right"/>
    </xf>
    <xf numFmtId="165" fontId="59" fillId="0" borderId="27" xfId="1" applyNumberFormat="1" applyFont="1" applyBorder="1" applyAlignment="1">
      <alignment horizontal="right"/>
    </xf>
    <xf numFmtId="165" fontId="53" fillId="0" borderId="28" xfId="1" quotePrefix="1" applyNumberFormat="1" applyFont="1" applyBorder="1" applyAlignment="1">
      <alignment horizontal="right"/>
    </xf>
    <xf numFmtId="0" fontId="58" fillId="0" borderId="12" xfId="0" applyFont="1" applyBorder="1" applyAlignment="1">
      <alignment horizontal="left" indent="2"/>
    </xf>
    <xf numFmtId="0" fontId="58" fillId="0" borderId="13" xfId="0" applyFont="1" applyBorder="1" applyAlignment="1">
      <alignment horizontal="left" indent="1"/>
    </xf>
    <xf numFmtId="9" fontId="58" fillId="9" borderId="26" xfId="2" applyFont="1" applyFill="1" applyBorder="1" applyAlignment="1">
      <alignment horizontal="right"/>
    </xf>
    <xf numFmtId="164" fontId="59" fillId="0" borderId="26" xfId="1" applyNumberFormat="1" applyFont="1" applyBorder="1" applyAlignment="1">
      <alignment horizontal="right"/>
    </xf>
    <xf numFmtId="164" fontId="59" fillId="0" borderId="25" xfId="1" quotePrefix="1" applyNumberFormat="1" applyFont="1" applyBorder="1" applyAlignment="1">
      <alignment horizontal="right"/>
    </xf>
    <xf numFmtId="164" fontId="59" fillId="0" borderId="0" xfId="2" applyNumberFormat="1" applyFont="1" applyAlignment="1">
      <alignment horizontal="right"/>
    </xf>
    <xf numFmtId="166" fontId="59" fillId="0" borderId="0" xfId="2" applyNumberFormat="1" applyFont="1" applyAlignment="1">
      <alignment horizontal="right"/>
    </xf>
    <xf numFmtId="164" fontId="58" fillId="0" borderId="28" xfId="1" applyNumberFormat="1" applyFont="1" applyBorder="1" applyAlignment="1">
      <alignment horizontal="right"/>
    </xf>
    <xf numFmtId="0" fontId="65" fillId="0" borderId="0" xfId="0" applyFont="1"/>
    <xf numFmtId="0" fontId="66" fillId="0" borderId="4" xfId="0" applyFont="1" applyBorder="1" applyAlignment="1">
      <alignment horizontal="left"/>
    </xf>
    <xf numFmtId="0" fontId="64" fillId="0" borderId="13" xfId="0" applyFont="1" applyBorder="1"/>
    <xf numFmtId="164" fontId="64" fillId="0" borderId="26" xfId="1" applyNumberFormat="1" applyFont="1" applyBorder="1" applyAlignment="1">
      <alignment horizontal="right"/>
    </xf>
    <xf numFmtId="164" fontId="64" fillId="0" borderId="25" xfId="1" applyNumberFormat="1" applyFont="1" applyBorder="1" applyAlignment="1">
      <alignment horizontal="right"/>
    </xf>
    <xf numFmtId="43" fontId="64" fillId="0" borderId="32" xfId="1" applyFont="1" applyBorder="1" applyAlignment="1">
      <alignment horizontal="right"/>
    </xf>
    <xf numFmtId="43" fontId="64" fillId="0" borderId="30" xfId="1" applyFont="1" applyBorder="1" applyAlignment="1">
      <alignment horizontal="right"/>
    </xf>
    <xf numFmtId="0" fontId="64" fillId="0" borderId="24" xfId="0" applyFont="1" applyBorder="1" applyAlignment="1">
      <alignment horizontal="left"/>
    </xf>
    <xf numFmtId="0" fontId="64" fillId="0" borderId="12" xfId="0" applyFont="1" applyBorder="1" applyAlignment="1">
      <alignment horizontal="left" indent="2"/>
    </xf>
    <xf numFmtId="0" fontId="64" fillId="0" borderId="13" xfId="0" applyFont="1" applyBorder="1" applyAlignment="1">
      <alignment horizontal="left"/>
    </xf>
    <xf numFmtId="0" fontId="63" fillId="0" borderId="23" xfId="0" applyFont="1" applyBorder="1" applyAlignment="1">
      <alignment horizontal="left" indent="1"/>
    </xf>
    <xf numFmtId="0" fontId="63" fillId="0" borderId="24" xfId="0" applyFont="1" applyBorder="1"/>
    <xf numFmtId="164" fontId="67" fillId="0" borderId="27" xfId="1" applyNumberFormat="1" applyFont="1" applyBorder="1" applyAlignment="1">
      <alignment horizontal="right"/>
    </xf>
    <xf numFmtId="164" fontId="67" fillId="0" borderId="28" xfId="1" applyNumberFormat="1" applyFont="1" applyBorder="1" applyAlignment="1">
      <alignment horizontal="right"/>
    </xf>
    <xf numFmtId="164" fontId="68" fillId="0" borderId="27" xfId="1" applyNumberFormat="1" applyFont="1" applyBorder="1" applyAlignment="1">
      <alignment horizontal="right"/>
    </xf>
    <xf numFmtId="164" fontId="68" fillId="0" borderId="28" xfId="1" applyNumberFormat="1" applyFont="1" applyBorder="1" applyAlignment="1">
      <alignment horizontal="right"/>
    </xf>
    <xf numFmtId="0" fontId="64" fillId="0" borderId="31" xfId="0" applyFont="1" applyBorder="1" applyAlignment="1">
      <alignment horizontal="left" indent="2"/>
    </xf>
    <xf numFmtId="9" fontId="58" fillId="9" borderId="7" xfId="2" applyFont="1" applyFill="1" applyBorder="1" applyAlignment="1">
      <alignment horizontal="right"/>
    </xf>
    <xf numFmtId="164" fontId="58" fillId="9" borderId="0" xfId="1" applyNumberFormat="1" applyFont="1" applyFill="1" applyAlignment="1">
      <alignment horizontal="right"/>
    </xf>
    <xf numFmtId="164" fontId="58" fillId="0" borderId="27" xfId="1" applyNumberFormat="1" applyFont="1" applyBorder="1" applyAlignment="1">
      <alignment horizontal="right"/>
    </xf>
    <xf numFmtId="164" fontId="59" fillId="0" borderId="5" xfId="1" quotePrefix="1" applyNumberFormat="1" applyFont="1" applyBorder="1" applyAlignment="1">
      <alignment horizontal="right"/>
    </xf>
    <xf numFmtId="166" fontId="59" fillId="0" borderId="5" xfId="2" quotePrefix="1" applyNumberFormat="1" applyFont="1" applyBorder="1" applyAlignment="1">
      <alignment horizontal="right"/>
    </xf>
    <xf numFmtId="0" fontId="69" fillId="0" borderId="0" xfId="0" applyFont="1"/>
    <xf numFmtId="0" fontId="64" fillId="0" borderId="33" xfId="0" applyFont="1" applyBorder="1" applyAlignment="1">
      <alignment horizontal="left" indent="1"/>
    </xf>
    <xf numFmtId="165" fontId="58" fillId="0" borderId="0" xfId="1" applyNumberFormat="1" applyFont="1" applyFill="1" applyAlignment="1">
      <alignment horizontal="right"/>
    </xf>
    <xf numFmtId="43" fontId="58" fillId="0" borderId="0" xfId="1" applyFont="1" applyFill="1" applyAlignment="1">
      <alignment horizontal="right"/>
    </xf>
    <xf numFmtId="164" fontId="59" fillId="0" borderId="0" xfId="1" applyNumberFormat="1" applyFont="1" applyFill="1" applyAlignment="1">
      <alignment horizontal="right"/>
    </xf>
    <xf numFmtId="164" fontId="60" fillId="0" borderId="0" xfId="1" applyNumberFormat="1" applyFont="1" applyFill="1" applyAlignment="1">
      <alignment horizontal="right"/>
    </xf>
    <xf numFmtId="164" fontId="58" fillId="0" borderId="0" xfId="1" applyNumberFormat="1" applyFont="1" applyFill="1" applyAlignment="1">
      <alignment horizontal="right"/>
    </xf>
    <xf numFmtId="164" fontId="52" fillId="0" borderId="0" xfId="1" applyNumberFormat="1" applyFont="1" applyFill="1" applyAlignment="1">
      <alignment horizontal="right"/>
    </xf>
    <xf numFmtId="164" fontId="67" fillId="0" borderId="27" xfId="1" applyNumberFormat="1" applyFont="1" applyFill="1" applyBorder="1" applyAlignment="1">
      <alignment horizontal="right"/>
    </xf>
    <xf numFmtId="164" fontId="64" fillId="0" borderId="26" xfId="1" applyNumberFormat="1" applyFont="1" applyFill="1" applyBorder="1" applyAlignment="1">
      <alignment horizontal="right"/>
    </xf>
    <xf numFmtId="164" fontId="68" fillId="0" borderId="27" xfId="1" applyNumberFormat="1" applyFont="1" applyFill="1" applyBorder="1" applyAlignment="1">
      <alignment horizontal="right"/>
    </xf>
    <xf numFmtId="43" fontId="59" fillId="0" borderId="0" xfId="1" applyFont="1" applyFill="1" applyAlignment="1">
      <alignment horizontal="right"/>
    </xf>
    <xf numFmtId="43" fontId="64" fillId="0" borderId="32" xfId="1" applyFont="1" applyFill="1" applyBorder="1" applyAlignment="1">
      <alignment horizontal="right"/>
    </xf>
    <xf numFmtId="165" fontId="60" fillId="0" borderId="0" xfId="1" applyNumberFormat="1" applyFont="1" applyFill="1" applyAlignment="1">
      <alignment horizontal="right"/>
    </xf>
    <xf numFmtId="166" fontId="58" fillId="0" borderId="0" xfId="2" applyNumberFormat="1" applyFont="1" applyFill="1" applyAlignment="1">
      <alignment horizontal="right"/>
    </xf>
    <xf numFmtId="167" fontId="58" fillId="0" borderId="0" xfId="1" applyNumberFormat="1" applyFont="1" applyFill="1" applyAlignment="1">
      <alignment horizontal="right"/>
    </xf>
    <xf numFmtId="164" fontId="59" fillId="0" borderId="26" xfId="1" applyNumberFormat="1" applyFont="1" applyFill="1" applyBorder="1" applyAlignment="1">
      <alignment horizontal="right"/>
    </xf>
    <xf numFmtId="165" fontId="59" fillId="0" borderId="0" xfId="1" applyNumberFormat="1" applyFont="1" applyFill="1" applyAlignment="1">
      <alignment horizontal="right"/>
    </xf>
    <xf numFmtId="165" fontId="59" fillId="0" borderId="27" xfId="1" applyNumberFormat="1" applyFont="1" applyFill="1" applyBorder="1" applyAlignment="1">
      <alignment horizontal="right"/>
    </xf>
    <xf numFmtId="9" fontId="58" fillId="0" borderId="0" xfId="2" applyFont="1" applyFill="1" applyAlignment="1">
      <alignment horizontal="right"/>
    </xf>
    <xf numFmtId="164" fontId="60" fillId="0" borderId="0" xfId="2" applyNumberFormat="1" applyFont="1" applyFill="1" applyAlignment="1">
      <alignment horizontal="right"/>
    </xf>
    <xf numFmtId="9" fontId="58" fillId="0" borderId="26" xfId="2" applyFont="1" applyFill="1" applyBorder="1" applyAlignment="1">
      <alignment horizontal="right"/>
    </xf>
    <xf numFmtId="165" fontId="63" fillId="0" borderId="0" xfId="1" applyNumberFormat="1" applyFont="1" applyFill="1" applyAlignment="1">
      <alignment horizontal="right"/>
    </xf>
    <xf numFmtId="165" fontId="58" fillId="0" borderId="5" xfId="1" quotePrefix="1" applyNumberFormat="1" applyFont="1" applyFill="1" applyBorder="1" applyAlignment="1">
      <alignment horizontal="right"/>
    </xf>
    <xf numFmtId="164" fontId="60" fillId="9" borderId="0" xfId="2" applyNumberFormat="1" applyFont="1" applyFill="1" applyAlignment="1">
      <alignment horizontal="right"/>
    </xf>
    <xf numFmtId="0" fontId="63" fillId="0" borderId="23" xfId="0" applyFont="1" applyBorder="1" applyAlignment="1">
      <alignment horizontal="left" indent="5"/>
    </xf>
    <xf numFmtId="0" fontId="64" fillId="0" borderId="12" xfId="0" applyFont="1" applyBorder="1" applyAlignment="1">
      <alignment horizontal="left" indent="6"/>
    </xf>
    <xf numFmtId="166" fontId="58" fillId="0" borderId="5" xfId="2" quotePrefix="1" applyNumberFormat="1" applyFont="1" applyFill="1" applyBorder="1" applyAlignment="1">
      <alignment horizontal="right"/>
    </xf>
    <xf numFmtId="164" fontId="58" fillId="0" borderId="5" xfId="1" quotePrefix="1" applyNumberFormat="1" applyFont="1" applyFill="1" applyBorder="1" applyAlignment="1">
      <alignment horizontal="right"/>
    </xf>
    <xf numFmtId="43" fontId="58" fillId="0" borderId="5" xfId="1" quotePrefix="1" applyFont="1" applyFill="1" applyBorder="1" applyAlignment="1">
      <alignment horizontal="right"/>
    </xf>
    <xf numFmtId="9" fontId="58" fillId="0" borderId="5" xfId="2" applyFont="1" applyFill="1" applyBorder="1" applyAlignment="1">
      <alignment horizontal="right"/>
    </xf>
    <xf numFmtId="164" fontId="58" fillId="0" borderId="28" xfId="1" applyNumberFormat="1" applyFont="1" applyFill="1" applyBorder="1" applyAlignment="1">
      <alignment horizontal="right"/>
    </xf>
    <xf numFmtId="165" fontId="4" fillId="0" borderId="5" xfId="1" quotePrefix="1" applyNumberFormat="1" applyFont="1" applyFill="1" applyBorder="1" applyAlignment="1">
      <alignment horizontal="right"/>
    </xf>
    <xf numFmtId="164" fontId="60" fillId="0" borderId="5" xfId="2" applyNumberFormat="1" applyFont="1" applyFill="1" applyBorder="1" applyAlignment="1">
      <alignment horizontal="right"/>
    </xf>
    <xf numFmtId="164" fontId="59" fillId="0" borderId="5" xfId="1" quotePrefix="1" applyNumberFormat="1" applyFont="1" applyFill="1" applyBorder="1" applyAlignment="1">
      <alignment horizontal="right"/>
    </xf>
    <xf numFmtId="166" fontId="59" fillId="0" borderId="5" xfId="2" quotePrefix="1" applyNumberFormat="1" applyFont="1" applyFill="1" applyBorder="1" applyAlignment="1">
      <alignment horizontal="right"/>
    </xf>
    <xf numFmtId="9" fontId="59" fillId="0" borderId="5" xfId="2" applyFont="1" applyFill="1" applyBorder="1" applyAlignment="1">
      <alignment horizontal="right"/>
    </xf>
    <xf numFmtId="0" fontId="59" fillId="0" borderId="3" xfId="0" applyFont="1" applyBorder="1" applyAlignment="1">
      <alignment horizontal="left" indent="5"/>
    </xf>
    <xf numFmtId="0" fontId="53" fillId="0" borderId="4" xfId="0" applyFont="1" applyBorder="1"/>
    <xf numFmtId="166" fontId="58" fillId="0" borderId="5" xfId="2" applyNumberFormat="1" applyFont="1" applyFill="1" applyBorder="1" applyAlignment="1">
      <alignment horizontal="right"/>
    </xf>
    <xf numFmtId="43" fontId="60" fillId="0" borderId="0" xfId="1" applyFont="1" applyFill="1" applyAlignment="1">
      <alignment horizontal="right"/>
    </xf>
    <xf numFmtId="164" fontId="58" fillId="0" borderId="0" xfId="1" applyNumberFormat="1" applyFont="1" applyBorder="1" applyAlignment="1">
      <alignment horizontal="right"/>
    </xf>
    <xf numFmtId="164" fontId="58" fillId="0" borderId="26" xfId="1" applyNumberFormat="1" applyFont="1" applyBorder="1" applyAlignment="1">
      <alignment horizontal="right"/>
    </xf>
    <xf numFmtId="164" fontId="58" fillId="0" borderId="25" xfId="1" applyNumberFormat="1" applyFont="1" applyBorder="1" applyAlignment="1">
      <alignment horizontal="right"/>
    </xf>
    <xf numFmtId="164" fontId="58" fillId="0" borderId="0" xfId="1" applyNumberFormat="1" applyFont="1" applyFill="1" applyBorder="1" applyAlignment="1">
      <alignment horizontal="right"/>
    </xf>
    <xf numFmtId="7" fontId="58" fillId="0" borderId="23" xfId="1" applyNumberFormat="1" applyFont="1" applyBorder="1" applyAlignment="1">
      <alignment horizontal="right"/>
    </xf>
    <xf numFmtId="7" fontId="58" fillId="0" borderId="27" xfId="1" applyNumberFormat="1" applyFont="1" applyFill="1" applyBorder="1" applyAlignment="1">
      <alignment horizontal="right"/>
    </xf>
    <xf numFmtId="165" fontId="58" fillId="0" borderId="3" xfId="1" applyNumberFormat="1" applyFont="1" applyBorder="1" applyAlignment="1">
      <alignment horizontal="right"/>
    </xf>
    <xf numFmtId="165" fontId="58" fillId="0" borderId="0" xfId="1" applyNumberFormat="1" applyFont="1" applyFill="1" applyBorder="1" applyAlignment="1">
      <alignment horizontal="right"/>
    </xf>
    <xf numFmtId="164" fontId="58" fillId="0" borderId="12" xfId="1" applyNumberFormat="1" applyFont="1" applyBorder="1" applyAlignment="1">
      <alignment horizontal="right"/>
    </xf>
    <xf numFmtId="9" fontId="62" fillId="0" borderId="5" xfId="2" applyFont="1" applyFill="1" applyBorder="1" applyAlignment="1">
      <alignment horizontal="right"/>
    </xf>
    <xf numFmtId="166" fontId="4" fillId="0" borderId="0" xfId="1" applyNumberFormat="1" applyFont="1"/>
    <xf numFmtId="165" fontId="59" fillId="0" borderId="5" xfId="1" applyNumberFormat="1" applyFont="1" applyFill="1" applyBorder="1" applyAlignment="1">
      <alignment horizontal="right"/>
    </xf>
    <xf numFmtId="9" fontId="62" fillId="0" borderId="0" xfId="2" applyFont="1" applyFill="1" applyAlignment="1">
      <alignment horizontal="right"/>
    </xf>
    <xf numFmtId="9" fontId="59" fillId="0" borderId="0" xfId="2" applyFont="1" applyFill="1" applyAlignment="1">
      <alignment horizontal="right"/>
    </xf>
    <xf numFmtId="164" fontId="53" fillId="0" borderId="25" xfId="1" quotePrefix="1" applyNumberFormat="1" applyFont="1" applyFill="1" applyBorder="1" applyAlignment="1">
      <alignment horizontal="right"/>
    </xf>
    <xf numFmtId="165" fontId="53" fillId="0" borderId="5" xfId="1" quotePrefix="1" applyNumberFormat="1" applyFont="1" applyFill="1" applyBorder="1" applyAlignment="1">
      <alignment horizontal="right"/>
    </xf>
    <xf numFmtId="165" fontId="4" fillId="0" borderId="25" xfId="1" quotePrefix="1" applyNumberFormat="1" applyFont="1" applyFill="1" applyBorder="1" applyAlignment="1">
      <alignment horizontal="right"/>
    </xf>
    <xf numFmtId="164" fontId="59" fillId="0" borderId="0" xfId="2" applyNumberFormat="1" applyFont="1" applyFill="1" applyAlignment="1">
      <alignment horizontal="right"/>
    </xf>
    <xf numFmtId="166" fontId="59" fillId="0" borderId="0" xfId="2" applyNumberFormat="1" applyFont="1" applyFill="1" applyAlignment="1">
      <alignment horizontal="right"/>
    </xf>
    <xf numFmtId="225" fontId="4" fillId="0" borderId="5" xfId="1" quotePrefix="1" applyNumberFormat="1" applyFont="1" applyFill="1" applyBorder="1" applyAlignment="1">
      <alignment horizontal="right"/>
    </xf>
    <xf numFmtId="43" fontId="58" fillId="0" borderId="5" xfId="1" applyFont="1" applyFill="1" applyBorder="1" applyAlignment="1">
      <alignment horizontal="right"/>
    </xf>
    <xf numFmtId="43" fontId="60" fillId="0" borderId="5" xfId="1" applyFont="1" applyFill="1" applyBorder="1" applyAlignment="1">
      <alignment horizontal="right"/>
    </xf>
    <xf numFmtId="165" fontId="4" fillId="0" borderId="0" xfId="1" applyNumberFormat="1" applyFont="1" applyFill="1"/>
    <xf numFmtId="43" fontId="4" fillId="0" borderId="0" xfId="1" applyFont="1"/>
    <xf numFmtId="9" fontId="58" fillId="0" borderId="0" xfId="2" applyFont="1" applyFill="1" applyAlignment="1">
      <alignment horizontal="left"/>
    </xf>
    <xf numFmtId="164" fontId="4" fillId="0" borderId="0" xfId="1" applyNumberFormat="1" applyFont="1" applyFill="1" applyAlignment="1">
      <alignment horizontal="right"/>
    </xf>
    <xf numFmtId="10" fontId="58" fillId="0" borderId="5" xfId="2" applyNumberFormat="1" applyFont="1" applyBorder="1" applyAlignment="1">
      <alignment horizontal="right"/>
    </xf>
    <xf numFmtId="165" fontId="59" fillId="0" borderId="5" xfId="1" quotePrefix="1" applyNumberFormat="1" applyFont="1" applyFill="1" applyBorder="1" applyAlignment="1">
      <alignment horizontal="right"/>
    </xf>
    <xf numFmtId="166" fontId="71" fillId="0" borderId="0" xfId="2" applyNumberFormat="1" applyFont="1" applyFill="1" applyAlignment="1">
      <alignment horizontal="right"/>
    </xf>
    <xf numFmtId="166" fontId="58" fillId="0" borderId="25" xfId="2" quotePrefix="1" applyNumberFormat="1" applyFont="1" applyFill="1" applyBorder="1" applyAlignment="1">
      <alignment horizontal="right"/>
    </xf>
    <xf numFmtId="165" fontId="58" fillId="0" borderId="5" xfId="1" applyNumberFormat="1" applyFont="1" applyFill="1" applyBorder="1" applyAlignment="1">
      <alignment horizontal="right"/>
    </xf>
    <xf numFmtId="164" fontId="58" fillId="0" borderId="5" xfId="1" applyNumberFormat="1" applyFont="1" applyFill="1" applyBorder="1" applyAlignment="1">
      <alignment horizontal="right"/>
    </xf>
    <xf numFmtId="164" fontId="59" fillId="0" borderId="5" xfId="1" applyNumberFormat="1" applyFont="1" applyFill="1" applyBorder="1" applyAlignment="1">
      <alignment horizontal="right"/>
    </xf>
    <xf numFmtId="43" fontId="64" fillId="0" borderId="30" xfId="1" applyFont="1" applyFill="1" applyBorder="1" applyAlignment="1">
      <alignment horizontal="right"/>
    </xf>
    <xf numFmtId="164" fontId="60" fillId="0" borderId="5" xfId="1" applyNumberFormat="1" applyFont="1" applyFill="1" applyBorder="1" applyAlignment="1">
      <alignment horizontal="right"/>
    </xf>
    <xf numFmtId="43" fontId="59" fillId="0" borderId="5" xfId="1" applyFont="1" applyFill="1" applyBorder="1" applyAlignment="1">
      <alignment horizontal="right"/>
    </xf>
    <xf numFmtId="164" fontId="52" fillId="0" borderId="5" xfId="1" applyNumberFormat="1" applyFont="1" applyFill="1" applyBorder="1" applyAlignment="1">
      <alignment horizontal="right"/>
    </xf>
    <xf numFmtId="164" fontId="67" fillId="0" borderId="28" xfId="1" applyNumberFormat="1" applyFont="1" applyFill="1" applyBorder="1" applyAlignment="1">
      <alignment horizontal="right"/>
    </xf>
    <xf numFmtId="164" fontId="64" fillId="0" borderId="25" xfId="1" applyNumberFormat="1" applyFont="1" applyFill="1" applyBorder="1" applyAlignment="1">
      <alignment horizontal="right"/>
    </xf>
    <xf numFmtId="164" fontId="68" fillId="0" borderId="28" xfId="1" applyNumberFormat="1" applyFont="1" applyFill="1" applyBorder="1" applyAlignment="1">
      <alignment horizontal="right"/>
    </xf>
    <xf numFmtId="9" fontId="58" fillId="0" borderId="0" xfId="2" applyFont="1" applyBorder="1" applyAlignment="1">
      <alignment horizontal="right"/>
    </xf>
    <xf numFmtId="0" fontId="58" fillId="0" borderId="3" xfId="0" applyFont="1" applyBorder="1" applyAlignment="1">
      <alignment horizontal="left" indent="1"/>
    </xf>
    <xf numFmtId="0" fontId="71" fillId="0" borderId="3" xfId="0" applyFont="1" applyBorder="1" applyAlignment="1">
      <alignment horizontal="left" indent="2"/>
    </xf>
    <xf numFmtId="0" fontId="71" fillId="0" borderId="4" xfId="0" applyFont="1" applyBorder="1" applyAlignment="1">
      <alignment horizontal="left" indent="2"/>
    </xf>
    <xf numFmtId="0" fontId="72" fillId="0" borderId="0" xfId="0" applyFont="1" applyAlignment="1">
      <alignment horizontal="left" indent="1"/>
    </xf>
    <xf numFmtId="0" fontId="72" fillId="0" borderId="0" xfId="0" applyFont="1"/>
    <xf numFmtId="0" fontId="71" fillId="0" borderId="4" xfId="0" applyFont="1" applyBorder="1" applyAlignment="1">
      <alignment horizontal="left" indent="1"/>
    </xf>
    <xf numFmtId="166" fontId="71" fillId="0" borderId="5" xfId="2" applyNumberFormat="1" applyFont="1" applyFill="1" applyBorder="1" applyAlignment="1">
      <alignment horizontal="right"/>
    </xf>
    <xf numFmtId="166" fontId="71" fillId="0" borderId="0" xfId="2" applyNumberFormat="1" applyFont="1" applyAlignment="1">
      <alignment horizontal="right"/>
    </xf>
    <xf numFmtId="166" fontId="71" fillId="0" borderId="5" xfId="2" applyNumberFormat="1" applyFont="1" applyBorder="1" applyAlignment="1">
      <alignment horizontal="right"/>
    </xf>
    <xf numFmtId="166" fontId="71" fillId="9" borderId="0" xfId="2" applyNumberFormat="1" applyFont="1" applyFill="1" applyAlignment="1">
      <alignment horizontal="right"/>
    </xf>
    <xf numFmtId="0" fontId="72" fillId="0" borderId="4" xfId="0" applyFont="1" applyBorder="1"/>
    <xf numFmtId="165" fontId="59" fillId="0" borderId="5" xfId="1" quotePrefix="1" applyNumberFormat="1" applyFont="1" applyBorder="1" applyAlignment="1">
      <alignment horizontal="right"/>
    </xf>
    <xf numFmtId="165" fontId="59" fillId="0" borderId="28" xfId="1" quotePrefix="1" applyNumberFormat="1" applyFont="1" applyBorder="1" applyAlignment="1">
      <alignment horizontal="right"/>
    </xf>
    <xf numFmtId="164" fontId="60" fillId="0" borderId="5" xfId="1" quotePrefix="1" applyNumberFormat="1" applyFont="1" applyBorder="1" applyAlignment="1">
      <alignment horizontal="right"/>
    </xf>
    <xf numFmtId="164" fontId="59" fillId="0" borderId="5" xfId="2" applyNumberFormat="1" applyFont="1" applyBorder="1" applyAlignment="1">
      <alignment horizontal="right"/>
    </xf>
    <xf numFmtId="43" fontId="4" fillId="0" borderId="0" xfId="1" applyFont="1" applyFill="1"/>
    <xf numFmtId="9" fontId="63" fillId="0" borderId="0" xfId="2" applyFont="1" applyFill="1" applyAlignment="1">
      <alignment horizontal="right"/>
    </xf>
    <xf numFmtId="166" fontId="58" fillId="9" borderId="26" xfId="2" applyNumberFormat="1" applyFont="1" applyFill="1" applyBorder="1" applyAlignment="1">
      <alignment horizontal="right"/>
    </xf>
    <xf numFmtId="165" fontId="74" fillId="0" borderId="0" xfId="2" applyNumberFormat="1" applyFont="1" applyAlignment="1">
      <alignment horizontal="right"/>
    </xf>
    <xf numFmtId="0" fontId="63" fillId="0" borderId="0" xfId="0" quotePrefix="1" applyFont="1"/>
    <xf numFmtId="166" fontId="74" fillId="0" borderId="0" xfId="2" applyNumberFormat="1" applyFont="1" applyFill="1" applyAlignment="1">
      <alignment horizontal="right"/>
    </xf>
    <xf numFmtId="9" fontId="74" fillId="0" borderId="0" xfId="2" applyFont="1" applyFill="1" applyAlignment="1">
      <alignment horizontal="right"/>
    </xf>
    <xf numFmtId="43" fontId="74" fillId="0" borderId="0" xfId="1" applyFont="1" applyFill="1" applyAlignment="1">
      <alignment horizontal="right"/>
    </xf>
    <xf numFmtId="165" fontId="74" fillId="0" borderId="0" xfId="2" applyNumberFormat="1" applyFont="1" applyFill="1" applyAlignment="1">
      <alignment horizontal="right"/>
    </xf>
    <xf numFmtId="10" fontId="74" fillId="0" borderId="0" xfId="2" applyNumberFormat="1" applyFont="1" applyAlignment="1">
      <alignment horizontal="right"/>
    </xf>
    <xf numFmtId="9" fontId="74" fillId="0" borderId="0" xfId="2" applyFont="1" applyAlignment="1">
      <alignment horizontal="right"/>
    </xf>
    <xf numFmtId="43" fontId="74" fillId="0" borderId="0" xfId="2" applyNumberFormat="1" applyFont="1" applyAlignment="1">
      <alignment horizontal="right"/>
    </xf>
    <xf numFmtId="166" fontId="58" fillId="0" borderId="25" xfId="2" applyNumberFormat="1" applyFont="1" applyBorder="1" applyAlignment="1">
      <alignment horizontal="right"/>
    </xf>
    <xf numFmtId="0" fontId="58" fillId="0" borderId="3" xfId="0" applyFont="1" applyBorder="1" applyAlignment="1">
      <alignment horizontal="left"/>
    </xf>
    <xf numFmtId="0" fontId="58" fillId="0" borderId="4" xfId="0" applyFont="1" applyBorder="1" applyAlignment="1">
      <alignment horizontal="left"/>
    </xf>
    <xf numFmtId="0" fontId="59" fillId="0" borderId="4" xfId="0" applyFont="1" applyBorder="1" applyAlignment="1">
      <alignment horizontal="left"/>
    </xf>
    <xf numFmtId="0" fontId="58" fillId="0" borderId="6" xfId="0" applyFont="1" applyBorder="1" applyAlignment="1">
      <alignment horizontal="left"/>
    </xf>
    <xf numFmtId="0" fontId="58" fillId="0" borderId="10" xfId="0" applyFont="1" applyBorder="1" applyAlignment="1">
      <alignment horizontal="left"/>
    </xf>
    <xf numFmtId="0" fontId="59" fillId="0" borderId="3" xfId="0" applyFont="1" applyBorder="1" applyAlignment="1">
      <alignment horizontal="left" indent="1"/>
    </xf>
    <xf numFmtId="0" fontId="59" fillId="0" borderId="4" xfId="0" applyFont="1" applyBorder="1" applyAlignment="1">
      <alignment horizontal="left" indent="1"/>
    </xf>
    <xf numFmtId="0" fontId="58" fillId="0" borderId="4" xfId="0" applyFont="1" applyBorder="1" applyAlignment="1">
      <alignment horizontal="left" indent="1"/>
    </xf>
    <xf numFmtId="0" fontId="59" fillId="0" borderId="3" xfId="0" applyFont="1" applyBorder="1" applyAlignment="1">
      <alignment horizontal="left" indent="2"/>
    </xf>
    <xf numFmtId="0" fontId="59" fillId="0" borderId="3" xfId="0" applyFont="1" applyBorder="1" applyAlignment="1">
      <alignment horizontal="left" indent="3"/>
    </xf>
    <xf numFmtId="0" fontId="58" fillId="0" borderId="3" xfId="0" applyFont="1" applyBorder="1" applyAlignment="1">
      <alignment horizontal="left" indent="4"/>
    </xf>
    <xf numFmtId="9" fontId="58" fillId="0" borderId="7" xfId="2" applyFont="1" applyFill="1" applyBorder="1" applyAlignment="1">
      <alignment horizontal="right"/>
    </xf>
    <xf numFmtId="165" fontId="58" fillId="0" borderId="8" xfId="1" applyNumberFormat="1" applyFont="1" applyFill="1" applyBorder="1" applyAlignment="1">
      <alignment horizontal="right"/>
    </xf>
    <xf numFmtId="164" fontId="59" fillId="0" borderId="25" xfId="1" quotePrefix="1" applyNumberFormat="1" applyFont="1" applyFill="1" applyBorder="1" applyAlignment="1">
      <alignment horizontal="right"/>
    </xf>
    <xf numFmtId="164" fontId="60" fillId="0" borderId="5" xfId="1" quotePrefix="1" applyNumberFormat="1" applyFont="1" applyFill="1" applyBorder="1" applyAlignment="1">
      <alignment horizontal="right"/>
    </xf>
    <xf numFmtId="10" fontId="58" fillId="0" borderId="0" xfId="2" applyNumberFormat="1" applyFont="1" applyAlignment="1">
      <alignment horizontal="right"/>
    </xf>
    <xf numFmtId="10" fontId="58" fillId="9" borderId="0" xfId="2" applyNumberFormat="1" applyFont="1" applyFill="1" applyAlignment="1">
      <alignment horizontal="right"/>
    </xf>
    <xf numFmtId="10" fontId="58" fillId="0" borderId="0" xfId="2" applyNumberFormat="1" applyFont="1" applyFill="1" applyAlignment="1">
      <alignment horizontal="right"/>
    </xf>
    <xf numFmtId="9" fontId="4" fillId="0" borderId="0" xfId="2" applyFont="1" applyFill="1"/>
    <xf numFmtId="9" fontId="62" fillId="0" borderId="5" xfId="1" applyNumberFormat="1" applyFont="1" applyFill="1" applyBorder="1" applyAlignment="1">
      <alignment horizontal="right"/>
    </xf>
    <xf numFmtId="9" fontId="62" fillId="0" borderId="5" xfId="1" applyNumberFormat="1" applyFont="1" applyBorder="1" applyAlignment="1">
      <alignment horizontal="right"/>
    </xf>
    <xf numFmtId="167" fontId="71" fillId="11" borderId="0" xfId="1" applyNumberFormat="1" applyFont="1" applyFill="1" applyAlignment="1">
      <alignment horizontal="right"/>
    </xf>
    <xf numFmtId="0" fontId="58" fillId="0" borderId="23" xfId="0" applyFont="1" applyBorder="1" applyAlignment="1">
      <alignment horizontal="left" indent="2"/>
    </xf>
    <xf numFmtId="0" fontId="58" fillId="0" borderId="24" xfId="0" applyFont="1" applyBorder="1" applyAlignment="1">
      <alignment horizontal="left" indent="1"/>
    </xf>
    <xf numFmtId="9" fontId="58" fillId="0" borderId="27" xfId="2" applyFont="1" applyFill="1" applyBorder="1" applyAlignment="1">
      <alignment horizontal="right"/>
    </xf>
    <xf numFmtId="9" fontId="58" fillId="0" borderId="28" xfId="2" applyFont="1" applyFill="1" applyBorder="1" applyAlignment="1">
      <alignment horizontal="right"/>
    </xf>
    <xf numFmtId="9" fontId="58" fillId="0" borderId="27" xfId="2" applyFont="1" applyBorder="1" applyAlignment="1">
      <alignment horizontal="right"/>
    </xf>
    <xf numFmtId="9" fontId="58" fillId="0" borderId="28" xfId="2" applyFont="1" applyBorder="1" applyAlignment="1">
      <alignment horizontal="right"/>
    </xf>
    <xf numFmtId="9" fontId="62" fillId="0" borderId="0" xfId="1" applyNumberFormat="1" applyFont="1" applyFill="1" applyBorder="1" applyAlignment="1">
      <alignment horizontal="right"/>
    </xf>
    <xf numFmtId="9" fontId="62" fillId="0" borderId="0" xfId="1" applyNumberFormat="1" applyFont="1" applyBorder="1" applyAlignment="1">
      <alignment horizontal="right"/>
    </xf>
    <xf numFmtId="9" fontId="62" fillId="0" borderId="0" xfId="2" applyFont="1" applyBorder="1" applyAlignment="1">
      <alignment horizontal="right"/>
    </xf>
    <xf numFmtId="0" fontId="59" fillId="0" borderId="12" xfId="0" applyFont="1" applyBorder="1" applyAlignment="1">
      <alignment horizontal="left" indent="3"/>
    </xf>
    <xf numFmtId="0" fontId="59" fillId="0" borderId="13" xfId="0" applyFont="1" applyBorder="1" applyAlignment="1">
      <alignment horizontal="left" indent="1"/>
    </xf>
    <xf numFmtId="9" fontId="59" fillId="0" borderId="26" xfId="2" applyFont="1" applyFill="1" applyBorder="1" applyAlignment="1">
      <alignment horizontal="right"/>
    </xf>
    <xf numFmtId="9" fontId="59" fillId="0" borderId="25" xfId="2" applyFont="1" applyFill="1" applyBorder="1" applyAlignment="1">
      <alignment horizontal="right"/>
    </xf>
    <xf numFmtId="166" fontId="59" fillId="0" borderId="26" xfId="2" applyNumberFormat="1" applyFont="1" applyFill="1" applyBorder="1" applyAlignment="1">
      <alignment horizontal="right"/>
    </xf>
    <xf numFmtId="226" fontId="59" fillId="0" borderId="25" xfId="2" applyNumberFormat="1" applyFont="1" applyFill="1" applyBorder="1" applyAlignment="1">
      <alignment horizontal="right"/>
    </xf>
    <xf numFmtId="9" fontId="59" fillId="0" borderId="25" xfId="2" applyFont="1" applyBorder="1" applyAlignment="1">
      <alignment horizontal="right"/>
    </xf>
    <xf numFmtId="0" fontId="58" fillId="0" borderId="23" xfId="0" applyFont="1" applyBorder="1" applyAlignment="1">
      <alignment horizontal="left" indent="1"/>
    </xf>
    <xf numFmtId="0" fontId="71" fillId="0" borderId="0" xfId="0" applyFont="1"/>
    <xf numFmtId="0" fontId="72" fillId="0" borderId="0" xfId="0" applyFont="1" applyAlignment="1">
      <alignment horizontal="left"/>
    </xf>
    <xf numFmtId="43" fontId="58" fillId="0" borderId="0" xfId="1" applyFont="1" applyFill="1" applyBorder="1" applyAlignment="1">
      <alignment horizontal="right"/>
    </xf>
    <xf numFmtId="43" fontId="58" fillId="9" borderId="0" xfId="1" applyFont="1" applyFill="1" applyBorder="1" applyAlignment="1">
      <alignment horizontal="right"/>
    </xf>
    <xf numFmtId="9" fontId="4" fillId="0" borderId="0" xfId="2" applyFont="1"/>
    <xf numFmtId="9" fontId="58" fillId="0" borderId="6" xfId="2" applyFont="1" applyFill="1" applyBorder="1" applyAlignment="1">
      <alignment horizontal="left" indent="2"/>
    </xf>
    <xf numFmtId="9" fontId="58" fillId="0" borderId="10" xfId="2" applyFont="1" applyFill="1" applyBorder="1" applyAlignment="1">
      <alignment horizontal="left" indent="1"/>
    </xf>
    <xf numFmtId="9" fontId="59" fillId="0" borderId="8" xfId="2" applyFont="1" applyFill="1" applyBorder="1" applyAlignment="1">
      <alignment horizontal="right"/>
    </xf>
    <xf numFmtId="7" fontId="58" fillId="0" borderId="27" xfId="1" applyNumberFormat="1" applyFont="1" applyBorder="1" applyAlignment="1">
      <alignment horizontal="right"/>
    </xf>
    <xf numFmtId="7" fontId="4" fillId="0" borderId="28" xfId="1" applyNumberFormat="1" applyFont="1" applyBorder="1" applyAlignment="1">
      <alignment horizontal="right"/>
    </xf>
    <xf numFmtId="7" fontId="58" fillId="9" borderId="27" xfId="1" applyNumberFormat="1" applyFont="1" applyFill="1" applyBorder="1" applyAlignment="1">
      <alignment horizontal="right"/>
    </xf>
    <xf numFmtId="0" fontId="4" fillId="10" borderId="0" xfId="0" applyFont="1" applyFill="1"/>
    <xf numFmtId="0" fontId="58" fillId="10" borderId="3" xfId="0" applyFont="1" applyFill="1" applyBorder="1" applyAlignment="1">
      <alignment horizontal="left" indent="2"/>
    </xf>
    <xf numFmtId="0" fontId="4" fillId="10" borderId="4" xfId="0" applyFont="1" applyFill="1" applyBorder="1"/>
    <xf numFmtId="164" fontId="58" fillId="10" borderId="0" xfId="1" applyNumberFormat="1" applyFont="1" applyFill="1" applyAlignment="1">
      <alignment horizontal="right"/>
    </xf>
    <xf numFmtId="43" fontId="58" fillId="10" borderId="0" xfId="1" applyFont="1" applyFill="1" applyAlignment="1">
      <alignment horizontal="right"/>
    </xf>
    <xf numFmtId="164" fontId="58" fillId="10" borderId="5" xfId="1" applyNumberFormat="1" applyFont="1" applyFill="1" applyBorder="1" applyAlignment="1">
      <alignment horizontal="right"/>
    </xf>
    <xf numFmtId="0" fontId="4" fillId="10" borderId="4" xfId="0" applyFont="1" applyFill="1" applyBorder="1" applyAlignment="1">
      <alignment horizontal="left"/>
    </xf>
    <xf numFmtId="164" fontId="60" fillId="10" borderId="0" xfId="1" applyNumberFormat="1" applyFont="1" applyFill="1" applyAlignment="1">
      <alignment horizontal="right"/>
    </xf>
    <xf numFmtId="164" fontId="60" fillId="10" borderId="5" xfId="1" applyNumberFormat="1" applyFont="1" applyFill="1" applyBorder="1" applyAlignment="1">
      <alignment horizontal="right"/>
    </xf>
    <xf numFmtId="0" fontId="58" fillId="10" borderId="3" xfId="0" applyFont="1" applyFill="1" applyBorder="1" applyAlignment="1">
      <alignment horizontal="left" indent="1"/>
    </xf>
    <xf numFmtId="164" fontId="58" fillId="10" borderId="0" xfId="2" applyNumberFormat="1" applyFont="1" applyFill="1" applyAlignment="1">
      <alignment horizontal="right"/>
    </xf>
    <xf numFmtId="165" fontId="4" fillId="10" borderId="5" xfId="1" quotePrefix="1" applyNumberFormat="1" applyFont="1" applyFill="1" applyBorder="1" applyAlignment="1">
      <alignment horizontal="right"/>
    </xf>
    <xf numFmtId="10" fontId="4" fillId="10" borderId="5" xfId="2" quotePrefix="1" applyNumberFormat="1" applyFont="1" applyFill="1" applyBorder="1" applyAlignment="1">
      <alignment horizontal="right"/>
    </xf>
    <xf numFmtId="164" fontId="60" fillId="10" borderId="0" xfId="2" applyNumberFormat="1" applyFont="1" applyFill="1" applyAlignment="1">
      <alignment horizontal="right"/>
    </xf>
    <xf numFmtId="164" fontId="60" fillId="10" borderId="5" xfId="2" applyNumberFormat="1" applyFont="1" applyFill="1" applyBorder="1" applyAlignment="1">
      <alignment horizontal="right"/>
    </xf>
    <xf numFmtId="10" fontId="60" fillId="10" borderId="5" xfId="2" applyNumberFormat="1" applyFont="1" applyFill="1" applyBorder="1" applyAlignment="1">
      <alignment horizontal="right"/>
    </xf>
    <xf numFmtId="165" fontId="59" fillId="0" borderId="28" xfId="1" quotePrefix="1" applyNumberFormat="1" applyFont="1" applyFill="1" applyBorder="1" applyAlignment="1">
      <alignment horizontal="right"/>
    </xf>
    <xf numFmtId="166" fontId="73" fillId="0" borderId="5" xfId="2" quotePrefix="1" applyNumberFormat="1" applyFont="1" applyFill="1" applyBorder="1" applyAlignment="1">
      <alignment horizontal="right"/>
    </xf>
    <xf numFmtId="164" fontId="58" fillId="10" borderId="5" xfId="1" quotePrefix="1" applyNumberFormat="1" applyFont="1" applyFill="1" applyBorder="1" applyAlignment="1">
      <alignment horizontal="right"/>
    </xf>
    <xf numFmtId="164" fontId="52" fillId="0" borderId="5" xfId="1" quotePrefix="1" applyNumberFormat="1" applyFont="1" applyFill="1" applyBorder="1" applyAlignment="1">
      <alignment horizontal="right"/>
    </xf>
    <xf numFmtId="9" fontId="4" fillId="0" borderId="5" xfId="2" applyFont="1" applyFill="1" applyBorder="1" applyAlignment="1">
      <alignment horizontal="right"/>
    </xf>
    <xf numFmtId="7" fontId="4" fillId="0" borderId="28" xfId="1" applyNumberFormat="1" applyFont="1" applyFill="1" applyBorder="1" applyAlignment="1">
      <alignment horizontal="right"/>
    </xf>
    <xf numFmtId="0" fontId="57" fillId="0" borderId="4" xfId="0" applyFont="1" applyBorder="1" applyAlignment="1">
      <alignment horizontal="center" wrapText="1"/>
    </xf>
    <xf numFmtId="0" fontId="56" fillId="2" borderId="1" xfId="0" applyFont="1" applyFill="1" applyBorder="1" applyAlignment="1">
      <alignment horizontal="left"/>
    </xf>
    <xf numFmtId="0" fontId="56" fillId="2" borderId="11" xfId="0" applyFont="1" applyFill="1" applyBorder="1" applyAlignment="1">
      <alignment horizontal="left"/>
    </xf>
    <xf numFmtId="0" fontId="57" fillId="2" borderId="3" xfId="0" applyFont="1" applyFill="1" applyBorder="1" applyAlignment="1">
      <alignment horizontal="left"/>
    </xf>
    <xf numFmtId="0" fontId="57" fillId="2" borderId="4" xfId="0" applyFont="1" applyFill="1" applyBorder="1" applyAlignment="1">
      <alignment horizontal="left"/>
    </xf>
    <xf numFmtId="0" fontId="58" fillId="0" borderId="3" xfId="0" applyFont="1" applyBorder="1" applyAlignment="1">
      <alignment horizontal="left"/>
    </xf>
    <xf numFmtId="0" fontId="58" fillId="0" borderId="4" xfId="0" applyFont="1" applyBorder="1" applyAlignment="1">
      <alignment horizontal="left"/>
    </xf>
    <xf numFmtId="0" fontId="59" fillId="0" borderId="3" xfId="0" applyFont="1" applyBorder="1" applyAlignment="1">
      <alignment horizontal="left" indent="1"/>
    </xf>
    <xf numFmtId="0" fontId="59" fillId="0" borderId="4" xfId="0" applyFont="1" applyBorder="1" applyAlignment="1">
      <alignment horizontal="left" indent="1"/>
    </xf>
    <xf numFmtId="0" fontId="58" fillId="0" borderId="3" xfId="0" applyFont="1" applyBorder="1" applyAlignment="1">
      <alignment horizontal="left" indent="2"/>
    </xf>
    <xf numFmtId="0" fontId="58" fillId="0" borderId="4" xfId="0" applyFont="1" applyBorder="1" applyAlignment="1">
      <alignment horizontal="left" indent="2"/>
    </xf>
    <xf numFmtId="0" fontId="58" fillId="0" borderId="3" xfId="0" applyFont="1" applyBorder="1" applyAlignment="1">
      <alignment horizontal="left" indent="5"/>
    </xf>
    <xf numFmtId="0" fontId="58" fillId="0" borderId="4" xfId="0" applyFont="1" applyBorder="1" applyAlignment="1">
      <alignment horizontal="left" indent="5"/>
    </xf>
    <xf numFmtId="0" fontId="59" fillId="0" borderId="3" xfId="0" applyFont="1" applyBorder="1" applyAlignment="1">
      <alignment horizontal="left" indent="3"/>
    </xf>
    <xf numFmtId="0" fontId="59" fillId="0" borderId="4" xfId="0" applyFont="1" applyBorder="1" applyAlignment="1">
      <alignment horizontal="left" indent="3"/>
    </xf>
    <xf numFmtId="0" fontId="58" fillId="0" borderId="3" xfId="0" applyFont="1" applyBorder="1" applyAlignment="1">
      <alignment horizontal="left" indent="4"/>
    </xf>
    <xf numFmtId="0" fontId="58" fillId="0" borderId="4" xfId="0" applyFont="1" applyBorder="1" applyAlignment="1">
      <alignment horizontal="left" indent="4"/>
    </xf>
    <xf numFmtId="0" fontId="56" fillId="2" borderId="3" xfId="0" applyFont="1" applyFill="1" applyBorder="1" applyAlignment="1">
      <alignment horizontal="left"/>
    </xf>
    <xf numFmtId="0" fontId="56" fillId="2" borderId="4"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59" fillId="0" borderId="12" xfId="0" applyFont="1" applyBorder="1" applyAlignment="1">
      <alignment horizontal="left"/>
    </xf>
    <xf numFmtId="0" fontId="59" fillId="0" borderId="13" xfId="0" applyFont="1" applyBorder="1" applyAlignment="1">
      <alignment horizontal="left"/>
    </xf>
    <xf numFmtId="0" fontId="61" fillId="0" borderId="23" xfId="0" applyFont="1" applyBorder="1" applyAlignment="1">
      <alignment horizontal="left"/>
    </xf>
    <xf numFmtId="0" fontId="61" fillId="0" borderId="24" xfId="0" applyFont="1" applyBorder="1" applyAlignment="1">
      <alignment horizontal="left"/>
    </xf>
    <xf numFmtId="0" fontId="59" fillId="0" borderId="12" xfId="0" applyFont="1" applyBorder="1" applyAlignment="1">
      <alignment horizontal="left" indent="2"/>
    </xf>
    <xf numFmtId="0" fontId="59" fillId="0" borderId="13" xfId="0" applyFont="1" applyBorder="1" applyAlignment="1">
      <alignment horizontal="left" indent="2"/>
    </xf>
    <xf numFmtId="0" fontId="58" fillId="0" borderId="3" xfId="0" applyFont="1" applyBorder="1" applyAlignment="1">
      <alignment horizontal="left" indent="1"/>
    </xf>
    <xf numFmtId="0" fontId="58" fillId="0" borderId="4" xfId="0" applyFont="1" applyBorder="1" applyAlignment="1">
      <alignment horizontal="left" indent="1"/>
    </xf>
    <xf numFmtId="0" fontId="0" fillId="0" borderId="3" xfId="0" applyBorder="1" applyAlignment="1">
      <alignment horizontal="left"/>
    </xf>
    <xf numFmtId="0" fontId="1" fillId="0" borderId="4" xfId="0" applyFont="1" applyBorder="1" applyAlignment="1">
      <alignment horizontal="left"/>
    </xf>
    <xf numFmtId="0" fontId="58" fillId="0" borderId="23" xfId="0" applyFont="1" applyBorder="1" applyAlignment="1">
      <alignment horizontal="left"/>
    </xf>
    <xf numFmtId="0" fontId="58" fillId="0" borderId="24" xfId="0" applyFont="1" applyBorder="1" applyAlignment="1">
      <alignment horizontal="left"/>
    </xf>
    <xf numFmtId="0" fontId="0" fillId="0" borderId="23" xfId="0" applyBorder="1" applyAlignment="1">
      <alignment horizontal="left"/>
    </xf>
    <xf numFmtId="0" fontId="1" fillId="0" borderId="24" xfId="0" applyFont="1" applyBorder="1" applyAlignment="1">
      <alignment horizontal="left"/>
    </xf>
    <xf numFmtId="0" fontId="0" fillId="0" borderId="12" xfId="0" applyBorder="1" applyAlignment="1">
      <alignment horizontal="left"/>
    </xf>
    <xf numFmtId="0" fontId="1" fillId="0" borderId="13" xfId="0" applyFont="1" applyBorder="1" applyAlignment="1">
      <alignment horizontal="left"/>
    </xf>
  </cellXfs>
  <cellStyles count="336">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 2" xfId="333" xr:uid="{E830FEE5-BF3D-4B9F-89C3-BE51D3EB55EA}"/>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ps 2" xfId="332" xr:uid="{E6BF08FD-99B4-4E49-8935-B8E309BE0144}"/>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5" xfId="331" xr:uid="{C5860A2B-F2DD-4D6C-8B91-584D6ED375E4}"/>
    <cellStyle name="Heading No Underline" xfId="203" xr:uid="{00000000-0005-0000-0000-0000C7000000}"/>
    <cellStyle name="Heading With Underline" xfId="204" xr:uid="{00000000-0005-0000-0000-0000C8000000}"/>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0" xr:uid="{401671C4-C6A2-4732-BC1D-7DED4CDB8213}"/>
    <cellStyle name="Normal 141" xfId="329"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3 2" xfId="334" xr:uid="{F1440C57-A6D8-4BD0-B522-EFC58E8B070F}"/>
    <cellStyle name="Style 4" xfId="311" xr:uid="{00000000-0005-0000-0000-000038010000}"/>
    <cellStyle name="Style 4 2" xfId="335" xr:uid="{F8DD9E7D-3CD1-4B00-B4A6-2016D636B95A}"/>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DD47-4359-993F-738A6F4082E1}"/>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 Id="rId5" Type="http://schemas.openxmlformats.org/officeDocument/2006/relationships/image" Target="../media/image5.tmp"/><Relationship Id="rId4" Type="http://schemas.openxmlformats.org/officeDocument/2006/relationships/image" Target="../media/image4.tmp"/></Relationships>
</file>

<file path=xl/drawings/drawing1.xml><?xml version="1.0" encoding="utf-8"?>
<xdr:wsDr xmlns:xdr="http://schemas.openxmlformats.org/drawingml/2006/spreadsheetDrawing" xmlns:a="http://schemas.openxmlformats.org/drawingml/2006/main">
  <xdr:twoCellAnchor>
    <xdr:from>
      <xdr:col>1</xdr:col>
      <xdr:colOff>236802</xdr:colOff>
      <xdr:row>38</xdr:row>
      <xdr:rowOff>0</xdr:rowOff>
    </xdr:from>
    <xdr:to>
      <xdr:col>3</xdr:col>
      <xdr:colOff>0</xdr:colOff>
      <xdr:row>38</xdr:row>
      <xdr:rowOff>0</xdr:rowOff>
    </xdr:to>
    <xdr:graphicFrame macro="">
      <xdr:nvGraphicFramePr>
        <xdr:cNvPr id="5" name="Chart 4">
          <a:extLst>
            <a:ext uri="{FF2B5EF4-FFF2-40B4-BE49-F238E27FC236}">
              <a16:creationId xmlns:a16="http://schemas.microsoft.com/office/drawing/2014/main" id="{6B9BA363-6D51-4C5A-8B2C-5A9A03E89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208551</xdr:colOff>
      <xdr:row>7</xdr:row>
      <xdr:rowOff>57150</xdr:rowOff>
    </xdr:from>
    <xdr:to>
      <xdr:col>17</xdr:col>
      <xdr:colOff>362120</xdr:colOff>
      <xdr:row>31</xdr:row>
      <xdr:rowOff>38100</xdr:rowOff>
    </xdr:to>
    <xdr:pic>
      <xdr:nvPicPr>
        <xdr:cNvPr id="2" name="Picture 1">
          <a:extLst>
            <a:ext uri="{FF2B5EF4-FFF2-40B4-BE49-F238E27FC236}">
              <a16:creationId xmlns:a16="http://schemas.microsoft.com/office/drawing/2014/main" id="{F7CADE78-960B-4DAF-BB71-DEEB8FD7A0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551" y="1390650"/>
          <a:ext cx="10516769" cy="4552950"/>
        </a:xfrm>
        <a:prstGeom prst="rect">
          <a:avLst/>
        </a:prstGeom>
      </xdr:spPr>
    </xdr:pic>
    <xdr:clientData/>
  </xdr:twoCellAnchor>
  <xdr:twoCellAnchor editAs="oneCell">
    <xdr:from>
      <xdr:col>0</xdr:col>
      <xdr:colOff>76200</xdr:colOff>
      <xdr:row>31</xdr:row>
      <xdr:rowOff>15821</xdr:rowOff>
    </xdr:from>
    <xdr:to>
      <xdr:col>17</xdr:col>
      <xdr:colOff>259330</xdr:colOff>
      <xdr:row>42</xdr:row>
      <xdr:rowOff>123825</xdr:rowOff>
    </xdr:to>
    <xdr:pic>
      <xdr:nvPicPr>
        <xdr:cNvPr id="3" name="Picture 2">
          <a:extLst>
            <a:ext uri="{FF2B5EF4-FFF2-40B4-BE49-F238E27FC236}">
              <a16:creationId xmlns:a16="http://schemas.microsoft.com/office/drawing/2014/main" id="{81FDD595-FA99-485B-BD80-53F44B2EEB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 y="5921321"/>
          <a:ext cx="10546330" cy="2203504"/>
        </a:xfrm>
        <a:prstGeom prst="rect">
          <a:avLst/>
        </a:prstGeom>
      </xdr:spPr>
    </xdr:pic>
    <xdr:clientData/>
  </xdr:twoCellAnchor>
  <xdr:twoCellAnchor editAs="oneCell">
    <xdr:from>
      <xdr:col>17</xdr:col>
      <xdr:colOff>544098</xdr:colOff>
      <xdr:row>4</xdr:row>
      <xdr:rowOff>19050</xdr:rowOff>
    </xdr:from>
    <xdr:to>
      <xdr:col>36</xdr:col>
      <xdr:colOff>314325</xdr:colOff>
      <xdr:row>29</xdr:row>
      <xdr:rowOff>15892</xdr:rowOff>
    </xdr:to>
    <xdr:pic>
      <xdr:nvPicPr>
        <xdr:cNvPr id="4" name="Picture 3">
          <a:extLst>
            <a:ext uri="{FF2B5EF4-FFF2-40B4-BE49-F238E27FC236}">
              <a16:creationId xmlns:a16="http://schemas.microsoft.com/office/drawing/2014/main" id="{5FFAC0E3-BEDB-4638-8797-B0C2771166D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907298" y="781050"/>
          <a:ext cx="11352627" cy="4759342"/>
        </a:xfrm>
        <a:prstGeom prst="rect">
          <a:avLst/>
        </a:prstGeom>
      </xdr:spPr>
    </xdr:pic>
    <xdr:clientData/>
  </xdr:twoCellAnchor>
  <xdr:twoCellAnchor editAs="oneCell">
    <xdr:from>
      <xdr:col>17</xdr:col>
      <xdr:colOff>571499</xdr:colOff>
      <xdr:row>28</xdr:row>
      <xdr:rowOff>119881</xdr:rowOff>
    </xdr:from>
    <xdr:to>
      <xdr:col>38</xdr:col>
      <xdr:colOff>4654</xdr:colOff>
      <xdr:row>32</xdr:row>
      <xdr:rowOff>66675</xdr:rowOff>
    </xdr:to>
    <xdr:pic>
      <xdr:nvPicPr>
        <xdr:cNvPr id="5" name="Picture 4">
          <a:extLst>
            <a:ext uri="{FF2B5EF4-FFF2-40B4-BE49-F238E27FC236}">
              <a16:creationId xmlns:a16="http://schemas.microsoft.com/office/drawing/2014/main" id="{855CC9EF-4246-453E-BD3B-2E2968034E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934699" y="5453881"/>
          <a:ext cx="12234755" cy="708794"/>
        </a:xfrm>
        <a:prstGeom prst="rect">
          <a:avLst/>
        </a:prstGeom>
      </xdr:spPr>
    </xdr:pic>
    <xdr:clientData/>
  </xdr:twoCellAnchor>
  <xdr:twoCellAnchor editAs="oneCell">
    <xdr:from>
      <xdr:col>18</xdr:col>
      <xdr:colOff>0</xdr:colOff>
      <xdr:row>32</xdr:row>
      <xdr:rowOff>45318</xdr:rowOff>
    </xdr:from>
    <xdr:to>
      <xdr:col>36</xdr:col>
      <xdr:colOff>583023</xdr:colOff>
      <xdr:row>48</xdr:row>
      <xdr:rowOff>95786</xdr:rowOff>
    </xdr:to>
    <xdr:pic>
      <xdr:nvPicPr>
        <xdr:cNvPr id="6" name="Picture 5">
          <a:extLst>
            <a:ext uri="{FF2B5EF4-FFF2-40B4-BE49-F238E27FC236}">
              <a16:creationId xmlns:a16="http://schemas.microsoft.com/office/drawing/2014/main" id="{160018C3-BA0D-48F6-92D3-6DA9FD934EB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972800" y="6141318"/>
          <a:ext cx="11555823" cy="30984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BA3A6-E715-416D-A73C-2EF0D0FA94F1}">
  <sheetPr>
    <pageSetUpPr fitToPage="1"/>
  </sheetPr>
  <dimension ref="A1:AV316"/>
  <sheetViews>
    <sheetView showGridLines="0" tabSelected="1" zoomScaleNormal="100" workbookViewId="0">
      <pane xSplit="3" ySplit="4" topLeftCell="D5" activePane="bottomRight" state="frozen"/>
      <selection pane="topRight" activeCell="D1" sqref="D1"/>
      <selection pane="bottomLeft" activeCell="A4" sqref="A4"/>
      <selection pane="bottomRight" activeCell="B3" sqref="B3:C3"/>
    </sheetView>
  </sheetViews>
  <sheetFormatPr defaultColWidth="8.89453125" defaultRowHeight="14.4" outlineLevelRow="1" outlineLevelCol="1" x14ac:dyDescent="0.55000000000000004"/>
  <cols>
    <col min="1" max="1" width="2" style="2" customWidth="1"/>
    <col min="2" max="2" width="39" style="2" customWidth="1"/>
    <col min="3" max="3" width="11.7890625" style="2" customWidth="1"/>
    <col min="4" max="5" width="11.5234375" style="1" customWidth="1" outlineLevel="1"/>
    <col min="6" max="7" width="11.5234375" style="3" customWidth="1" outlineLevel="1"/>
    <col min="8" max="8" width="11.5234375" style="3" customWidth="1"/>
    <col min="9" max="10" width="11.5234375" style="1" customWidth="1" outlineLevel="1"/>
    <col min="11" max="12" width="11.5234375" style="3" customWidth="1" outlineLevel="1"/>
    <col min="13" max="13" width="11.5234375" style="3" customWidth="1"/>
    <col min="14" max="15" width="11.5234375" style="1" customWidth="1" outlineLevel="1"/>
    <col min="16" max="17" width="11.5234375" style="3" customWidth="1" outlineLevel="1"/>
    <col min="18" max="18" width="11.5234375" style="3" customWidth="1"/>
    <col min="19" max="20" width="11.5234375" style="1" customWidth="1" outlineLevel="1"/>
    <col min="21" max="22" width="11.5234375" style="3" customWidth="1" outlineLevel="1"/>
    <col min="23" max="23" width="11.5234375" style="3" customWidth="1"/>
    <col min="24" max="25" width="11.5234375" style="1" customWidth="1" outlineLevel="1"/>
    <col min="26" max="27" width="11.5234375" style="3" customWidth="1" outlineLevel="1"/>
    <col min="28" max="28" width="11.5234375" style="3" customWidth="1"/>
    <col min="29" max="30" width="11.5234375" style="1" customWidth="1" outlineLevel="1"/>
    <col min="31" max="32" width="11.5234375" style="3" customWidth="1" outlineLevel="1"/>
    <col min="33" max="33" width="11.5234375" style="3" customWidth="1"/>
    <col min="34" max="35" width="11.5234375" style="1" customWidth="1" outlineLevel="1"/>
    <col min="36" max="37" width="11.5234375" style="3" customWidth="1" outlineLevel="1"/>
    <col min="38" max="38" width="11.5234375" style="3" customWidth="1"/>
    <col min="39" max="40" width="11.5234375" style="1" customWidth="1" outlineLevel="1"/>
    <col min="41" max="42" width="11.5234375" style="3" customWidth="1" outlineLevel="1"/>
    <col min="43" max="43" width="11.5234375" style="3" customWidth="1"/>
    <col min="44" max="45" width="11.5234375" style="1" customWidth="1" outlineLevel="1"/>
    <col min="46" max="47" width="11.5234375" style="3" customWidth="1" outlineLevel="1"/>
    <col min="48" max="48" width="11.5234375" style="3" customWidth="1"/>
    <col min="49" max="16384" width="8.89453125" style="2"/>
  </cols>
  <sheetData>
    <row r="1" spans="1:48" ht="16.2" customHeight="1" x14ac:dyDescent="0.55000000000000004">
      <c r="B1" s="248"/>
      <c r="D1" s="45"/>
      <c r="E1" s="150"/>
      <c r="F1" s="150"/>
      <c r="G1" s="150"/>
      <c r="H1" s="150"/>
      <c r="I1" s="227"/>
      <c r="J1" s="227"/>
      <c r="K1" s="227"/>
      <c r="L1" s="227"/>
      <c r="M1" s="163"/>
      <c r="N1" s="227"/>
      <c r="O1" s="227"/>
      <c r="P1" s="227"/>
      <c r="Q1" s="227"/>
      <c r="R1" s="196"/>
      <c r="S1" s="227"/>
      <c r="T1" s="227"/>
      <c r="U1" s="227"/>
      <c r="V1" s="227"/>
      <c r="W1" s="196"/>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row>
    <row r="2" spans="1:48" ht="5.4" customHeight="1" x14ac:dyDescent="0.55000000000000004">
      <c r="B2" s="99"/>
      <c r="D2" s="45"/>
      <c r="E2" s="150"/>
      <c r="F2" s="150"/>
      <c r="G2" s="150"/>
      <c r="H2" s="150"/>
      <c r="I2" s="227"/>
      <c r="J2" s="227"/>
      <c r="K2" s="227"/>
      <c r="L2" s="227"/>
      <c r="M2" s="163"/>
      <c r="N2" s="227"/>
      <c r="O2" s="227"/>
      <c r="P2" s="227"/>
      <c r="Q2" s="227"/>
      <c r="R2" s="196"/>
      <c r="S2" s="227"/>
      <c r="T2" s="227"/>
      <c r="U2" s="227"/>
      <c r="V2" s="227"/>
      <c r="W2" s="196"/>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row>
    <row r="3" spans="1:48" ht="15.6" x14ac:dyDescent="0.6">
      <c r="A3" s="281"/>
      <c r="B3" s="282" t="s">
        <v>18</v>
      </c>
      <c r="C3" s="283"/>
      <c r="D3" s="13" t="s">
        <v>15</v>
      </c>
      <c r="E3" s="13" t="s">
        <v>82</v>
      </c>
      <c r="F3" s="13" t="s">
        <v>84</v>
      </c>
      <c r="G3" s="13" t="s">
        <v>148</v>
      </c>
      <c r="H3" s="39" t="s">
        <v>148</v>
      </c>
      <c r="I3" s="13" t="s">
        <v>147</v>
      </c>
      <c r="J3" s="13" t="s">
        <v>146</v>
      </c>
      <c r="K3" s="13" t="s">
        <v>145</v>
      </c>
      <c r="L3" s="13" t="s">
        <v>142</v>
      </c>
      <c r="M3" s="39" t="s">
        <v>142</v>
      </c>
      <c r="N3" s="13" t="s">
        <v>149</v>
      </c>
      <c r="O3" s="13" t="s">
        <v>157</v>
      </c>
      <c r="P3" s="13" t="s">
        <v>159</v>
      </c>
      <c r="Q3" s="13" t="s">
        <v>172</v>
      </c>
      <c r="R3" s="39" t="s">
        <v>172</v>
      </c>
      <c r="S3" s="13" t="s">
        <v>188</v>
      </c>
      <c r="T3" s="13" t="s">
        <v>191</v>
      </c>
      <c r="U3" s="13" t="s">
        <v>204</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161</v>
      </c>
      <c r="AN3" s="15" t="s">
        <v>162</v>
      </c>
      <c r="AO3" s="15" t="s">
        <v>163</v>
      </c>
      <c r="AP3" s="15" t="s">
        <v>164</v>
      </c>
      <c r="AQ3" s="41" t="s">
        <v>164</v>
      </c>
      <c r="AR3" s="15" t="s">
        <v>192</v>
      </c>
      <c r="AS3" s="15" t="s">
        <v>193</v>
      </c>
      <c r="AT3" s="15" t="s">
        <v>194</v>
      </c>
      <c r="AU3" s="15" t="s">
        <v>195</v>
      </c>
      <c r="AV3" s="41" t="s">
        <v>195</v>
      </c>
    </row>
    <row r="4" spans="1:48" ht="17.55" customHeight="1" x14ac:dyDescent="0.85">
      <c r="A4" s="281"/>
      <c r="B4" s="284" t="s">
        <v>3</v>
      </c>
      <c r="C4" s="285"/>
      <c r="D4" s="14" t="s">
        <v>19</v>
      </c>
      <c r="E4" s="14" t="s">
        <v>81</v>
      </c>
      <c r="F4" s="14" t="s">
        <v>85</v>
      </c>
      <c r="G4" s="14" t="s">
        <v>95</v>
      </c>
      <c r="H4" s="40" t="s">
        <v>96</v>
      </c>
      <c r="I4" s="14" t="s">
        <v>97</v>
      </c>
      <c r="J4" s="14" t="s">
        <v>98</v>
      </c>
      <c r="K4" s="14" t="s">
        <v>99</v>
      </c>
      <c r="L4" s="14" t="s">
        <v>143</v>
      </c>
      <c r="M4" s="40" t="s">
        <v>144</v>
      </c>
      <c r="N4" s="14" t="s">
        <v>150</v>
      </c>
      <c r="O4" s="14" t="s">
        <v>158</v>
      </c>
      <c r="P4" s="14" t="s">
        <v>160</v>
      </c>
      <c r="Q4" s="14" t="s">
        <v>173</v>
      </c>
      <c r="R4" s="40" t="s">
        <v>174</v>
      </c>
      <c r="S4" s="14" t="s">
        <v>189</v>
      </c>
      <c r="T4" s="14" t="s">
        <v>190</v>
      </c>
      <c r="U4" s="14" t="s">
        <v>205</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165</v>
      </c>
      <c r="AN4" s="12" t="s">
        <v>166</v>
      </c>
      <c r="AO4" s="12" t="s">
        <v>167</v>
      </c>
      <c r="AP4" s="12" t="s">
        <v>168</v>
      </c>
      <c r="AQ4" s="42" t="s">
        <v>169</v>
      </c>
      <c r="AR4" s="12" t="s">
        <v>196</v>
      </c>
      <c r="AS4" s="12" t="s">
        <v>197</v>
      </c>
      <c r="AT4" s="12" t="s">
        <v>198</v>
      </c>
      <c r="AU4" s="12" t="s">
        <v>199</v>
      </c>
      <c r="AV4" s="42" t="s">
        <v>200</v>
      </c>
    </row>
    <row r="5" spans="1:48" outlineLevel="1" x14ac:dyDescent="0.55000000000000004">
      <c r="B5" s="286" t="s">
        <v>101</v>
      </c>
      <c r="C5" s="287"/>
      <c r="D5" s="105">
        <v>5370.3</v>
      </c>
      <c r="E5" s="105">
        <v>5159</v>
      </c>
      <c r="F5" s="105">
        <v>5535</v>
      </c>
      <c r="G5" s="105">
        <f>H5-F5-E5-D5</f>
        <v>5480.1000000000013</v>
      </c>
      <c r="H5" s="171">
        <v>21544.400000000001</v>
      </c>
      <c r="I5" s="105">
        <v>5780.7</v>
      </c>
      <c r="J5" s="105">
        <v>4766</v>
      </c>
      <c r="K5" s="105">
        <v>3444.4</v>
      </c>
      <c r="L5" s="105">
        <v>5173.6000000000004</v>
      </c>
      <c r="M5" s="49">
        <f>SUM(I5:L5)</f>
        <v>19164.7</v>
      </c>
      <c r="N5" s="48">
        <v>5726.5</v>
      </c>
      <c r="O5" s="48">
        <v>5653.1</v>
      </c>
      <c r="P5" s="48">
        <v>6363.1</v>
      </c>
      <c r="Q5" s="105">
        <v>6864.3</v>
      </c>
      <c r="R5" s="49">
        <f>SUM(N5:Q5)</f>
        <v>24607</v>
      </c>
      <c r="S5" s="48">
        <v>6722.4</v>
      </c>
      <c r="T5" s="48">
        <v>6276.7</v>
      </c>
      <c r="U5" s="48">
        <v>6675.5</v>
      </c>
      <c r="V5" s="48">
        <f>+V45+V78</f>
        <v>6746.862000000001</v>
      </c>
      <c r="W5" s="49">
        <f>SUM(S5:V5)</f>
        <v>26421.462</v>
      </c>
      <c r="X5" s="48">
        <f>+X45+X78</f>
        <v>6819.518</v>
      </c>
      <c r="Y5" s="48">
        <f>+Y45+Y78</f>
        <v>6892.1740000000009</v>
      </c>
      <c r="Z5" s="48">
        <f>+Z45+Z78</f>
        <v>6964.8300000000008</v>
      </c>
      <c r="AA5" s="48">
        <f>+AA45+AA78</f>
        <v>7037.4860000000008</v>
      </c>
      <c r="AB5" s="49">
        <f>SUM(X5:AA5)</f>
        <v>27714.008000000002</v>
      </c>
      <c r="AC5" s="48">
        <f>+AC45+AC78</f>
        <v>7110.1419999999998</v>
      </c>
      <c r="AD5" s="48">
        <f>+AD45+AD78</f>
        <v>7182.7980000000007</v>
      </c>
      <c r="AE5" s="48">
        <f>+AE45+AE78</f>
        <v>7255.4540000000006</v>
      </c>
      <c r="AF5" s="48">
        <f>+AF45+AF78</f>
        <v>7328.1100000000006</v>
      </c>
      <c r="AG5" s="49">
        <f>SUM(AC5:AF5)</f>
        <v>28876.504000000001</v>
      </c>
      <c r="AH5" s="48">
        <f>+AH45+AH78</f>
        <v>7400.7660000000005</v>
      </c>
      <c r="AI5" s="48">
        <f>+AI45+AI78</f>
        <v>7473.4220000000005</v>
      </c>
      <c r="AJ5" s="48">
        <f>+AJ45+AJ78</f>
        <v>7546.0780000000004</v>
      </c>
      <c r="AK5" s="48">
        <f>+AK45+AK78</f>
        <v>7618.7340000000004</v>
      </c>
      <c r="AL5" s="49">
        <f>SUM(AH5:AK5)</f>
        <v>30039.000000000004</v>
      </c>
      <c r="AM5" s="48">
        <f>+AM45+AM78</f>
        <v>7691.39</v>
      </c>
      <c r="AN5" s="48">
        <f>+AN45+AN78</f>
        <v>7764.0460000000003</v>
      </c>
      <c r="AO5" s="48">
        <f>+AO45+AO78</f>
        <v>7836.7020000000002</v>
      </c>
      <c r="AP5" s="48">
        <f>+AP45+AP78</f>
        <v>7909.3580000000002</v>
      </c>
      <c r="AQ5" s="49">
        <f>SUM(AM5:AP5)</f>
        <v>31201.496000000003</v>
      </c>
      <c r="AR5" s="48">
        <f>+AR45+AR78</f>
        <v>7982.0140000000001</v>
      </c>
      <c r="AS5" s="48">
        <f>+AS45+AS78</f>
        <v>8054.67</v>
      </c>
      <c r="AT5" s="48">
        <f>+AT45+AT78</f>
        <v>8127.3260000000009</v>
      </c>
      <c r="AU5" s="48">
        <f>+AU45+AU78</f>
        <v>8199.982</v>
      </c>
      <c r="AV5" s="49">
        <f>SUM(AR5:AU5)</f>
        <v>32363.992000000002</v>
      </c>
    </row>
    <row r="6" spans="1:48" outlineLevel="1" x14ac:dyDescent="0.55000000000000004">
      <c r="B6" s="286" t="s">
        <v>102</v>
      </c>
      <c r="C6" s="287"/>
      <c r="D6" s="105">
        <v>737.1</v>
      </c>
      <c r="E6" s="105">
        <v>678.2</v>
      </c>
      <c r="F6" s="105">
        <v>725</v>
      </c>
      <c r="G6" s="105">
        <f t="shared" ref="G6:G16" si="0">H6-F6-E6-D6</f>
        <v>734.69999999999993</v>
      </c>
      <c r="H6" s="171">
        <v>2875</v>
      </c>
      <c r="I6" s="105">
        <v>792</v>
      </c>
      <c r="J6" s="105">
        <v>689.8</v>
      </c>
      <c r="K6" s="105">
        <v>300.5</v>
      </c>
      <c r="L6" s="48">
        <v>544.6</v>
      </c>
      <c r="M6" s="49">
        <f t="shared" ref="M6:M7" si="1">SUM(I6:L6)</f>
        <v>2326.9</v>
      </c>
      <c r="N6" s="48">
        <v>613.79999999999995</v>
      </c>
      <c r="O6" s="48">
        <v>595</v>
      </c>
      <c r="P6" s="48">
        <v>680.2</v>
      </c>
      <c r="Q6" s="105">
        <v>794.5</v>
      </c>
      <c r="R6" s="49">
        <f>SUM(N6:Q6)</f>
        <v>2683.5</v>
      </c>
      <c r="S6" s="48">
        <v>850.8</v>
      </c>
      <c r="T6" s="48">
        <v>849.5</v>
      </c>
      <c r="U6" s="48">
        <v>956.8</v>
      </c>
      <c r="V6" s="48">
        <f>+V54+V87</f>
        <v>965.82500000000005</v>
      </c>
      <c r="W6" s="49">
        <f t="shared" ref="W6:W7" si="2">SUM(S6:V6)</f>
        <v>3622.9250000000002</v>
      </c>
      <c r="X6" s="48">
        <f>+X54+X87</f>
        <v>970.63300000000004</v>
      </c>
      <c r="Y6" s="48">
        <f>+Y54+Y87</f>
        <v>975.44100000000003</v>
      </c>
      <c r="Z6" s="48">
        <f>+Z54+Z87</f>
        <v>980.24900000000002</v>
      </c>
      <c r="AA6" s="48">
        <f>+AA54+AA87</f>
        <v>985.05700000000002</v>
      </c>
      <c r="AB6" s="49">
        <f t="shared" ref="AB6:AB7" si="3">SUM(X6:AA6)</f>
        <v>3911.38</v>
      </c>
      <c r="AC6" s="48">
        <f>+AC54+AC87</f>
        <v>989.86500000000001</v>
      </c>
      <c r="AD6" s="48">
        <f>+AD54+AD87</f>
        <v>994.673</v>
      </c>
      <c r="AE6" s="48">
        <f>+AE54+AE87</f>
        <v>999.48099999999999</v>
      </c>
      <c r="AF6" s="48">
        <f>+AF54+AF87</f>
        <v>1004.289</v>
      </c>
      <c r="AG6" s="49">
        <f t="shared" ref="AG6:AG7" si="4">SUM(AC6:AF6)</f>
        <v>3988.308</v>
      </c>
      <c r="AH6" s="48">
        <f>+AH54+AH87</f>
        <v>1009.0970000000001</v>
      </c>
      <c r="AI6" s="48">
        <f>+AI54+AI87</f>
        <v>1013.905</v>
      </c>
      <c r="AJ6" s="48">
        <f>+AJ54+AJ87</f>
        <v>1018.713</v>
      </c>
      <c r="AK6" s="48">
        <f>+AK54+AK87</f>
        <v>1023.521</v>
      </c>
      <c r="AL6" s="49">
        <f t="shared" ref="AL6:AL7" si="5">SUM(AH6:AK6)</f>
        <v>4065.2359999999999</v>
      </c>
      <c r="AM6" s="48">
        <f>+AM54+AM87</f>
        <v>1028.3290000000002</v>
      </c>
      <c r="AN6" s="48">
        <f>+AN54+AN87</f>
        <v>1033.1369999999999</v>
      </c>
      <c r="AO6" s="48">
        <f>+AO54+AO87</f>
        <v>1037.9449999999999</v>
      </c>
      <c r="AP6" s="48">
        <f>+AP54+AP87</f>
        <v>1042.7529999999999</v>
      </c>
      <c r="AQ6" s="49">
        <f t="shared" ref="AQ6:AQ7" si="6">SUM(AM6:AP6)</f>
        <v>4142.1639999999998</v>
      </c>
      <c r="AR6" s="48">
        <f>+AR54+AR87</f>
        <v>1047.5610000000001</v>
      </c>
      <c r="AS6" s="48">
        <f>+AS54+AS87</f>
        <v>1052.3690000000001</v>
      </c>
      <c r="AT6" s="48">
        <f>+AT54+AT87</f>
        <v>1057.1769999999999</v>
      </c>
      <c r="AU6" s="48">
        <f>+AU54+AU87</f>
        <v>1061.9850000000001</v>
      </c>
      <c r="AV6" s="49">
        <f t="shared" ref="AV6:AV7" si="7">SUM(AR6:AU6)</f>
        <v>4219.0920000000006</v>
      </c>
    </row>
    <row r="7" spans="1:48" ht="16.2" outlineLevel="1" x14ac:dyDescent="0.85">
      <c r="B7" s="286" t="s">
        <v>103</v>
      </c>
      <c r="C7" s="287"/>
      <c r="D7" s="104">
        <v>525.29999999999995</v>
      </c>
      <c r="E7" s="104">
        <v>468.7</v>
      </c>
      <c r="F7" s="104">
        <v>563</v>
      </c>
      <c r="G7" s="104">
        <f t="shared" si="0"/>
        <v>532.19999999999982</v>
      </c>
      <c r="H7" s="174">
        <v>2089.1999999999998</v>
      </c>
      <c r="I7" s="104">
        <v>524.4</v>
      </c>
      <c r="J7" s="104">
        <v>539.9</v>
      </c>
      <c r="K7" s="104">
        <v>477.2</v>
      </c>
      <c r="L7" s="52">
        <v>484.9</v>
      </c>
      <c r="M7" s="53">
        <f t="shared" si="1"/>
        <v>2026.4</v>
      </c>
      <c r="N7" s="52">
        <v>409.1</v>
      </c>
      <c r="O7" s="52">
        <v>419.9</v>
      </c>
      <c r="P7" s="52">
        <v>453.2</v>
      </c>
      <c r="Q7" s="104">
        <v>487.9</v>
      </c>
      <c r="R7" s="53">
        <f>SUM(N7:Q7)</f>
        <v>1770.1</v>
      </c>
      <c r="S7" s="52">
        <v>477.2</v>
      </c>
      <c r="T7" s="52">
        <v>509.4</v>
      </c>
      <c r="U7" s="52">
        <v>517.79999999999995</v>
      </c>
      <c r="V7" s="52">
        <f>+V55+V88+V108+V123</f>
        <v>557.06599999999992</v>
      </c>
      <c r="W7" s="174">
        <f t="shared" si="2"/>
        <v>2061.4659999999999</v>
      </c>
      <c r="X7" s="52">
        <f>+X55+X88+X108+X123</f>
        <v>537.72199999999998</v>
      </c>
      <c r="Y7" s="52">
        <f>+Y55+Y88+Y108+Y123</f>
        <v>580.69099999999992</v>
      </c>
      <c r="Z7" s="52">
        <f>+Z55+Z88+Z108+Z123</f>
        <v>595.50099999999998</v>
      </c>
      <c r="AA7" s="52">
        <f>+AA55+AA88+AA108+AA123</f>
        <v>639.90561999999989</v>
      </c>
      <c r="AB7" s="53">
        <f t="shared" si="3"/>
        <v>2353.8196199999998</v>
      </c>
      <c r="AC7" s="52">
        <f>+AC55+AC88+AC108+AC123</f>
        <v>612.44533999999987</v>
      </c>
      <c r="AD7" s="52">
        <f>+AD55+AD88+AD108+AD123</f>
        <v>666.4079099999999</v>
      </c>
      <c r="AE7" s="52">
        <f>+AE55+AE88+AE108+AE123</f>
        <v>687.06098999999983</v>
      </c>
      <c r="AF7" s="52">
        <f>+AF55+AF88+AF108+AF123</f>
        <v>737.71634899999992</v>
      </c>
      <c r="AG7" s="53">
        <f t="shared" si="4"/>
        <v>2703.6305889999994</v>
      </c>
      <c r="AH7" s="52">
        <f>+AH55+AH88+AH108+AH123</f>
        <v>702.23203999999987</v>
      </c>
      <c r="AI7" s="52">
        <f>+AI55+AI88+AI108+AI123</f>
        <v>767.84611909999978</v>
      </c>
      <c r="AJ7" s="52">
        <f>+AJ55+AJ88+AJ108+AJ123</f>
        <v>794.2190652999999</v>
      </c>
      <c r="AK7" s="52">
        <f>+AK55+AK88+AK108+AK123</f>
        <v>852.32423199399989</v>
      </c>
      <c r="AL7" s="53">
        <f t="shared" si="5"/>
        <v>3116.6214563939993</v>
      </c>
      <c r="AM7" s="52">
        <f>+AM55+AM88+AM108+AM123</f>
        <v>808.54770873799987</v>
      </c>
      <c r="AN7" s="52">
        <f>+AN55+AN88+AN108+AN123</f>
        <v>886.87049711099974</v>
      </c>
      <c r="AO7" s="52">
        <f>+AO55+AO88+AO108+AO123</f>
        <v>919.15709923499981</v>
      </c>
      <c r="AP7" s="52">
        <f>+AP55+AP88+AP108+AP123</f>
        <v>986.03959874545978</v>
      </c>
      <c r="AQ7" s="53">
        <f t="shared" si="6"/>
        <v>3600.6149038294593</v>
      </c>
      <c r="AR7" s="52">
        <f>+AR55+AR88+AR108+AR123</f>
        <v>933.38838990031979</v>
      </c>
      <c r="AS7" s="52">
        <f>+AS55+AS88+AS108+AS123</f>
        <v>1025.8628266159096</v>
      </c>
      <c r="AT7" s="52">
        <f>+AT55+AT88+AT108+AT123</f>
        <v>1064.5068045306095</v>
      </c>
      <c r="AU7" s="52">
        <f>+AU55+AU88+AU108+AU123</f>
        <v>1141.6613030278997</v>
      </c>
      <c r="AV7" s="53">
        <f t="shared" si="7"/>
        <v>4165.4193240747381</v>
      </c>
    </row>
    <row r="8" spans="1:48" s="8" customFormat="1" x14ac:dyDescent="0.55000000000000004">
      <c r="B8" s="288" t="s">
        <v>104</v>
      </c>
      <c r="C8" s="289"/>
      <c r="D8" s="103">
        <f t="shared" ref="D8:AB8" si="8">SUM(D5:D7)</f>
        <v>6632.7000000000007</v>
      </c>
      <c r="E8" s="103">
        <f t="shared" si="8"/>
        <v>6305.9</v>
      </c>
      <c r="F8" s="103">
        <f t="shared" si="8"/>
        <v>6823</v>
      </c>
      <c r="G8" s="103">
        <f t="shared" si="8"/>
        <v>6747.0000000000009</v>
      </c>
      <c r="H8" s="172">
        <f t="shared" si="8"/>
        <v>26508.600000000002</v>
      </c>
      <c r="I8" s="103">
        <f>SUM(I5:I7)</f>
        <v>7097.0999999999995</v>
      </c>
      <c r="J8" s="103">
        <f>SUM(J5:J7)</f>
        <v>5995.7</v>
      </c>
      <c r="K8" s="103">
        <f>SUM(K5:K7)</f>
        <v>4222.1000000000004</v>
      </c>
      <c r="L8" s="103">
        <f>SUM(L5:L7)</f>
        <v>6203.1</v>
      </c>
      <c r="M8" s="172">
        <f t="shared" si="8"/>
        <v>23518.000000000004</v>
      </c>
      <c r="N8" s="103">
        <f t="shared" si="8"/>
        <v>6749.4000000000005</v>
      </c>
      <c r="O8" s="103">
        <f t="shared" si="8"/>
        <v>6668</v>
      </c>
      <c r="P8" s="103">
        <f t="shared" si="8"/>
        <v>7496.5</v>
      </c>
      <c r="Q8" s="103">
        <f>SUM(Q5:Q7)</f>
        <v>8146.7</v>
      </c>
      <c r="R8" s="172">
        <f t="shared" si="8"/>
        <v>29060.6</v>
      </c>
      <c r="S8" s="103">
        <f t="shared" si="8"/>
        <v>8050.4</v>
      </c>
      <c r="T8" s="103">
        <f t="shared" si="8"/>
        <v>7635.5999999999995</v>
      </c>
      <c r="U8" s="103">
        <f t="shared" si="8"/>
        <v>8150.1</v>
      </c>
      <c r="V8" s="103">
        <f t="shared" si="8"/>
        <v>8269.7530000000006</v>
      </c>
      <c r="W8" s="172">
        <f t="shared" si="8"/>
        <v>32105.852999999999</v>
      </c>
      <c r="X8" s="50">
        <f t="shared" si="8"/>
        <v>8327.8729999999996</v>
      </c>
      <c r="Y8" s="50">
        <f t="shared" si="8"/>
        <v>8448.3060000000005</v>
      </c>
      <c r="Z8" s="50">
        <f t="shared" si="8"/>
        <v>8540.58</v>
      </c>
      <c r="AA8" s="50">
        <f t="shared" si="8"/>
        <v>8662.448620000001</v>
      </c>
      <c r="AB8" s="172">
        <f t="shared" si="8"/>
        <v>33979.207620000001</v>
      </c>
      <c r="AC8" s="50">
        <f t="shared" ref="AC8:AQ8" si="9">SUM(AC5:AC7)</f>
        <v>8712.4523399999998</v>
      </c>
      <c r="AD8" s="50">
        <f t="shared" si="9"/>
        <v>8843.8789099999995</v>
      </c>
      <c r="AE8" s="50">
        <f t="shared" si="9"/>
        <v>8941.9959900000013</v>
      </c>
      <c r="AF8" s="50">
        <f t="shared" si="9"/>
        <v>9070.1153490000015</v>
      </c>
      <c r="AG8" s="51">
        <f t="shared" si="9"/>
        <v>35568.442588999998</v>
      </c>
      <c r="AH8" s="50">
        <f t="shared" si="9"/>
        <v>9112.0950400000002</v>
      </c>
      <c r="AI8" s="50">
        <f t="shared" si="9"/>
        <v>9255.1731191000017</v>
      </c>
      <c r="AJ8" s="50">
        <f t="shared" si="9"/>
        <v>9359.0100653000009</v>
      </c>
      <c r="AK8" s="50">
        <f t="shared" si="9"/>
        <v>9494.579231994001</v>
      </c>
      <c r="AL8" s="51">
        <f t="shared" si="9"/>
        <v>37220.857456394006</v>
      </c>
      <c r="AM8" s="50">
        <f t="shared" si="9"/>
        <v>9528.2667087380014</v>
      </c>
      <c r="AN8" s="50">
        <f t="shared" si="9"/>
        <v>9684.053497111001</v>
      </c>
      <c r="AO8" s="50">
        <f t="shared" si="9"/>
        <v>9793.8040992349997</v>
      </c>
      <c r="AP8" s="50">
        <f t="shared" si="9"/>
        <v>9938.1505987454602</v>
      </c>
      <c r="AQ8" s="51">
        <f t="shared" si="9"/>
        <v>38944.274903829464</v>
      </c>
      <c r="AR8" s="50">
        <f t="shared" ref="AR8:AV8" si="10">SUM(AR5:AR7)</f>
        <v>9962.9633899003202</v>
      </c>
      <c r="AS8" s="50">
        <f t="shared" si="10"/>
        <v>10132.901826615911</v>
      </c>
      <c r="AT8" s="50">
        <f t="shared" si="10"/>
        <v>10249.009804530609</v>
      </c>
      <c r="AU8" s="50">
        <f t="shared" si="10"/>
        <v>10403.628303027901</v>
      </c>
      <c r="AV8" s="51">
        <f t="shared" si="10"/>
        <v>40748.503324074743</v>
      </c>
    </row>
    <row r="9" spans="1:48" outlineLevel="1" x14ac:dyDescent="0.55000000000000004">
      <c r="B9" s="290" t="s">
        <v>100</v>
      </c>
      <c r="C9" s="291"/>
      <c r="D9" s="105">
        <v>2175.8000000000002</v>
      </c>
      <c r="E9" s="105">
        <v>2012</v>
      </c>
      <c r="F9" s="105">
        <v>2199.6</v>
      </c>
      <c r="G9" s="105">
        <f t="shared" si="0"/>
        <v>2139.4999999999991</v>
      </c>
      <c r="H9" s="171">
        <v>8526.9</v>
      </c>
      <c r="I9" s="105">
        <v>2236.4</v>
      </c>
      <c r="J9" s="105">
        <v>1997.7</v>
      </c>
      <c r="K9" s="105">
        <v>1484</v>
      </c>
      <c r="L9" s="105">
        <v>1976.8</v>
      </c>
      <c r="M9" s="171">
        <f>SUM(I9:L9)</f>
        <v>7694.9000000000005</v>
      </c>
      <c r="N9" s="105">
        <v>2049.1</v>
      </c>
      <c r="O9" s="105">
        <v>1992.4</v>
      </c>
      <c r="P9" s="105">
        <v>2206</v>
      </c>
      <c r="Q9" s="105">
        <v>2491.1</v>
      </c>
      <c r="R9" s="171">
        <f>SUM(N9:Q9)</f>
        <v>8738.6</v>
      </c>
      <c r="S9" s="105">
        <v>2526.9</v>
      </c>
      <c r="T9" s="105">
        <v>2465.8000000000002</v>
      </c>
      <c r="U9" s="105">
        <v>2613.6</v>
      </c>
      <c r="V9" s="105">
        <f>+V60+V93+V110+V125</f>
        <v>2658.3978063238519</v>
      </c>
      <c r="W9" s="171">
        <f>SUM(S9:V9)</f>
        <v>10264.697806323853</v>
      </c>
      <c r="X9" s="105">
        <f>+X60+X93+X110+X125</f>
        <v>2669.1396118828852</v>
      </c>
      <c r="Y9" s="105">
        <f>+Y60+Y93+Y110+Y125</f>
        <v>2725.3969221215771</v>
      </c>
      <c r="Z9" s="105">
        <f>+Z60+Z93+Z110+Z125</f>
        <v>2759.1668246458275</v>
      </c>
      <c r="AA9" s="105">
        <f>+AA60+AA93+AA110+AA125</f>
        <v>2805.7503099344394</v>
      </c>
      <c r="AB9" s="49">
        <f>SUM(X9:AA9)</f>
        <v>10959.453668584731</v>
      </c>
      <c r="AC9" s="105">
        <f>+AC60+AC93+AC110+AC125</f>
        <v>2812.7107267648848</v>
      </c>
      <c r="AD9" s="105">
        <f>+AD60+AD93+AD110+AD125</f>
        <v>2875.662956045252</v>
      </c>
      <c r="AE9" s="105">
        <f>+AE60+AE93+AE110+AE125</f>
        <v>2912.2882537651167</v>
      </c>
      <c r="AF9" s="105">
        <f>+AF60+AF93+AF110+AF125</f>
        <v>2962.3273168296746</v>
      </c>
      <c r="AG9" s="49">
        <f>SUM(AC9:AF9)</f>
        <v>11562.989253404929</v>
      </c>
      <c r="AH9" s="105">
        <f>+AH60+AH93+AH110+AH125</f>
        <v>2965.3798304654779</v>
      </c>
      <c r="AI9" s="105">
        <f>+AI60+AI93+AI110+AI125</f>
        <v>3035.7143402688985</v>
      </c>
      <c r="AJ9" s="105">
        <f>+AJ60+AJ93+AJ110+AJ125</f>
        <v>3075.3010916664211</v>
      </c>
      <c r="AK9" s="105">
        <f>+AK60+AK93+AK110+AK125</f>
        <v>3129.4215122896894</v>
      </c>
      <c r="AL9" s="49">
        <f>SUM(AH9:AK9)</f>
        <v>12205.816774690487</v>
      </c>
      <c r="AM9" s="105">
        <f>+AM60+AM93+AM110+AM125</f>
        <v>3128.2890957093505</v>
      </c>
      <c r="AN9" s="105">
        <f>+AN60+AN93+AN110+AN125</f>
        <v>3206.9057851032135</v>
      </c>
      <c r="AO9" s="105">
        <f>+AO60+AO93+AO110+AO125</f>
        <v>3249.6867594507939</v>
      </c>
      <c r="AP9" s="105">
        <f>+AP60+AP93+AP110+AP125</f>
        <v>3308.5936894457168</v>
      </c>
      <c r="AQ9" s="49">
        <f>SUM(AM9:AP9)</f>
        <v>12893.475329709074</v>
      </c>
      <c r="AR9" s="105">
        <f>+AR60+AR93+AR110+AR125</f>
        <v>3302.8604306052707</v>
      </c>
      <c r="AS9" s="105">
        <f>+AS60+AS93+AS110+AS125</f>
        <v>3390.8785877013306</v>
      </c>
      <c r="AT9" s="105">
        <f>+AT60+AT93+AT110+AT125</f>
        <v>3437.1963965257451</v>
      </c>
      <c r="AU9" s="105">
        <f>+AU60+AU93+AU110+AU125</f>
        <v>3501.6931990755602</v>
      </c>
      <c r="AV9" s="49">
        <f>SUM(AR9:AU9)</f>
        <v>13632.628613907907</v>
      </c>
    </row>
    <row r="10" spans="1:48" outlineLevel="1" x14ac:dyDescent="0.55000000000000004">
      <c r="B10" s="38" t="s">
        <v>32</v>
      </c>
      <c r="C10" s="18"/>
      <c r="D10" s="105">
        <v>2586.8000000000002</v>
      </c>
      <c r="E10" s="105">
        <v>2554.1</v>
      </c>
      <c r="F10" s="105">
        <v>2643.2</v>
      </c>
      <c r="G10" s="105">
        <f t="shared" si="0"/>
        <v>2709.5000000000009</v>
      </c>
      <c r="H10" s="171">
        <v>10493.6</v>
      </c>
      <c r="I10" s="105">
        <v>2821.5</v>
      </c>
      <c r="J10" s="105">
        <v>2721.4</v>
      </c>
      <c r="K10" s="105">
        <v>2537.8000000000002</v>
      </c>
      <c r="L10" s="48">
        <v>2683.4</v>
      </c>
      <c r="M10" s="49">
        <f t="shared" ref="M10:M13" si="11">SUM(I10:L10)</f>
        <v>10764.1</v>
      </c>
      <c r="N10" s="48">
        <v>2867.3</v>
      </c>
      <c r="O10" s="105">
        <v>2823.3</v>
      </c>
      <c r="P10" s="105">
        <v>2966.9</v>
      </c>
      <c r="Q10" s="105">
        <v>3273.4</v>
      </c>
      <c r="R10" s="171">
        <f t="shared" ref="R10:R13" si="12">SUM(N10:Q10)</f>
        <v>11930.9</v>
      </c>
      <c r="S10" s="48">
        <v>3400</v>
      </c>
      <c r="T10" s="48">
        <v>3314.7</v>
      </c>
      <c r="U10" s="48">
        <v>3302.5</v>
      </c>
      <c r="V10" s="48">
        <f>+V62+V95</f>
        <v>3338.291587609509</v>
      </c>
      <c r="W10" s="171">
        <f t="shared" ref="W10:W13" si="13">SUM(S10:V10)</f>
        <v>13355.491587609509</v>
      </c>
      <c r="X10" s="48">
        <f>+X62+X95</f>
        <v>3374.6616999134503</v>
      </c>
      <c r="Y10" s="48">
        <f>+Y62+Y95</f>
        <v>3411.0318122173921</v>
      </c>
      <c r="Z10" s="48">
        <f>+Z62+Z95</f>
        <v>3447.401924521334</v>
      </c>
      <c r="AA10" s="48">
        <f>+AA62+AA95</f>
        <v>3483.7720368252749</v>
      </c>
      <c r="AB10" s="49">
        <f t="shared" ref="AB10:AB13" si="14">SUM(X10:AA10)</f>
        <v>13716.86747347745</v>
      </c>
      <c r="AC10" s="48">
        <f>+AC62+AC95</f>
        <v>3520.1421491292167</v>
      </c>
      <c r="AD10" s="48">
        <f>+AD62+AD95</f>
        <v>3556.512261433159</v>
      </c>
      <c r="AE10" s="48">
        <f>+AE62+AE95</f>
        <v>3592.8823737370999</v>
      </c>
      <c r="AF10" s="48">
        <f>+AF62+AF95</f>
        <v>3629.2524860410417</v>
      </c>
      <c r="AG10" s="49">
        <f t="shared" ref="AG10:AG14" si="15">SUM(AC10:AF10)</f>
        <v>14298.789270340518</v>
      </c>
      <c r="AH10" s="48">
        <f>+AH62+AH95</f>
        <v>3665.622598344984</v>
      </c>
      <c r="AI10" s="48">
        <f>+AI62+AI95</f>
        <v>3701.9927106489249</v>
      </c>
      <c r="AJ10" s="48">
        <f>+AJ62+AJ95</f>
        <v>3738.3628229528667</v>
      </c>
      <c r="AK10" s="48">
        <f>+AK62+AK95</f>
        <v>3774.7329352568086</v>
      </c>
      <c r="AL10" s="49">
        <f t="shared" ref="AL10:AL14" si="16">SUM(AH10:AK10)</f>
        <v>14880.711067203585</v>
      </c>
      <c r="AM10" s="48">
        <f>+AM62+AM95</f>
        <v>3811.1030475607499</v>
      </c>
      <c r="AN10" s="48">
        <f>+AN62+AN95</f>
        <v>3847.4731598646913</v>
      </c>
      <c r="AO10" s="48">
        <f>+AO62+AO95</f>
        <v>3883.8432721686331</v>
      </c>
      <c r="AP10" s="48">
        <f>+AP62+AP95</f>
        <v>3920.2133844725749</v>
      </c>
      <c r="AQ10" s="49">
        <f t="shared" ref="AQ10:AQ14" si="17">SUM(AM10:AP10)</f>
        <v>15462.632864066651</v>
      </c>
      <c r="AR10" s="48">
        <f>+AR62+AR95</f>
        <v>3956.5834967765168</v>
      </c>
      <c r="AS10" s="48">
        <f>+AS62+AS95</f>
        <v>3992.9536090804581</v>
      </c>
      <c r="AT10" s="48">
        <f>+AT62+AT95</f>
        <v>4029.3237213844</v>
      </c>
      <c r="AU10" s="48">
        <f>+AU62+AU95</f>
        <v>4065.6938336883413</v>
      </c>
      <c r="AV10" s="49">
        <f t="shared" ref="AV10:AV14" si="18">SUM(AR10:AU10)</f>
        <v>16044.554660929716</v>
      </c>
    </row>
    <row r="11" spans="1:48" outlineLevel="1" x14ac:dyDescent="0.55000000000000004">
      <c r="B11" s="38" t="s">
        <v>33</v>
      </c>
      <c r="C11" s="18"/>
      <c r="D11" s="105">
        <v>97.6</v>
      </c>
      <c r="E11" s="105">
        <v>87.1</v>
      </c>
      <c r="F11" s="105">
        <v>94.4</v>
      </c>
      <c r="G11" s="105">
        <f t="shared" si="0"/>
        <v>91.900000000000034</v>
      </c>
      <c r="H11" s="171">
        <v>371</v>
      </c>
      <c r="I11" s="105">
        <v>101.8</v>
      </c>
      <c r="J11" s="105">
        <v>95</v>
      </c>
      <c r="K11" s="105">
        <v>133.6</v>
      </c>
      <c r="L11" s="48">
        <v>99.9</v>
      </c>
      <c r="M11" s="49">
        <f t="shared" si="11"/>
        <v>430.29999999999995</v>
      </c>
      <c r="N11" s="48">
        <v>91.8</v>
      </c>
      <c r="O11" s="105">
        <v>87.7</v>
      </c>
      <c r="P11" s="105">
        <v>71.400000000000006</v>
      </c>
      <c r="Q11" s="105">
        <v>108.6</v>
      </c>
      <c r="R11" s="171">
        <f t="shared" si="12"/>
        <v>359.5</v>
      </c>
      <c r="S11" s="48">
        <v>101.7</v>
      </c>
      <c r="T11" s="48">
        <v>101.7</v>
      </c>
      <c r="U11" s="48">
        <v>135.1</v>
      </c>
      <c r="V11" s="48">
        <f>+V64+V97+V112+V126</f>
        <v>137.50857191914002</v>
      </c>
      <c r="W11" s="171">
        <f t="shared" si="13"/>
        <v>476.00857191914002</v>
      </c>
      <c r="X11" s="48">
        <f>+X64+X97+X112+X126</f>
        <v>138.61229498822215</v>
      </c>
      <c r="Y11" s="48">
        <f>+Y64+Y97+Y112+Y126</f>
        <v>141.11350836836314</v>
      </c>
      <c r="Z11" s="48">
        <f>+Z64+Z97+Z112+Z126</f>
        <v>142.73803921077189</v>
      </c>
      <c r="AA11" s="48">
        <f>+AA64+AA97+AA112+AA126</f>
        <v>145.10156086562583</v>
      </c>
      <c r="AB11" s="49">
        <f t="shared" si="14"/>
        <v>567.56540343298298</v>
      </c>
      <c r="AC11" s="48">
        <f>+AC64+AC97+AC112+AC126</f>
        <v>145.97295333814498</v>
      </c>
      <c r="AD11" s="48">
        <f>+AD64+AD97+AD112+AD126</f>
        <v>148.81482288095157</v>
      </c>
      <c r="AE11" s="48">
        <f>+AE64+AE97+AE112+AE126</f>
        <v>150.60253131772964</v>
      </c>
      <c r="AF11" s="48">
        <f>+AF64+AF97+AF112+AF126</f>
        <v>153.09963382486239</v>
      </c>
      <c r="AG11" s="49">
        <f t="shared" si="15"/>
        <v>598.48994136168858</v>
      </c>
      <c r="AH11" s="48">
        <f>+AH64+AH97+AH112+AH126</f>
        <v>153.75350955645541</v>
      </c>
      <c r="AI11" s="48">
        <f>+AI64+AI97+AI112+AI126</f>
        <v>156.94819215548711</v>
      </c>
      <c r="AJ11" s="48">
        <f>+AJ64+AJ97+AJ112+AJ126</f>
        <v>158.89184395527283</v>
      </c>
      <c r="AK11" s="48">
        <f>+AK64+AK97+AK112+AK126</f>
        <v>161.55151420985408</v>
      </c>
      <c r="AL11" s="49">
        <f t="shared" si="16"/>
        <v>631.14505987706946</v>
      </c>
      <c r="AM11" s="48">
        <f>+AM64+AM97+AM112+AM126</f>
        <v>161.99098614753953</v>
      </c>
      <c r="AN11" s="48">
        <f>+AN64+AN97+AN112+AN126</f>
        <v>165.56398308156471</v>
      </c>
      <c r="AO11" s="48">
        <f>+AO64+AO97+AO112+AO126</f>
        <v>167.66467488869804</v>
      </c>
      <c r="AP11" s="48">
        <f>+AP64+AP97+AP112+AP126</f>
        <v>170.51844721752042</v>
      </c>
      <c r="AQ11" s="49">
        <f t="shared" si="17"/>
        <v>665.73809133532268</v>
      </c>
      <c r="AR11" s="48">
        <f>+AR64+AR97+AR112+AR126</f>
        <v>170.73687180957347</v>
      </c>
      <c r="AS11" s="48">
        <f>+AS64+AS97+AS112+AS126</f>
        <v>174.72610338936147</v>
      </c>
      <c r="AT11" s="48">
        <f>+AT64+AT97+AT112+AT126</f>
        <v>176.99179088967443</v>
      </c>
      <c r="AU11" s="48">
        <f>+AU64+AU97+AU112+AU126</f>
        <v>180.07473641890977</v>
      </c>
      <c r="AV11" s="49">
        <f t="shared" si="18"/>
        <v>702.52950250751917</v>
      </c>
    </row>
    <row r="12" spans="1:48" outlineLevel="1" x14ac:dyDescent="0.55000000000000004">
      <c r="B12" s="38" t="s">
        <v>34</v>
      </c>
      <c r="C12" s="18"/>
      <c r="D12" s="105">
        <v>333.4</v>
      </c>
      <c r="E12" s="105">
        <v>356.2</v>
      </c>
      <c r="F12" s="105">
        <v>343.1</v>
      </c>
      <c r="G12" s="105">
        <f t="shared" si="0"/>
        <v>344.5999999999998</v>
      </c>
      <c r="H12" s="171">
        <v>1377.3</v>
      </c>
      <c r="I12" s="105">
        <v>351</v>
      </c>
      <c r="J12" s="105">
        <v>356.3</v>
      </c>
      <c r="K12" s="105">
        <v>361</v>
      </c>
      <c r="L12" s="48">
        <v>362.9</v>
      </c>
      <c r="M12" s="49">
        <f t="shared" ref="M12" si="19">SUM(I12:L12)</f>
        <v>1431.1999999999998</v>
      </c>
      <c r="N12" s="48">
        <v>366.1</v>
      </c>
      <c r="O12" s="105">
        <v>366.7</v>
      </c>
      <c r="P12" s="105">
        <v>354.3</v>
      </c>
      <c r="Q12" s="105">
        <v>354.7</v>
      </c>
      <c r="R12" s="171">
        <f t="shared" ref="R12" si="20">SUM(N12:Q12)</f>
        <v>1441.8</v>
      </c>
      <c r="S12" s="48">
        <v>366</v>
      </c>
      <c r="T12" s="48">
        <v>367.7</v>
      </c>
      <c r="U12" s="48">
        <v>356.8</v>
      </c>
      <c r="V12" s="48">
        <f>+V66+V99+V114+V127</f>
        <v>370.66891184143526</v>
      </c>
      <c r="W12" s="171">
        <f t="shared" ref="W12" si="21">SUM(S12:V12)</f>
        <v>1461.1689118414351</v>
      </c>
      <c r="X12" s="48">
        <f t="shared" ref="X12:AA13" si="22">+X66+X99+X114+X127</f>
        <v>370.66891184143526</v>
      </c>
      <c r="Y12" s="48">
        <f t="shared" si="22"/>
        <v>370.66891184143526</v>
      </c>
      <c r="Z12" s="48">
        <f t="shared" si="22"/>
        <v>370.66891184143526</v>
      </c>
      <c r="AA12" s="48">
        <f t="shared" si="22"/>
        <v>370.66891184143526</v>
      </c>
      <c r="AB12" s="49">
        <f t="shared" ref="AB12" si="23">SUM(X12:AA12)</f>
        <v>1482.675647365741</v>
      </c>
      <c r="AC12" s="48">
        <f t="shared" ref="AC12:AF13" si="24">+AC66+AC99+AC114+AC127</f>
        <v>370.66891184143526</v>
      </c>
      <c r="AD12" s="48">
        <f t="shared" si="24"/>
        <v>370.66891184143526</v>
      </c>
      <c r="AE12" s="48">
        <f t="shared" si="24"/>
        <v>370.66891184143526</v>
      </c>
      <c r="AF12" s="48">
        <f t="shared" si="24"/>
        <v>370.66891184143526</v>
      </c>
      <c r="AG12" s="49">
        <f t="shared" si="15"/>
        <v>1482.675647365741</v>
      </c>
      <c r="AH12" s="48">
        <f t="shared" ref="AH12:AK13" si="25">+AH66+AH99+AH114+AH127</f>
        <v>370.66891184143526</v>
      </c>
      <c r="AI12" s="48">
        <f t="shared" si="25"/>
        <v>370.66891184143526</v>
      </c>
      <c r="AJ12" s="48">
        <f t="shared" si="25"/>
        <v>370.66891184143526</v>
      </c>
      <c r="AK12" s="48">
        <f t="shared" si="25"/>
        <v>370.66891184143526</v>
      </c>
      <c r="AL12" s="49">
        <f t="shared" si="16"/>
        <v>1482.675647365741</v>
      </c>
      <c r="AM12" s="48">
        <f t="shared" ref="AM12:AP13" si="26">+AM66+AM99+AM114+AM127</f>
        <v>370.66891184143526</v>
      </c>
      <c r="AN12" s="48">
        <f t="shared" si="26"/>
        <v>370.66891184143526</v>
      </c>
      <c r="AO12" s="48">
        <f t="shared" si="26"/>
        <v>370.66891184143526</v>
      </c>
      <c r="AP12" s="48">
        <f t="shared" si="26"/>
        <v>370.66891184143526</v>
      </c>
      <c r="AQ12" s="49">
        <f t="shared" si="17"/>
        <v>1482.675647365741</v>
      </c>
      <c r="AR12" s="48">
        <f t="shared" ref="AR12:AU13" si="27">+AR66+AR99+AR114+AR127</f>
        <v>370.66891184143526</v>
      </c>
      <c r="AS12" s="48">
        <f t="shared" si="27"/>
        <v>370.66891184143526</v>
      </c>
      <c r="AT12" s="48">
        <f t="shared" si="27"/>
        <v>370.66891184143526</v>
      </c>
      <c r="AU12" s="48">
        <f t="shared" si="27"/>
        <v>370.66891184143526</v>
      </c>
      <c r="AV12" s="49">
        <f t="shared" si="18"/>
        <v>1482.675647365741</v>
      </c>
    </row>
    <row r="13" spans="1:48" ht="17.25" customHeight="1" outlineLevel="1" x14ac:dyDescent="0.55000000000000004">
      <c r="B13" s="38" t="s">
        <v>83</v>
      </c>
      <c r="C13" s="18"/>
      <c r="D13" s="105">
        <v>448</v>
      </c>
      <c r="E13" s="105">
        <v>458.1</v>
      </c>
      <c r="F13" s="105">
        <v>459.7</v>
      </c>
      <c r="G13" s="105">
        <f t="shared" si="0"/>
        <v>458.29999999999984</v>
      </c>
      <c r="H13" s="171">
        <v>1824.1</v>
      </c>
      <c r="I13" s="105">
        <v>434.2</v>
      </c>
      <c r="J13" s="105">
        <v>406.5</v>
      </c>
      <c r="K13" s="105">
        <v>399.9</v>
      </c>
      <c r="L13" s="48">
        <v>439</v>
      </c>
      <c r="M13" s="171">
        <f t="shared" si="11"/>
        <v>1679.6</v>
      </c>
      <c r="N13" s="48">
        <v>472.1</v>
      </c>
      <c r="O13" s="105">
        <v>464.4</v>
      </c>
      <c r="P13" s="105">
        <v>494.9</v>
      </c>
      <c r="Q13" s="105">
        <v>501.2</v>
      </c>
      <c r="R13" s="171">
        <f t="shared" si="12"/>
        <v>1932.6000000000001</v>
      </c>
      <c r="S13" s="48">
        <v>525.79999999999995</v>
      </c>
      <c r="T13" s="48">
        <v>481.5</v>
      </c>
      <c r="U13" s="48">
        <v>486.7</v>
      </c>
      <c r="V13" s="48">
        <f>+V67+V100+V115+V128</f>
        <v>495.33966635902641</v>
      </c>
      <c r="W13" s="171">
        <f t="shared" si="13"/>
        <v>1989.3396663590265</v>
      </c>
      <c r="X13" s="48">
        <f t="shared" si="22"/>
        <v>497.67999206222623</v>
      </c>
      <c r="Y13" s="48">
        <f t="shared" si="22"/>
        <v>499.29000106420654</v>
      </c>
      <c r="Z13" s="48">
        <f t="shared" si="22"/>
        <v>500.85890807612498</v>
      </c>
      <c r="AA13" s="48">
        <f t="shared" si="22"/>
        <v>502.95759626518259</v>
      </c>
      <c r="AB13" s="49">
        <f t="shared" si="14"/>
        <v>2000.7864974677404</v>
      </c>
      <c r="AC13" s="48">
        <f t="shared" si="24"/>
        <v>505.11493880453588</v>
      </c>
      <c r="AD13" s="48">
        <f t="shared" si="24"/>
        <v>506.89986419827778</v>
      </c>
      <c r="AE13" s="48">
        <f t="shared" si="24"/>
        <v>508.58665091813288</v>
      </c>
      <c r="AF13" s="48">
        <f t="shared" si="24"/>
        <v>510.68700478202265</v>
      </c>
      <c r="AG13" s="49">
        <f t="shared" si="15"/>
        <v>2031.2884587029694</v>
      </c>
      <c r="AH13" s="48">
        <f t="shared" si="25"/>
        <v>512.70272998475934</v>
      </c>
      <c r="AI13" s="48">
        <f t="shared" si="25"/>
        <v>514.63301896488315</v>
      </c>
      <c r="AJ13" s="48">
        <f t="shared" si="25"/>
        <v>516.41119342163574</v>
      </c>
      <c r="AK13" s="48">
        <f t="shared" si="25"/>
        <v>518.52382867472193</v>
      </c>
      <c r="AL13" s="49">
        <f t="shared" si="16"/>
        <v>2062.2707710459999</v>
      </c>
      <c r="AM13" s="48">
        <f t="shared" si="26"/>
        <v>520.42679933456805</v>
      </c>
      <c r="AN13" s="48">
        <f t="shared" si="26"/>
        <v>522.48365837257973</v>
      </c>
      <c r="AO13" s="48">
        <f t="shared" si="26"/>
        <v>524.33540599301227</v>
      </c>
      <c r="AP13" s="48">
        <f t="shared" si="26"/>
        <v>526.46979465840172</v>
      </c>
      <c r="AQ13" s="49">
        <f t="shared" si="17"/>
        <v>2093.715658358562</v>
      </c>
      <c r="AR13" s="48">
        <f t="shared" si="27"/>
        <v>528.27955683291646</v>
      </c>
      <c r="AS13" s="48">
        <f t="shared" si="27"/>
        <v>530.45251543547272</v>
      </c>
      <c r="AT13" s="48">
        <f t="shared" si="27"/>
        <v>532.3662646384679</v>
      </c>
      <c r="AU13" s="48">
        <f t="shared" si="27"/>
        <v>534.53134341282339</v>
      </c>
      <c r="AV13" s="49">
        <f t="shared" si="18"/>
        <v>2125.6296803196806</v>
      </c>
    </row>
    <row r="14" spans="1:48" ht="17.25" customHeight="1" outlineLevel="1" x14ac:dyDescent="0.85">
      <c r="B14" s="38" t="s">
        <v>42</v>
      </c>
      <c r="C14" s="18"/>
      <c r="D14" s="104">
        <v>43.2</v>
      </c>
      <c r="E14" s="104">
        <v>43</v>
      </c>
      <c r="F14" s="104">
        <v>37.700000000000003</v>
      </c>
      <c r="G14" s="104">
        <f t="shared" si="0"/>
        <v>11.900000000000006</v>
      </c>
      <c r="H14" s="174">
        <v>135.80000000000001</v>
      </c>
      <c r="I14" s="104">
        <v>6.3</v>
      </c>
      <c r="J14" s="104">
        <v>-0.7</v>
      </c>
      <c r="K14" s="104">
        <v>78.099999999999994</v>
      </c>
      <c r="L14" s="104">
        <v>195</v>
      </c>
      <c r="M14" s="53">
        <f t="shared" ref="M14" si="28">SUM(I14:L14)</f>
        <v>278.7</v>
      </c>
      <c r="N14" s="52">
        <v>72.2</v>
      </c>
      <c r="O14" s="104">
        <v>23</v>
      </c>
      <c r="P14" s="104">
        <v>19.8</v>
      </c>
      <c r="Q14" s="104">
        <v>55.5</v>
      </c>
      <c r="R14" s="174">
        <f t="shared" ref="R14" si="29">SUM(N14:Q14)</f>
        <v>170.5</v>
      </c>
      <c r="S14" s="52">
        <v>-7.5</v>
      </c>
      <c r="T14" s="52">
        <v>4.4000000000000004</v>
      </c>
      <c r="U14" s="52">
        <v>14</v>
      </c>
      <c r="V14" s="52">
        <f>+V69+V102+V117+V129</f>
        <v>12</v>
      </c>
      <c r="W14" s="174">
        <f t="shared" ref="W14" si="30">SUM(S14:V14)</f>
        <v>22.9</v>
      </c>
      <c r="X14" s="52">
        <f>+X69+X102+X117+X129</f>
        <v>12</v>
      </c>
      <c r="Y14" s="52">
        <f>+Y69+Y102+Y117+Y129</f>
        <v>12</v>
      </c>
      <c r="Z14" s="52">
        <f>+Z69+Z102+Z117+Z129</f>
        <v>12</v>
      </c>
      <c r="AA14" s="52">
        <f>+AA69+AA102+AA117+AA129</f>
        <v>12</v>
      </c>
      <c r="AB14" s="53">
        <f t="shared" ref="AB14" si="31">SUM(X14:AA14)</f>
        <v>48</v>
      </c>
      <c r="AC14" s="52">
        <f>+AC69+AC102+AC117+AC129</f>
        <v>12</v>
      </c>
      <c r="AD14" s="52">
        <f>+AD69+AD102+AD117+AD129</f>
        <v>12</v>
      </c>
      <c r="AE14" s="52">
        <f>+AE69+AE102+AE117+AE129</f>
        <v>12</v>
      </c>
      <c r="AF14" s="52">
        <f>+AF69+AF102+AF117+AF129</f>
        <v>12</v>
      </c>
      <c r="AG14" s="53">
        <f t="shared" si="15"/>
        <v>48</v>
      </c>
      <c r="AH14" s="52">
        <f>+AH69+AH102+AH117+AH129</f>
        <v>12</v>
      </c>
      <c r="AI14" s="52">
        <f>+AI69+AI102+AI117+AI129</f>
        <v>12</v>
      </c>
      <c r="AJ14" s="52">
        <f>+AJ69+AJ102+AJ117+AJ129</f>
        <v>12</v>
      </c>
      <c r="AK14" s="52">
        <f>+AK69+AK102+AK117+AK129</f>
        <v>12</v>
      </c>
      <c r="AL14" s="53">
        <f t="shared" si="16"/>
        <v>48</v>
      </c>
      <c r="AM14" s="52">
        <f>+AM69+AM102+AM117+AM129</f>
        <v>12</v>
      </c>
      <c r="AN14" s="52">
        <f>+AN69+AN102+AN117+AN129</f>
        <v>12</v>
      </c>
      <c r="AO14" s="52">
        <f>+AO69+AO102+AO117+AO129</f>
        <v>12</v>
      </c>
      <c r="AP14" s="52">
        <f>+AP69+AP102+AP117+AP129</f>
        <v>12</v>
      </c>
      <c r="AQ14" s="53">
        <f t="shared" si="17"/>
        <v>48</v>
      </c>
      <c r="AR14" s="52">
        <f>+AR69+AR102+AR117+AR129</f>
        <v>12</v>
      </c>
      <c r="AS14" s="52">
        <f>+AS69+AS102+AS117+AS129</f>
        <v>12</v>
      </c>
      <c r="AT14" s="52">
        <f>+AT69+AT102+AT117+AT129</f>
        <v>12</v>
      </c>
      <c r="AU14" s="52">
        <f>+AU69+AU102+AU117+AU129</f>
        <v>12</v>
      </c>
      <c r="AV14" s="53">
        <f t="shared" si="18"/>
        <v>48</v>
      </c>
    </row>
    <row r="15" spans="1:48" s="20" customFormat="1" ht="17.25" customHeight="1" x14ac:dyDescent="0.85">
      <c r="B15" s="46" t="s">
        <v>8</v>
      </c>
      <c r="C15" s="19"/>
      <c r="D15" s="106">
        <f t="shared" ref="D15:AL15" si="32">SUM(D10:D14)+D9</f>
        <v>5684.8</v>
      </c>
      <c r="E15" s="106">
        <f t="shared" si="32"/>
        <v>5510.5</v>
      </c>
      <c r="F15" s="106">
        <f t="shared" si="32"/>
        <v>5777.6999999999989</v>
      </c>
      <c r="G15" s="106">
        <f t="shared" si="32"/>
        <v>5755.7</v>
      </c>
      <c r="H15" s="176">
        <f t="shared" si="32"/>
        <v>22728.699999999997</v>
      </c>
      <c r="I15" s="106">
        <f t="shared" si="32"/>
        <v>5951.2000000000007</v>
      </c>
      <c r="J15" s="106">
        <f t="shared" si="32"/>
        <v>5576.2000000000007</v>
      </c>
      <c r="K15" s="106">
        <f t="shared" si="32"/>
        <v>4994.3999999999996</v>
      </c>
      <c r="L15" s="54">
        <f t="shared" si="32"/>
        <v>5757</v>
      </c>
      <c r="M15" s="55">
        <f t="shared" si="32"/>
        <v>22278.799999999999</v>
      </c>
      <c r="N15" s="54">
        <f t="shared" si="32"/>
        <v>5918.6</v>
      </c>
      <c r="O15" s="106">
        <f t="shared" si="32"/>
        <v>5757.5</v>
      </c>
      <c r="P15" s="106">
        <f>SUM(P10:P14)+P9</f>
        <v>6113.3000000000011</v>
      </c>
      <c r="Q15" s="106">
        <f>SUM(Q10:Q14)+Q9</f>
        <v>6784.5</v>
      </c>
      <c r="R15" s="176">
        <f t="shared" si="32"/>
        <v>24573.9</v>
      </c>
      <c r="S15" s="54">
        <f t="shared" si="32"/>
        <v>6912.9</v>
      </c>
      <c r="T15" s="54">
        <f t="shared" si="32"/>
        <v>6735.7999999999993</v>
      </c>
      <c r="U15" s="54">
        <f t="shared" si="32"/>
        <v>6908.7000000000007</v>
      </c>
      <c r="V15" s="54">
        <f t="shared" si="32"/>
        <v>7012.2065440529623</v>
      </c>
      <c r="W15" s="176">
        <f t="shared" si="32"/>
        <v>27569.606544052967</v>
      </c>
      <c r="X15" s="54">
        <f t="shared" si="32"/>
        <v>7062.7625106882188</v>
      </c>
      <c r="Y15" s="54">
        <f t="shared" si="32"/>
        <v>7159.5011556129739</v>
      </c>
      <c r="Z15" s="54">
        <f t="shared" si="32"/>
        <v>7232.834608295494</v>
      </c>
      <c r="AA15" s="54">
        <f t="shared" si="32"/>
        <v>7320.2504157319581</v>
      </c>
      <c r="AB15" s="55">
        <f t="shared" si="32"/>
        <v>28775.348690328647</v>
      </c>
      <c r="AC15" s="54">
        <f t="shared" si="32"/>
        <v>7366.6096798782182</v>
      </c>
      <c r="AD15" s="54">
        <f t="shared" si="32"/>
        <v>7470.5588163990751</v>
      </c>
      <c r="AE15" s="54">
        <f t="shared" si="32"/>
        <v>7547.0287215795151</v>
      </c>
      <c r="AF15" s="54">
        <f t="shared" si="32"/>
        <v>7638.0353533190373</v>
      </c>
      <c r="AG15" s="55">
        <f t="shared" si="32"/>
        <v>30022.232571175846</v>
      </c>
      <c r="AH15" s="54">
        <f t="shared" si="32"/>
        <v>7680.1275801931115</v>
      </c>
      <c r="AI15" s="54">
        <f t="shared" si="32"/>
        <v>7791.9571738796294</v>
      </c>
      <c r="AJ15" s="54">
        <f t="shared" si="32"/>
        <v>7871.6358638376314</v>
      </c>
      <c r="AK15" s="54">
        <f t="shared" si="32"/>
        <v>7966.8987022725087</v>
      </c>
      <c r="AL15" s="55">
        <f t="shared" si="32"/>
        <v>31310.619320182886</v>
      </c>
      <c r="AM15" s="54">
        <f t="shared" ref="AM15:AQ15" si="33">SUM(AM10:AM14)+AM9</f>
        <v>8004.4788405936433</v>
      </c>
      <c r="AN15" s="54">
        <f t="shared" si="33"/>
        <v>8125.0954982634848</v>
      </c>
      <c r="AO15" s="54">
        <f t="shared" si="33"/>
        <v>8208.1990243425716</v>
      </c>
      <c r="AP15" s="54">
        <f t="shared" si="33"/>
        <v>8308.4642276356499</v>
      </c>
      <c r="AQ15" s="55">
        <f t="shared" si="33"/>
        <v>32646.23759083535</v>
      </c>
      <c r="AR15" s="54">
        <f t="shared" ref="AR15:AV15" si="34">SUM(AR10:AR14)+AR9</f>
        <v>8341.1292678657119</v>
      </c>
      <c r="AS15" s="54">
        <f t="shared" si="34"/>
        <v>8471.6797274480577</v>
      </c>
      <c r="AT15" s="54">
        <f t="shared" si="34"/>
        <v>8558.5470852797225</v>
      </c>
      <c r="AU15" s="54">
        <f t="shared" si="34"/>
        <v>8664.6620244370697</v>
      </c>
      <c r="AV15" s="55">
        <f t="shared" si="34"/>
        <v>34036.018105030562</v>
      </c>
    </row>
    <row r="16" spans="1:48" s="23" customFormat="1" ht="17.25" customHeight="1" x14ac:dyDescent="0.85">
      <c r="B16" s="292" t="s">
        <v>36</v>
      </c>
      <c r="C16" s="293"/>
      <c r="D16" s="104">
        <v>67.8</v>
      </c>
      <c r="E16" s="104">
        <v>62.3</v>
      </c>
      <c r="F16" s="104">
        <v>76</v>
      </c>
      <c r="G16" s="104">
        <f t="shared" si="0"/>
        <v>91.899999999999991</v>
      </c>
      <c r="H16" s="174">
        <v>298</v>
      </c>
      <c r="I16" s="104">
        <v>73.900000000000006</v>
      </c>
      <c r="J16" s="104">
        <v>67.900000000000006</v>
      </c>
      <c r="K16" s="104">
        <v>68.400000000000006</v>
      </c>
      <c r="L16" s="52">
        <v>112.2</v>
      </c>
      <c r="M16" s="53">
        <f t="shared" ref="M16" si="35">SUM(I16:L16)</f>
        <v>322.40000000000003</v>
      </c>
      <c r="N16" s="52">
        <v>82.7</v>
      </c>
      <c r="O16" s="104">
        <v>77.099999999999994</v>
      </c>
      <c r="P16" s="104">
        <v>105.5</v>
      </c>
      <c r="Q16" s="104">
        <v>120</v>
      </c>
      <c r="R16" s="174">
        <f t="shared" ref="R16" si="36">SUM(N16:Q16)</f>
        <v>385.3</v>
      </c>
      <c r="S16" s="52">
        <v>40.299999999999997</v>
      </c>
      <c r="T16" s="52">
        <v>49.1</v>
      </c>
      <c r="U16" s="52">
        <v>54.1</v>
      </c>
      <c r="V16" s="52">
        <f>+V104+V119</f>
        <v>54.1</v>
      </c>
      <c r="W16" s="174">
        <f t="shared" ref="W16" si="37">SUM(S16:V16)</f>
        <v>197.6</v>
      </c>
      <c r="X16" s="52">
        <f>+X104+X119</f>
        <v>54.1</v>
      </c>
      <c r="Y16" s="52">
        <f>+Y104+Y119</f>
        <v>54.1</v>
      </c>
      <c r="Z16" s="52">
        <f>+Z104+Z119</f>
        <v>54.1</v>
      </c>
      <c r="AA16" s="52">
        <f>+AA104+AA119</f>
        <v>54.1</v>
      </c>
      <c r="AB16" s="53">
        <f t="shared" ref="AB16" si="38">SUM(X16:AA16)</f>
        <v>216.4</v>
      </c>
      <c r="AC16" s="52">
        <f>+AC104+AC119</f>
        <v>54.1</v>
      </c>
      <c r="AD16" s="52">
        <f>+AD104+AD119</f>
        <v>54.1</v>
      </c>
      <c r="AE16" s="52">
        <f>+AE104+AE119</f>
        <v>54.1</v>
      </c>
      <c r="AF16" s="52">
        <f>+AF104+AF119</f>
        <v>54.1</v>
      </c>
      <c r="AG16" s="53">
        <f t="shared" ref="AG16" si="39">SUM(AC16:AF16)</f>
        <v>216.4</v>
      </c>
      <c r="AH16" s="52">
        <f>+AH104+AH119</f>
        <v>54.1</v>
      </c>
      <c r="AI16" s="52">
        <f>+AI104+AI119</f>
        <v>54.1</v>
      </c>
      <c r="AJ16" s="52">
        <f>+AJ104+AJ119</f>
        <v>54.1</v>
      </c>
      <c r="AK16" s="52">
        <f>+AK104+AK119</f>
        <v>54.1</v>
      </c>
      <c r="AL16" s="53">
        <f t="shared" ref="AL16" si="40">SUM(AH16:AK16)</f>
        <v>216.4</v>
      </c>
      <c r="AM16" s="52">
        <f>+AM104+AM119</f>
        <v>54.1</v>
      </c>
      <c r="AN16" s="52">
        <f>+AN104+AN119</f>
        <v>54.1</v>
      </c>
      <c r="AO16" s="52">
        <f>+AO104+AO119</f>
        <v>54.1</v>
      </c>
      <c r="AP16" s="52">
        <f>+AP104+AP119</f>
        <v>54.1</v>
      </c>
      <c r="AQ16" s="53">
        <f t="shared" ref="AQ16" si="41">SUM(AM16:AP16)</f>
        <v>216.4</v>
      </c>
      <c r="AR16" s="52">
        <f>+AR104+AR119</f>
        <v>54.1</v>
      </c>
      <c r="AS16" s="52">
        <f>+AS104+AS119</f>
        <v>54.1</v>
      </c>
      <c r="AT16" s="52">
        <f>+AT104+AT119</f>
        <v>54.1</v>
      </c>
      <c r="AU16" s="52">
        <f>+AU104+AU119</f>
        <v>54.1</v>
      </c>
      <c r="AV16" s="53">
        <f t="shared" ref="AV16" si="42">SUM(AR16:AU16)</f>
        <v>216.4</v>
      </c>
    </row>
    <row r="17" spans="1:48" x14ac:dyDescent="0.55000000000000004">
      <c r="B17" s="136" t="s">
        <v>10</v>
      </c>
      <c r="C17" s="137"/>
      <c r="D17" s="103">
        <f t="shared" ref="D17:AQ17" si="43">D8-D15+D16</f>
        <v>1015.7000000000005</v>
      </c>
      <c r="E17" s="103">
        <f t="shared" si="43"/>
        <v>857.69999999999959</v>
      </c>
      <c r="F17" s="103">
        <f t="shared" si="43"/>
        <v>1121.3000000000011</v>
      </c>
      <c r="G17" s="103">
        <f t="shared" si="43"/>
        <v>1083.2000000000012</v>
      </c>
      <c r="H17" s="172">
        <f t="shared" si="43"/>
        <v>4077.9000000000051</v>
      </c>
      <c r="I17" s="103">
        <f t="shared" si="43"/>
        <v>1219.7999999999988</v>
      </c>
      <c r="J17" s="103">
        <f t="shared" si="43"/>
        <v>487.39999999999907</v>
      </c>
      <c r="K17" s="103">
        <f t="shared" si="43"/>
        <v>-703.8999999999993</v>
      </c>
      <c r="L17" s="50">
        <f t="shared" si="43"/>
        <v>558.30000000000041</v>
      </c>
      <c r="M17" s="51">
        <f t="shared" si="43"/>
        <v>1561.6000000000045</v>
      </c>
      <c r="N17" s="50">
        <f t="shared" si="43"/>
        <v>913.50000000000023</v>
      </c>
      <c r="O17" s="103">
        <f t="shared" si="43"/>
        <v>987.6</v>
      </c>
      <c r="P17" s="103">
        <f>P8-P15+P16</f>
        <v>1488.6999999999989</v>
      </c>
      <c r="Q17" s="103">
        <f>Q8-Q15+Q16</f>
        <v>1482.1999999999998</v>
      </c>
      <c r="R17" s="172">
        <f t="shared" si="43"/>
        <v>4871.9999999999973</v>
      </c>
      <c r="S17" s="50">
        <f t="shared" si="43"/>
        <v>1177.8</v>
      </c>
      <c r="T17" s="50">
        <f t="shared" si="43"/>
        <v>948.9000000000002</v>
      </c>
      <c r="U17" s="50">
        <f t="shared" si="43"/>
        <v>1295.4999999999995</v>
      </c>
      <c r="V17" s="50">
        <f t="shared" si="43"/>
        <v>1311.6464559470382</v>
      </c>
      <c r="W17" s="172">
        <f t="shared" si="43"/>
        <v>4733.8464559470322</v>
      </c>
      <c r="X17" s="50">
        <f t="shared" si="43"/>
        <v>1319.2104893117807</v>
      </c>
      <c r="Y17" s="50">
        <f t="shared" si="43"/>
        <v>1342.9048443870265</v>
      </c>
      <c r="Z17" s="50">
        <f t="shared" si="43"/>
        <v>1361.8453917045058</v>
      </c>
      <c r="AA17" s="50">
        <f t="shared" si="43"/>
        <v>1396.2982042680428</v>
      </c>
      <c r="AB17" s="51">
        <f t="shared" si="43"/>
        <v>5420.2589296713541</v>
      </c>
      <c r="AC17" s="50">
        <f t="shared" si="43"/>
        <v>1399.9426601217815</v>
      </c>
      <c r="AD17" s="50">
        <f t="shared" si="43"/>
        <v>1427.4200936009242</v>
      </c>
      <c r="AE17" s="50">
        <f t="shared" si="43"/>
        <v>1449.067268420486</v>
      </c>
      <c r="AF17" s="50">
        <f t="shared" si="43"/>
        <v>1486.1799956809641</v>
      </c>
      <c r="AG17" s="51">
        <f t="shared" si="43"/>
        <v>5762.6100178241522</v>
      </c>
      <c r="AH17" s="50">
        <f t="shared" si="43"/>
        <v>1486.0674598068886</v>
      </c>
      <c r="AI17" s="50">
        <f t="shared" si="43"/>
        <v>1517.3159452203722</v>
      </c>
      <c r="AJ17" s="50">
        <f t="shared" si="43"/>
        <v>1541.4742014623694</v>
      </c>
      <c r="AK17" s="50">
        <f t="shared" si="43"/>
        <v>1581.7805297214923</v>
      </c>
      <c r="AL17" s="51">
        <f t="shared" si="43"/>
        <v>6126.6381362111188</v>
      </c>
      <c r="AM17" s="50">
        <f t="shared" si="43"/>
        <v>1577.887868144358</v>
      </c>
      <c r="AN17" s="50">
        <f t="shared" si="43"/>
        <v>1613.057998847516</v>
      </c>
      <c r="AO17" s="50">
        <f t="shared" si="43"/>
        <v>1639.705074892428</v>
      </c>
      <c r="AP17" s="50">
        <f t="shared" si="43"/>
        <v>1683.7863711098103</v>
      </c>
      <c r="AQ17" s="51">
        <f t="shared" si="43"/>
        <v>6514.4373129941141</v>
      </c>
      <c r="AR17" s="50">
        <f t="shared" ref="AR17:AV17" si="44">AR8-AR15+AR16</f>
        <v>1675.9341220346082</v>
      </c>
      <c r="AS17" s="50">
        <f t="shared" si="44"/>
        <v>1715.3220991678531</v>
      </c>
      <c r="AT17" s="50">
        <f t="shared" si="44"/>
        <v>1744.5627192508869</v>
      </c>
      <c r="AU17" s="50">
        <f t="shared" si="44"/>
        <v>1793.0662785908312</v>
      </c>
      <c r="AV17" s="51">
        <f t="shared" si="44"/>
        <v>6928.8852190441812</v>
      </c>
    </row>
    <row r="18" spans="1:48" ht="16.2" x14ac:dyDescent="0.85">
      <c r="B18" s="124" t="s">
        <v>70</v>
      </c>
      <c r="C18" s="88"/>
      <c r="D18" s="107">
        <f>+D170</f>
        <v>138</v>
      </c>
      <c r="E18" s="107">
        <f>+E170</f>
        <v>141.4</v>
      </c>
      <c r="F18" s="107">
        <f>+F170</f>
        <v>125.30000000000001</v>
      </c>
      <c r="G18" s="107">
        <f>+G170</f>
        <v>77.399999999999991</v>
      </c>
      <c r="H18" s="177">
        <f>SUM(D18:G18)</f>
        <v>482.09999999999997</v>
      </c>
      <c r="I18" s="107">
        <f>+I170</f>
        <v>71.599999999999994</v>
      </c>
      <c r="J18" s="107">
        <f>+J170</f>
        <v>66.8</v>
      </c>
      <c r="K18" s="107">
        <f>+K170</f>
        <v>173.67999999999998</v>
      </c>
      <c r="L18" s="89">
        <f>+L170</f>
        <v>259.5</v>
      </c>
      <c r="M18" s="90">
        <f>SUM(I18:L18)</f>
        <v>571.57999999999993</v>
      </c>
      <c r="N18" s="107">
        <f>+N170</f>
        <v>134.9</v>
      </c>
      <c r="O18" s="107">
        <f>+O170</f>
        <v>88.2</v>
      </c>
      <c r="P18" s="107">
        <f>+P170</f>
        <v>51.7</v>
      </c>
      <c r="Q18" s="107">
        <f>+Q170</f>
        <v>115.2</v>
      </c>
      <c r="R18" s="177">
        <f>SUM(N18:Q18)</f>
        <v>390</v>
      </c>
      <c r="S18" s="89">
        <f>+S170</f>
        <v>35.199999999999996</v>
      </c>
      <c r="T18" s="89">
        <f>+T170</f>
        <v>47.5</v>
      </c>
      <c r="U18" s="89">
        <f>+U170</f>
        <v>77.5</v>
      </c>
      <c r="V18" s="89">
        <f>+V170</f>
        <v>78</v>
      </c>
      <c r="W18" s="177">
        <f>SUM(S18:V18)</f>
        <v>238.2</v>
      </c>
      <c r="X18" s="89">
        <f>+X170</f>
        <v>78</v>
      </c>
      <c r="Y18" s="89">
        <f>+Y170</f>
        <v>78</v>
      </c>
      <c r="Z18" s="89">
        <f>+Z170</f>
        <v>78</v>
      </c>
      <c r="AA18" s="89">
        <f>+AA170</f>
        <v>78</v>
      </c>
      <c r="AB18" s="90">
        <f>SUM(X18:AA18)</f>
        <v>312</v>
      </c>
      <c r="AC18" s="89">
        <f t="shared" ref="AC18:AF18" si="45">+AC170</f>
        <v>78</v>
      </c>
      <c r="AD18" s="89">
        <f t="shared" si="45"/>
        <v>78</v>
      </c>
      <c r="AE18" s="89">
        <f t="shared" si="45"/>
        <v>78</v>
      </c>
      <c r="AF18" s="89">
        <f t="shared" si="45"/>
        <v>78</v>
      </c>
      <c r="AG18" s="90">
        <f>SUM(AC18:AF18)</f>
        <v>312</v>
      </c>
      <c r="AH18" s="89">
        <f t="shared" ref="AH18:AK18" si="46">+AH170</f>
        <v>78</v>
      </c>
      <c r="AI18" s="89">
        <f t="shared" si="46"/>
        <v>78</v>
      </c>
      <c r="AJ18" s="89">
        <f t="shared" si="46"/>
        <v>78</v>
      </c>
      <c r="AK18" s="89">
        <f t="shared" si="46"/>
        <v>78</v>
      </c>
      <c r="AL18" s="90">
        <f>SUM(AH18:AK18)</f>
        <v>312</v>
      </c>
      <c r="AM18" s="89">
        <f t="shared" ref="AM18:AP18" si="47">+AM170</f>
        <v>78</v>
      </c>
      <c r="AN18" s="89">
        <f t="shared" si="47"/>
        <v>78</v>
      </c>
      <c r="AO18" s="89">
        <f t="shared" si="47"/>
        <v>78</v>
      </c>
      <c r="AP18" s="89">
        <f t="shared" si="47"/>
        <v>78</v>
      </c>
      <c r="AQ18" s="90">
        <f>SUM(AM18:AP18)</f>
        <v>312</v>
      </c>
      <c r="AR18" s="89">
        <f t="shared" ref="AR18:AU18" si="48">+AR170</f>
        <v>78</v>
      </c>
      <c r="AS18" s="89">
        <f t="shared" si="48"/>
        <v>78</v>
      </c>
      <c r="AT18" s="89">
        <f t="shared" si="48"/>
        <v>78</v>
      </c>
      <c r="AU18" s="89">
        <f t="shared" si="48"/>
        <v>78</v>
      </c>
      <c r="AV18" s="90">
        <f>SUM(AR18:AU18)</f>
        <v>312</v>
      </c>
    </row>
    <row r="19" spans="1:48" x14ac:dyDescent="0.55000000000000004">
      <c r="B19" s="125" t="s">
        <v>71</v>
      </c>
      <c r="C19" s="79"/>
      <c r="D19" s="108">
        <f t="shared" ref="D19:AQ19" si="49">+D17+D18</f>
        <v>1153.7000000000005</v>
      </c>
      <c r="E19" s="108">
        <f t="shared" si="49"/>
        <v>999.09999999999957</v>
      </c>
      <c r="F19" s="108">
        <f t="shared" si="49"/>
        <v>1246.600000000001</v>
      </c>
      <c r="G19" s="108">
        <f t="shared" si="49"/>
        <v>1160.6000000000013</v>
      </c>
      <c r="H19" s="178">
        <f t="shared" si="49"/>
        <v>4560.0000000000055</v>
      </c>
      <c r="I19" s="108">
        <f t="shared" si="49"/>
        <v>1291.3999999999987</v>
      </c>
      <c r="J19" s="108">
        <f t="shared" si="49"/>
        <v>554.19999999999902</v>
      </c>
      <c r="K19" s="108">
        <f t="shared" si="49"/>
        <v>-530.21999999999935</v>
      </c>
      <c r="L19" s="80">
        <f t="shared" si="49"/>
        <v>817.80000000000041</v>
      </c>
      <c r="M19" s="81">
        <f t="shared" si="49"/>
        <v>2133.1800000000044</v>
      </c>
      <c r="N19" s="108">
        <f t="shared" si="49"/>
        <v>1048.4000000000003</v>
      </c>
      <c r="O19" s="108">
        <f t="shared" si="49"/>
        <v>1075.8</v>
      </c>
      <c r="P19" s="108">
        <f t="shared" si="49"/>
        <v>1540.399999999999</v>
      </c>
      <c r="Q19" s="108">
        <f t="shared" si="49"/>
        <v>1597.3999999999999</v>
      </c>
      <c r="R19" s="178">
        <f t="shared" si="49"/>
        <v>5261.9999999999973</v>
      </c>
      <c r="S19" s="80">
        <f t="shared" si="49"/>
        <v>1213</v>
      </c>
      <c r="T19" s="80">
        <f t="shared" si="49"/>
        <v>996.4000000000002</v>
      </c>
      <c r="U19" s="80">
        <f t="shared" si="49"/>
        <v>1372.9999999999995</v>
      </c>
      <c r="V19" s="80">
        <f t="shared" si="49"/>
        <v>1389.6464559470382</v>
      </c>
      <c r="W19" s="178">
        <f t="shared" si="49"/>
        <v>4972.046455947032</v>
      </c>
      <c r="X19" s="80">
        <f t="shared" si="49"/>
        <v>1397.2104893117807</v>
      </c>
      <c r="Y19" s="80">
        <f t="shared" si="49"/>
        <v>1420.9048443870265</v>
      </c>
      <c r="Z19" s="80">
        <f t="shared" si="49"/>
        <v>1439.8453917045058</v>
      </c>
      <c r="AA19" s="80">
        <f t="shared" si="49"/>
        <v>1474.2982042680428</v>
      </c>
      <c r="AB19" s="81">
        <f t="shared" si="49"/>
        <v>5732.2589296713541</v>
      </c>
      <c r="AC19" s="80">
        <f t="shared" si="49"/>
        <v>1477.9426601217815</v>
      </c>
      <c r="AD19" s="80">
        <f t="shared" si="49"/>
        <v>1505.4200936009242</v>
      </c>
      <c r="AE19" s="80">
        <f t="shared" si="49"/>
        <v>1527.067268420486</v>
      </c>
      <c r="AF19" s="80">
        <f t="shared" si="49"/>
        <v>1564.1799956809641</v>
      </c>
      <c r="AG19" s="81">
        <f t="shared" si="49"/>
        <v>6074.6100178241522</v>
      </c>
      <c r="AH19" s="80">
        <f t="shared" si="49"/>
        <v>1564.0674598068886</v>
      </c>
      <c r="AI19" s="80">
        <f t="shared" si="49"/>
        <v>1595.3159452203722</v>
      </c>
      <c r="AJ19" s="80">
        <f t="shared" si="49"/>
        <v>1619.4742014623694</v>
      </c>
      <c r="AK19" s="80">
        <f t="shared" si="49"/>
        <v>1659.7805297214923</v>
      </c>
      <c r="AL19" s="81">
        <f t="shared" si="49"/>
        <v>6438.6381362111188</v>
      </c>
      <c r="AM19" s="80">
        <f t="shared" si="49"/>
        <v>1655.887868144358</v>
      </c>
      <c r="AN19" s="80">
        <f t="shared" si="49"/>
        <v>1691.057998847516</v>
      </c>
      <c r="AO19" s="80">
        <f t="shared" si="49"/>
        <v>1717.705074892428</v>
      </c>
      <c r="AP19" s="80">
        <f t="shared" si="49"/>
        <v>1761.7863711098103</v>
      </c>
      <c r="AQ19" s="81">
        <f t="shared" si="49"/>
        <v>6826.4373129941141</v>
      </c>
      <c r="AR19" s="80">
        <f t="shared" ref="AR19:AV19" si="50">+AR17+AR18</f>
        <v>1753.9341220346082</v>
      </c>
      <c r="AS19" s="80">
        <f t="shared" si="50"/>
        <v>1793.3220991678531</v>
      </c>
      <c r="AT19" s="80">
        <f t="shared" si="50"/>
        <v>1822.5627192508869</v>
      </c>
      <c r="AU19" s="80">
        <f t="shared" si="50"/>
        <v>1871.0662785908312</v>
      </c>
      <c r="AV19" s="81">
        <f t="shared" si="50"/>
        <v>7240.8852190441812</v>
      </c>
    </row>
    <row r="20" spans="1:48" x14ac:dyDescent="0.55000000000000004">
      <c r="B20" s="38" t="s">
        <v>63</v>
      </c>
      <c r="C20" s="18"/>
      <c r="D20" s="105">
        <v>0</v>
      </c>
      <c r="E20" s="105">
        <v>21</v>
      </c>
      <c r="F20" s="105">
        <v>601.79999999999995</v>
      </c>
      <c r="G20" s="105">
        <f t="shared" ref="G20:G22" si="51">H20-F20-E20-D20</f>
        <v>0</v>
      </c>
      <c r="H20" s="171">
        <v>622.79999999999995</v>
      </c>
      <c r="I20" s="105">
        <v>0</v>
      </c>
      <c r="J20" s="105">
        <v>0</v>
      </c>
      <c r="K20" s="105">
        <v>0</v>
      </c>
      <c r="L20" s="105">
        <v>0</v>
      </c>
      <c r="M20" s="171">
        <f>SUM(I20:L20)</f>
        <v>0</v>
      </c>
      <c r="N20" s="105">
        <v>0</v>
      </c>
      <c r="O20" s="105">
        <v>0</v>
      </c>
      <c r="P20" s="105">
        <v>0</v>
      </c>
      <c r="Q20" s="105">
        <v>864.5</v>
      </c>
      <c r="R20" s="171">
        <f>SUM(N20:Q20)</f>
        <v>864.5</v>
      </c>
      <c r="S20" s="105">
        <v>0</v>
      </c>
      <c r="T20" s="105">
        <v>0</v>
      </c>
      <c r="U20" s="105">
        <v>0</v>
      </c>
      <c r="V20" s="105">
        <v>0</v>
      </c>
      <c r="W20" s="171">
        <f>SUM(S20:V20)</f>
        <v>0</v>
      </c>
      <c r="X20" s="105">
        <v>0</v>
      </c>
      <c r="Y20" s="105">
        <v>0</v>
      </c>
      <c r="Z20" s="105">
        <v>0</v>
      </c>
      <c r="AA20" s="105">
        <v>0</v>
      </c>
      <c r="AB20" s="171">
        <f>SUM(X20:AA20)</f>
        <v>0</v>
      </c>
      <c r="AC20" s="105">
        <v>0</v>
      </c>
      <c r="AD20" s="105">
        <v>0</v>
      </c>
      <c r="AE20" s="105">
        <v>0</v>
      </c>
      <c r="AF20" s="105">
        <v>0</v>
      </c>
      <c r="AG20" s="171">
        <f>SUM(AC20:AF20)</f>
        <v>0</v>
      </c>
      <c r="AH20" s="105">
        <v>0</v>
      </c>
      <c r="AI20" s="105">
        <v>0</v>
      </c>
      <c r="AJ20" s="105">
        <v>0</v>
      </c>
      <c r="AK20" s="105">
        <v>0</v>
      </c>
      <c r="AL20" s="171">
        <f>SUM(AH20:AK20)</f>
        <v>0</v>
      </c>
      <c r="AM20" s="105">
        <v>0</v>
      </c>
      <c r="AN20" s="105">
        <v>0</v>
      </c>
      <c r="AO20" s="105">
        <v>0</v>
      </c>
      <c r="AP20" s="105">
        <v>0</v>
      </c>
      <c r="AQ20" s="171">
        <f>SUM(AM20:AP20)</f>
        <v>0</v>
      </c>
      <c r="AR20" s="105">
        <v>0</v>
      </c>
      <c r="AS20" s="105">
        <v>0</v>
      </c>
      <c r="AT20" s="105">
        <v>0</v>
      </c>
      <c r="AU20" s="105">
        <v>0</v>
      </c>
      <c r="AV20" s="171">
        <f>SUM(AR20:AU20)</f>
        <v>0</v>
      </c>
    </row>
    <row r="21" spans="1:48" s="259" customFormat="1" x14ac:dyDescent="0.55000000000000004">
      <c r="B21" s="260" t="s">
        <v>37</v>
      </c>
      <c r="C21" s="261"/>
      <c r="D21" s="262">
        <v>24.8</v>
      </c>
      <c r="E21" s="262">
        <v>15.2</v>
      </c>
      <c r="F21" s="263">
        <v>40.200000000000003</v>
      </c>
      <c r="G21" s="262">
        <f t="shared" si="51"/>
        <v>16.299999999999994</v>
      </c>
      <c r="H21" s="264">
        <v>96.5</v>
      </c>
      <c r="I21" s="262">
        <v>15.9</v>
      </c>
      <c r="J21" s="262">
        <v>2</v>
      </c>
      <c r="K21" s="262">
        <v>12.7</v>
      </c>
      <c r="L21" s="262">
        <v>9.1</v>
      </c>
      <c r="M21" s="264">
        <f t="shared" ref="M21:M22" si="52">SUM(I21:L21)</f>
        <v>39.699999999999996</v>
      </c>
      <c r="N21" s="262">
        <v>15.5</v>
      </c>
      <c r="O21" s="262">
        <v>17.3</v>
      </c>
      <c r="P21" s="262">
        <v>36</v>
      </c>
      <c r="Q21" s="262">
        <v>21.5</v>
      </c>
      <c r="R21" s="264">
        <f t="shared" ref="R21" si="53">SUM(N21:Q21)</f>
        <v>90.3</v>
      </c>
      <c r="S21" s="262">
        <v>-0.1</v>
      </c>
      <c r="T21" s="262">
        <v>46.3</v>
      </c>
      <c r="U21" s="262">
        <v>19.8</v>
      </c>
      <c r="V21" s="262">
        <v>19.8</v>
      </c>
      <c r="W21" s="264">
        <f t="shared" ref="W21" si="54">SUM(S21:V21)</f>
        <v>85.8</v>
      </c>
      <c r="X21" s="262">
        <v>19.8</v>
      </c>
      <c r="Y21" s="262">
        <v>19.8</v>
      </c>
      <c r="Z21" s="262">
        <v>19.8</v>
      </c>
      <c r="AA21" s="262">
        <v>19.8</v>
      </c>
      <c r="AB21" s="264">
        <f t="shared" ref="AB21" si="55">SUM(X21:AA21)</f>
        <v>79.2</v>
      </c>
      <c r="AC21" s="262">
        <v>19.8</v>
      </c>
      <c r="AD21" s="262">
        <v>19.8</v>
      </c>
      <c r="AE21" s="262">
        <v>19.8</v>
      </c>
      <c r="AF21" s="262">
        <v>19.8</v>
      </c>
      <c r="AG21" s="264">
        <f t="shared" ref="AG21:AG22" si="56">SUM(AC21:AF21)</f>
        <v>79.2</v>
      </c>
      <c r="AH21" s="262">
        <v>19.8</v>
      </c>
      <c r="AI21" s="262">
        <v>19.8</v>
      </c>
      <c r="AJ21" s="262">
        <v>19.8</v>
      </c>
      <c r="AK21" s="262">
        <v>19.8</v>
      </c>
      <c r="AL21" s="264">
        <f t="shared" ref="AL21:AL22" si="57">SUM(AH21:AK21)</f>
        <v>79.2</v>
      </c>
      <c r="AM21" s="262">
        <v>19.8</v>
      </c>
      <c r="AN21" s="262">
        <v>19.8</v>
      </c>
      <c r="AO21" s="262">
        <v>19.8</v>
      </c>
      <c r="AP21" s="262">
        <v>19.8</v>
      </c>
      <c r="AQ21" s="264">
        <f t="shared" ref="AQ21:AQ22" si="58">SUM(AM21:AP21)</f>
        <v>79.2</v>
      </c>
      <c r="AR21" s="262">
        <v>19.8</v>
      </c>
      <c r="AS21" s="262">
        <v>19.8</v>
      </c>
      <c r="AT21" s="262">
        <v>19.8</v>
      </c>
      <c r="AU21" s="262">
        <v>19.8</v>
      </c>
      <c r="AV21" s="264">
        <f t="shared" ref="AV21:AV22" si="59">SUM(AR21:AU21)</f>
        <v>79.2</v>
      </c>
    </row>
    <row r="22" spans="1:48" s="259" customFormat="1" ht="16.2" x14ac:dyDescent="0.85">
      <c r="B22" s="260" t="s">
        <v>38</v>
      </c>
      <c r="C22" s="265"/>
      <c r="D22" s="266">
        <v>-75</v>
      </c>
      <c r="E22" s="266">
        <v>-73.900000000000006</v>
      </c>
      <c r="F22" s="266">
        <v>-86.4</v>
      </c>
      <c r="G22" s="266">
        <f t="shared" si="51"/>
        <v>-95.699999999999989</v>
      </c>
      <c r="H22" s="267">
        <v>-331</v>
      </c>
      <c r="I22" s="266">
        <v>-91.9</v>
      </c>
      <c r="J22" s="266">
        <v>-99.2</v>
      </c>
      <c r="K22" s="266">
        <v>-120.8</v>
      </c>
      <c r="L22" s="266">
        <v>-125</v>
      </c>
      <c r="M22" s="267">
        <f t="shared" si="52"/>
        <v>-436.90000000000003</v>
      </c>
      <c r="N22" s="266">
        <v>-120.7</v>
      </c>
      <c r="O22" s="266">
        <v>-115</v>
      </c>
      <c r="P22" s="266">
        <v>-113.4</v>
      </c>
      <c r="Q22" s="266">
        <v>-120.6</v>
      </c>
      <c r="R22" s="267">
        <f t="shared" ref="R22" si="60">SUM(N22:Q22)</f>
        <v>-469.70000000000005</v>
      </c>
      <c r="S22" s="266">
        <v>-115.3</v>
      </c>
      <c r="T22" s="266">
        <v>-119.1</v>
      </c>
      <c r="U22" s="266">
        <v>-123.1</v>
      </c>
      <c r="V22" s="266">
        <v>-123.1</v>
      </c>
      <c r="W22" s="267">
        <f t="shared" ref="W22" si="61">SUM(S22:V22)</f>
        <v>-480.6</v>
      </c>
      <c r="X22" s="266">
        <v>-123.1</v>
      </c>
      <c r="Y22" s="266">
        <v>-123.1</v>
      </c>
      <c r="Z22" s="266">
        <v>-123.1</v>
      </c>
      <c r="AA22" s="266">
        <v>-123.1</v>
      </c>
      <c r="AB22" s="267">
        <f t="shared" ref="AB22" si="62">SUM(X22:AA22)</f>
        <v>-492.4</v>
      </c>
      <c r="AC22" s="266">
        <v>-123.1</v>
      </c>
      <c r="AD22" s="266">
        <v>-123.1</v>
      </c>
      <c r="AE22" s="266">
        <v>-123.1</v>
      </c>
      <c r="AF22" s="266">
        <v>-123.1</v>
      </c>
      <c r="AG22" s="267">
        <f t="shared" si="56"/>
        <v>-492.4</v>
      </c>
      <c r="AH22" s="266">
        <v>-123.1</v>
      </c>
      <c r="AI22" s="266">
        <v>-123.1</v>
      </c>
      <c r="AJ22" s="266">
        <v>-123.1</v>
      </c>
      <c r="AK22" s="266">
        <v>-123.1</v>
      </c>
      <c r="AL22" s="267">
        <f t="shared" si="57"/>
        <v>-492.4</v>
      </c>
      <c r="AM22" s="266">
        <v>-123.1</v>
      </c>
      <c r="AN22" s="266">
        <v>-123.1</v>
      </c>
      <c r="AO22" s="266">
        <v>-123.1</v>
      </c>
      <c r="AP22" s="266">
        <v>-123.1</v>
      </c>
      <c r="AQ22" s="267">
        <f t="shared" si="58"/>
        <v>-492.4</v>
      </c>
      <c r="AR22" s="266">
        <v>-123.1</v>
      </c>
      <c r="AS22" s="266">
        <v>-123.1</v>
      </c>
      <c r="AT22" s="266">
        <v>-123.1</v>
      </c>
      <c r="AU22" s="266">
        <v>-123.1</v>
      </c>
      <c r="AV22" s="267">
        <f t="shared" si="59"/>
        <v>-492.4</v>
      </c>
    </row>
    <row r="23" spans="1:48" x14ac:dyDescent="0.55000000000000004">
      <c r="B23" s="294" t="s">
        <v>11</v>
      </c>
      <c r="C23" s="295"/>
      <c r="D23" s="103">
        <f t="shared" ref="D23:AQ23" si="63">D17+D21+D22+D20</f>
        <v>965.50000000000045</v>
      </c>
      <c r="E23" s="103">
        <f t="shared" si="63"/>
        <v>819.99999999999966</v>
      </c>
      <c r="F23" s="103">
        <f t="shared" si="63"/>
        <v>1676.900000000001</v>
      </c>
      <c r="G23" s="103">
        <f t="shared" si="63"/>
        <v>1003.8000000000011</v>
      </c>
      <c r="H23" s="172">
        <f t="shared" si="63"/>
        <v>4466.2000000000053</v>
      </c>
      <c r="I23" s="103">
        <f t="shared" si="63"/>
        <v>1143.7999999999988</v>
      </c>
      <c r="J23" s="103">
        <f t="shared" si="63"/>
        <v>390.19999999999908</v>
      </c>
      <c r="K23" s="103">
        <f t="shared" si="63"/>
        <v>-811.9999999999992</v>
      </c>
      <c r="L23" s="50">
        <f t="shared" si="63"/>
        <v>442.40000000000043</v>
      </c>
      <c r="M23" s="51">
        <f t="shared" si="63"/>
        <v>1164.4000000000044</v>
      </c>
      <c r="N23" s="50">
        <f t="shared" si="63"/>
        <v>808.30000000000018</v>
      </c>
      <c r="O23" s="103">
        <f t="shared" si="63"/>
        <v>889.9</v>
      </c>
      <c r="P23" s="103">
        <f t="shared" si="63"/>
        <v>1411.2999999999988</v>
      </c>
      <c r="Q23" s="103">
        <f>Q17+Q21+Q22+Q20</f>
        <v>2247.6</v>
      </c>
      <c r="R23" s="172">
        <f t="shared" si="63"/>
        <v>5357.0999999999976</v>
      </c>
      <c r="S23" s="50">
        <f t="shared" si="63"/>
        <v>1062.4000000000001</v>
      </c>
      <c r="T23" s="50">
        <f t="shared" si="63"/>
        <v>876.10000000000014</v>
      </c>
      <c r="U23" s="50">
        <f t="shared" si="63"/>
        <v>1192.1999999999996</v>
      </c>
      <c r="V23" s="50">
        <f t="shared" si="63"/>
        <v>1208.3464559470383</v>
      </c>
      <c r="W23" s="172">
        <f t="shared" si="63"/>
        <v>4339.046455947032</v>
      </c>
      <c r="X23" s="50">
        <f t="shared" si="63"/>
        <v>1215.9104893117808</v>
      </c>
      <c r="Y23" s="50">
        <f t="shared" si="63"/>
        <v>1239.6048443870266</v>
      </c>
      <c r="Z23" s="50">
        <f t="shared" si="63"/>
        <v>1258.5453917045058</v>
      </c>
      <c r="AA23" s="50">
        <f t="shared" si="63"/>
        <v>1292.9982042680429</v>
      </c>
      <c r="AB23" s="51">
        <f t="shared" si="63"/>
        <v>5007.0589296713542</v>
      </c>
      <c r="AC23" s="50">
        <f t="shared" si="63"/>
        <v>1296.6426601217815</v>
      </c>
      <c r="AD23" s="50">
        <f t="shared" si="63"/>
        <v>1324.1200936009243</v>
      </c>
      <c r="AE23" s="50">
        <f t="shared" si="63"/>
        <v>1345.7672684204861</v>
      </c>
      <c r="AF23" s="50">
        <f t="shared" si="63"/>
        <v>1382.8799956809642</v>
      </c>
      <c r="AG23" s="51">
        <f t="shared" si="63"/>
        <v>5349.4100178241524</v>
      </c>
      <c r="AH23" s="50">
        <f t="shared" si="63"/>
        <v>1382.7674598068886</v>
      </c>
      <c r="AI23" s="50">
        <f t="shared" si="63"/>
        <v>1414.0159452203723</v>
      </c>
      <c r="AJ23" s="50">
        <f t="shared" si="63"/>
        <v>1438.1742014623694</v>
      </c>
      <c r="AK23" s="50">
        <f t="shared" si="63"/>
        <v>1478.4805297214923</v>
      </c>
      <c r="AL23" s="51">
        <f t="shared" si="63"/>
        <v>5713.4381362111189</v>
      </c>
      <c r="AM23" s="50">
        <f t="shared" si="63"/>
        <v>1474.587868144358</v>
      </c>
      <c r="AN23" s="50">
        <f t="shared" si="63"/>
        <v>1509.7579988475161</v>
      </c>
      <c r="AO23" s="50">
        <f t="shared" si="63"/>
        <v>1536.405074892428</v>
      </c>
      <c r="AP23" s="50">
        <f t="shared" si="63"/>
        <v>1580.4863711098103</v>
      </c>
      <c r="AQ23" s="51">
        <f t="shared" si="63"/>
        <v>6101.2373129941143</v>
      </c>
      <c r="AR23" s="50">
        <f t="shared" ref="AR23:AV23" si="64">AR17+AR21+AR22+AR20</f>
        <v>1572.6341220346083</v>
      </c>
      <c r="AS23" s="50">
        <f t="shared" si="64"/>
        <v>1612.0220991678532</v>
      </c>
      <c r="AT23" s="50">
        <f t="shared" si="64"/>
        <v>1641.2627192508869</v>
      </c>
      <c r="AU23" s="50">
        <f t="shared" si="64"/>
        <v>1689.7662785908312</v>
      </c>
      <c r="AV23" s="51">
        <f t="shared" si="64"/>
        <v>6515.6852190441814</v>
      </c>
    </row>
    <row r="24" spans="1:48" ht="16.2" x14ac:dyDescent="0.85">
      <c r="B24" s="296" t="s">
        <v>5</v>
      </c>
      <c r="C24" s="297"/>
      <c r="D24" s="104">
        <v>205.1</v>
      </c>
      <c r="E24" s="104">
        <v>161.19999999999999</v>
      </c>
      <c r="F24" s="104">
        <v>303.7</v>
      </c>
      <c r="G24" s="104">
        <f t="shared" ref="G24" si="65">H24-F24-E24-D24</f>
        <v>201.60000000000011</v>
      </c>
      <c r="H24" s="174">
        <v>871.6</v>
      </c>
      <c r="I24" s="104">
        <v>258.5</v>
      </c>
      <c r="J24" s="104">
        <v>65.400000000000006</v>
      </c>
      <c r="K24" s="104">
        <v>-133.9</v>
      </c>
      <c r="L24" s="52">
        <v>49.7</v>
      </c>
      <c r="M24" s="53">
        <f>SUM(I24:L24)</f>
        <v>239.7</v>
      </c>
      <c r="N24" s="52">
        <v>186.1</v>
      </c>
      <c r="O24" s="104">
        <v>230.5</v>
      </c>
      <c r="P24" s="104">
        <v>257.10000000000002</v>
      </c>
      <c r="Q24" s="104">
        <v>483</v>
      </c>
      <c r="R24" s="174">
        <f>SUM(N24:Q24)</f>
        <v>1156.7</v>
      </c>
      <c r="S24" s="52">
        <v>246.3</v>
      </c>
      <c r="T24" s="52">
        <v>201.1</v>
      </c>
      <c r="U24" s="52">
        <v>278.5</v>
      </c>
      <c r="V24" s="52">
        <f>+V23*V143</f>
        <v>290.0031494272892</v>
      </c>
      <c r="W24" s="174">
        <f>SUM(S24:V24)</f>
        <v>1015.9031494272892</v>
      </c>
      <c r="X24" s="52">
        <f>+X23*X143</f>
        <v>291.81851743482736</v>
      </c>
      <c r="Y24" s="52">
        <f>+Y23*Y143</f>
        <v>297.50516265288638</v>
      </c>
      <c r="Z24" s="52">
        <f>+Z23*Z143</f>
        <v>302.05089400908139</v>
      </c>
      <c r="AA24" s="52">
        <f>+AA23*AA143</f>
        <v>310.31956902433029</v>
      </c>
      <c r="AB24" s="53">
        <f>SUM(X24:AA24)</f>
        <v>1201.6941431211253</v>
      </c>
      <c r="AC24" s="52">
        <f>+AC23*AC143</f>
        <v>311.19423842922754</v>
      </c>
      <c r="AD24" s="52">
        <f>+AD23*AD143</f>
        <v>317.78882246422182</v>
      </c>
      <c r="AE24" s="52">
        <f>+AE23*AE143</f>
        <v>322.98414442091666</v>
      </c>
      <c r="AF24" s="52">
        <f>+AF23*AF143</f>
        <v>331.89119896343141</v>
      </c>
      <c r="AG24" s="53">
        <f>SUM(AC24:AF24)</f>
        <v>1283.8584042777975</v>
      </c>
      <c r="AH24" s="52">
        <f>+AH23*AH143</f>
        <v>331.86419035365327</v>
      </c>
      <c r="AI24" s="52">
        <f>+AI23*AI143</f>
        <v>339.3638268528893</v>
      </c>
      <c r="AJ24" s="52">
        <f>+AJ23*AJ143</f>
        <v>345.16180835096867</v>
      </c>
      <c r="AK24" s="52">
        <f>+AK23*AK143</f>
        <v>354.83532713315816</v>
      </c>
      <c r="AL24" s="53">
        <f>SUM(AH24:AK24)</f>
        <v>1371.2251526906693</v>
      </c>
      <c r="AM24" s="52">
        <f>+AM23*AM143</f>
        <v>353.90108835464594</v>
      </c>
      <c r="AN24" s="52">
        <f>+AN23*AN143</f>
        <v>362.34191972340386</v>
      </c>
      <c r="AO24" s="52">
        <f>+AO23*AO143</f>
        <v>368.73721797418273</v>
      </c>
      <c r="AP24" s="52">
        <f>+AP23*AP143</f>
        <v>379.31672906635447</v>
      </c>
      <c r="AQ24" s="53">
        <f>SUM(AM24:AP24)</f>
        <v>1464.296955118587</v>
      </c>
      <c r="AR24" s="52">
        <f>+AR23*AR143</f>
        <v>377.43218928830595</v>
      </c>
      <c r="AS24" s="52">
        <f>+AS23*AS143</f>
        <v>386.88530380028476</v>
      </c>
      <c r="AT24" s="52">
        <f>+AT23*AT143</f>
        <v>393.90305262021286</v>
      </c>
      <c r="AU24" s="52">
        <f>+AU23*AU143</f>
        <v>405.54390686179948</v>
      </c>
      <c r="AV24" s="53">
        <f>SUM(AR24:AU24)</f>
        <v>1563.764452570603</v>
      </c>
    </row>
    <row r="25" spans="1:48" x14ac:dyDescent="0.55000000000000004">
      <c r="A25" s="23"/>
      <c r="B25" s="294" t="s">
        <v>39</v>
      </c>
      <c r="C25" s="295"/>
      <c r="D25" s="103">
        <f t="shared" ref="D25:AQ25" si="66">+D23-D24</f>
        <v>760.40000000000043</v>
      </c>
      <c r="E25" s="103">
        <f t="shared" si="66"/>
        <v>658.79999999999973</v>
      </c>
      <c r="F25" s="103">
        <f t="shared" si="66"/>
        <v>1373.200000000001</v>
      </c>
      <c r="G25" s="103">
        <f t="shared" si="66"/>
        <v>802.20000000000095</v>
      </c>
      <c r="H25" s="172">
        <f t="shared" si="66"/>
        <v>3594.6000000000054</v>
      </c>
      <c r="I25" s="103">
        <f t="shared" si="66"/>
        <v>885.29999999999882</v>
      </c>
      <c r="J25" s="103">
        <f t="shared" si="66"/>
        <v>324.79999999999905</v>
      </c>
      <c r="K25" s="103">
        <f t="shared" si="66"/>
        <v>-678.09999999999923</v>
      </c>
      <c r="L25" s="50">
        <f t="shared" si="66"/>
        <v>392.70000000000044</v>
      </c>
      <c r="M25" s="51">
        <f t="shared" si="66"/>
        <v>924.70000000000437</v>
      </c>
      <c r="N25" s="50">
        <f t="shared" si="66"/>
        <v>622.20000000000016</v>
      </c>
      <c r="O25" s="103">
        <f t="shared" si="66"/>
        <v>659.4</v>
      </c>
      <c r="P25" s="103">
        <f t="shared" si="66"/>
        <v>1154.1999999999989</v>
      </c>
      <c r="Q25" s="103">
        <f>+Q23-Q24</f>
        <v>1764.6</v>
      </c>
      <c r="R25" s="172">
        <f t="shared" si="66"/>
        <v>4200.3999999999978</v>
      </c>
      <c r="S25" s="50">
        <f t="shared" si="66"/>
        <v>816.10000000000014</v>
      </c>
      <c r="T25" s="50">
        <f t="shared" si="66"/>
        <v>675.00000000000011</v>
      </c>
      <c r="U25" s="50">
        <f t="shared" si="66"/>
        <v>913.69999999999959</v>
      </c>
      <c r="V25" s="50">
        <f t="shared" si="66"/>
        <v>918.34330651974915</v>
      </c>
      <c r="W25" s="172">
        <f t="shared" si="66"/>
        <v>3323.1433065197425</v>
      </c>
      <c r="X25" s="50">
        <f t="shared" si="66"/>
        <v>924.09197187695349</v>
      </c>
      <c r="Y25" s="50">
        <f t="shared" si="66"/>
        <v>942.09968173414018</v>
      </c>
      <c r="Z25" s="50">
        <f t="shared" si="66"/>
        <v>956.49449769542446</v>
      </c>
      <c r="AA25" s="50">
        <f t="shared" si="66"/>
        <v>982.67863524371251</v>
      </c>
      <c r="AB25" s="51">
        <f t="shared" si="66"/>
        <v>3805.3647865502289</v>
      </c>
      <c r="AC25" s="50">
        <f t="shared" si="66"/>
        <v>985.44842169255401</v>
      </c>
      <c r="AD25" s="50">
        <f t="shared" si="66"/>
        <v>1006.3312711367025</v>
      </c>
      <c r="AE25" s="50">
        <f t="shared" si="66"/>
        <v>1022.7831239995694</v>
      </c>
      <c r="AF25" s="103">
        <f t="shared" si="66"/>
        <v>1050.9887967175328</v>
      </c>
      <c r="AG25" s="172">
        <f t="shared" si="66"/>
        <v>4065.5516135463549</v>
      </c>
      <c r="AH25" s="103">
        <f t="shared" si="66"/>
        <v>1050.9032694532352</v>
      </c>
      <c r="AI25" s="103">
        <f t="shared" si="66"/>
        <v>1074.6521183674829</v>
      </c>
      <c r="AJ25" s="103">
        <f t="shared" si="66"/>
        <v>1093.0123931114008</v>
      </c>
      <c r="AK25" s="103">
        <f t="shared" si="66"/>
        <v>1123.6452025883341</v>
      </c>
      <c r="AL25" s="51">
        <f t="shared" si="66"/>
        <v>4342.2129835204496</v>
      </c>
      <c r="AM25" s="103">
        <f t="shared" si="66"/>
        <v>1120.6867797897121</v>
      </c>
      <c r="AN25" s="103">
        <f t="shared" si="66"/>
        <v>1147.4160791241122</v>
      </c>
      <c r="AO25" s="103">
        <f t="shared" si="66"/>
        <v>1167.6678569182454</v>
      </c>
      <c r="AP25" s="103">
        <f t="shared" si="66"/>
        <v>1201.169642043456</v>
      </c>
      <c r="AQ25" s="51">
        <f t="shared" si="66"/>
        <v>4636.9403578755273</v>
      </c>
      <c r="AR25" s="103">
        <f t="shared" ref="AR25:AV25" si="67">+AR23-AR24</f>
        <v>1195.2019327463022</v>
      </c>
      <c r="AS25" s="103">
        <f t="shared" si="67"/>
        <v>1225.1367953675685</v>
      </c>
      <c r="AT25" s="103">
        <f t="shared" si="67"/>
        <v>1247.3596666306739</v>
      </c>
      <c r="AU25" s="103">
        <f t="shared" si="67"/>
        <v>1284.2223717290317</v>
      </c>
      <c r="AV25" s="51">
        <f t="shared" si="67"/>
        <v>4951.9207664735786</v>
      </c>
    </row>
    <row r="26" spans="1:48" ht="16.2" x14ac:dyDescent="0.85">
      <c r="A26" s="23"/>
      <c r="B26" s="219" t="s">
        <v>40</v>
      </c>
      <c r="C26" s="210"/>
      <c r="D26" s="104">
        <v>-0.2</v>
      </c>
      <c r="E26" s="104">
        <v>-4.4000000000000004</v>
      </c>
      <c r="F26" s="104">
        <v>0.4</v>
      </c>
      <c r="G26" s="104">
        <f t="shared" ref="G26" si="68">H26-F26-E26-D26</f>
        <v>-0.39999999999999963</v>
      </c>
      <c r="H26" s="174">
        <v>-4.5999999999999996</v>
      </c>
      <c r="I26" s="104">
        <v>-0.4</v>
      </c>
      <c r="J26" s="104">
        <v>-3.6</v>
      </c>
      <c r="K26" s="104">
        <v>0.3</v>
      </c>
      <c r="L26" s="104">
        <v>0.1</v>
      </c>
      <c r="M26" s="174">
        <f>SUM(I26:L26)</f>
        <v>-3.6</v>
      </c>
      <c r="N26" s="104">
        <v>0</v>
      </c>
      <c r="O26" s="104">
        <v>0</v>
      </c>
      <c r="P26" s="104">
        <v>0.8</v>
      </c>
      <c r="Q26" s="104">
        <v>0.2</v>
      </c>
      <c r="R26" s="174">
        <f>SUM(N26:Q26)</f>
        <v>1</v>
      </c>
      <c r="S26" s="104">
        <v>0.2</v>
      </c>
      <c r="T26" s="104">
        <f>AVERAGE(S26,Q26,P26,O26)</f>
        <v>0.30000000000000004</v>
      </c>
      <c r="U26" s="104">
        <v>0.8</v>
      </c>
      <c r="V26" s="104">
        <f>AVERAGE(U26,T26,S26,Q26)</f>
        <v>0.375</v>
      </c>
      <c r="W26" s="174">
        <f>SUM(S26:V26)</f>
        <v>1.675</v>
      </c>
      <c r="X26" s="104">
        <f>AVERAGE(V26,U26,T26,S26)</f>
        <v>0.41875000000000001</v>
      </c>
      <c r="Y26" s="104">
        <f>AVERAGE(X26,V26,U26,T26)</f>
        <v>0.47343750000000001</v>
      </c>
      <c r="Z26" s="104">
        <f>AVERAGE(Y26,X26,V26,U26)</f>
        <v>0.51679687500000004</v>
      </c>
      <c r="AA26" s="104">
        <f>AVERAGE(Z26,Y26,X26,V26)</f>
        <v>0.44599609374999999</v>
      </c>
      <c r="AB26" s="174">
        <f>SUM(X26:AA26)</f>
        <v>1.8549804687500002</v>
      </c>
      <c r="AC26" s="104">
        <f>AVERAGE(AA26,Z26,Y26,X26)</f>
        <v>0.4637451171875</v>
      </c>
      <c r="AD26" s="104">
        <f>AVERAGE(AC26,AA26,Z26,Y26)</f>
        <v>0.47499389648437501</v>
      </c>
      <c r="AE26" s="104">
        <f>AVERAGE(AD26,AC26,AA26,Z26)</f>
        <v>0.47538299560546876</v>
      </c>
      <c r="AF26" s="104">
        <f>AVERAGE(AE26,AD26,AC26,AA26)</f>
        <v>0.46502952575683593</v>
      </c>
      <c r="AG26" s="174">
        <f>SUM(AC26:AF26)</f>
        <v>1.8791515350341796</v>
      </c>
      <c r="AH26" s="104">
        <f>AVERAGE(AF26,AE26,AD26,AC26)</f>
        <v>0.46978788375854491</v>
      </c>
      <c r="AI26" s="104">
        <f>AVERAGE(AH26,AF26,AE26,AD26)</f>
        <v>0.47129857540130615</v>
      </c>
      <c r="AJ26" s="104">
        <f>AVERAGE(AI26,AH26,AF26,AE26)</f>
        <v>0.47037474513053895</v>
      </c>
      <c r="AK26" s="104">
        <f>AVERAGE(AJ26,AI26,AH26,AF26)</f>
        <v>0.4691226825118065</v>
      </c>
      <c r="AL26" s="53">
        <f>SUM(AH26:AK26)</f>
        <v>1.8805838868021965</v>
      </c>
      <c r="AM26" s="104">
        <f>AVERAGE(AK26,AJ26,AI26,AH26)</f>
        <v>0.47014597170054911</v>
      </c>
      <c r="AN26" s="104">
        <f>AVERAGE(AM26,AK26,AJ26,AI26)</f>
        <v>0.47023549368605017</v>
      </c>
      <c r="AO26" s="104">
        <f>AVERAGE(AN26,AM26,AK26,AJ26)</f>
        <v>0.46996972325723618</v>
      </c>
      <c r="AP26" s="104">
        <f>AVERAGE(AO26,AN26,AM26,AK26)</f>
        <v>0.4698684677889105</v>
      </c>
      <c r="AQ26" s="53">
        <f>SUM(AM26:AP26)</f>
        <v>1.880219656432746</v>
      </c>
      <c r="AR26" s="104">
        <f>AVERAGE(AP26,AO26,AN26,AM26)</f>
        <v>0.47005491410818651</v>
      </c>
      <c r="AS26" s="104">
        <f>AVERAGE(AR26,AP26,AO26,AN26)</f>
        <v>0.47003214971009583</v>
      </c>
      <c r="AT26" s="104">
        <f>AVERAGE(AS26,AR26,AP26,AO26)</f>
        <v>0.46998131371610724</v>
      </c>
      <c r="AU26" s="104">
        <f>AVERAGE(AT26,AS26,AR26,AP26)</f>
        <v>0.46998421133082502</v>
      </c>
      <c r="AV26" s="53">
        <f>SUM(AR26:AU26)</f>
        <v>1.8800525888652146</v>
      </c>
    </row>
    <row r="27" spans="1:48" s="8" customFormat="1" x14ac:dyDescent="0.55000000000000004">
      <c r="A27" s="20"/>
      <c r="B27" s="218" t="s">
        <v>16</v>
      </c>
      <c r="C27" s="211"/>
      <c r="D27" s="103">
        <f t="shared" ref="D27:AQ27" si="69">+D25-D26</f>
        <v>760.60000000000048</v>
      </c>
      <c r="E27" s="103">
        <f t="shared" si="69"/>
        <v>663.1999999999997</v>
      </c>
      <c r="F27" s="103">
        <f t="shared" si="69"/>
        <v>1372.8000000000009</v>
      </c>
      <c r="G27" s="103">
        <f t="shared" si="69"/>
        <v>802.60000000000093</v>
      </c>
      <c r="H27" s="172">
        <f t="shared" si="69"/>
        <v>3599.2000000000053</v>
      </c>
      <c r="I27" s="103">
        <f t="shared" si="69"/>
        <v>885.69999999999879</v>
      </c>
      <c r="J27" s="103">
        <f t="shared" si="69"/>
        <v>328.39999999999907</v>
      </c>
      <c r="K27" s="103">
        <f t="shared" si="69"/>
        <v>-678.39999999999918</v>
      </c>
      <c r="L27" s="50">
        <f t="shared" si="69"/>
        <v>392.60000000000042</v>
      </c>
      <c r="M27" s="51">
        <f t="shared" si="69"/>
        <v>928.30000000000439</v>
      </c>
      <c r="N27" s="50">
        <f t="shared" si="69"/>
        <v>622.20000000000016</v>
      </c>
      <c r="O27" s="103">
        <f t="shared" si="69"/>
        <v>659.4</v>
      </c>
      <c r="P27" s="103">
        <f t="shared" si="69"/>
        <v>1153.399999999999</v>
      </c>
      <c r="Q27" s="103">
        <f t="shared" si="69"/>
        <v>1764.3999999999999</v>
      </c>
      <c r="R27" s="172">
        <f t="shared" si="69"/>
        <v>4199.3999999999978</v>
      </c>
      <c r="S27" s="50">
        <f t="shared" si="69"/>
        <v>815.90000000000009</v>
      </c>
      <c r="T27" s="50">
        <f t="shared" si="69"/>
        <v>674.70000000000016</v>
      </c>
      <c r="U27" s="50">
        <f t="shared" si="69"/>
        <v>912.89999999999964</v>
      </c>
      <c r="V27" s="50">
        <f t="shared" si="69"/>
        <v>917.96830651974915</v>
      </c>
      <c r="W27" s="172">
        <f t="shared" si="69"/>
        <v>3321.4683065197423</v>
      </c>
      <c r="X27" s="50">
        <f t="shared" si="69"/>
        <v>923.67322187695345</v>
      </c>
      <c r="Y27" s="50">
        <f t="shared" si="69"/>
        <v>941.62624423414013</v>
      </c>
      <c r="Z27" s="50">
        <f t="shared" si="69"/>
        <v>955.9777008204245</v>
      </c>
      <c r="AA27" s="50">
        <f t="shared" si="69"/>
        <v>982.23263914996255</v>
      </c>
      <c r="AB27" s="51">
        <f t="shared" si="69"/>
        <v>3803.5098060814789</v>
      </c>
      <c r="AC27" s="50">
        <f t="shared" si="69"/>
        <v>984.98467657536651</v>
      </c>
      <c r="AD27" s="50">
        <f t="shared" si="69"/>
        <v>1005.8562772402181</v>
      </c>
      <c r="AE27" s="50">
        <f t="shared" si="69"/>
        <v>1022.3077410039639</v>
      </c>
      <c r="AF27" s="50">
        <f t="shared" si="69"/>
        <v>1050.523767191776</v>
      </c>
      <c r="AG27" s="51">
        <f t="shared" si="69"/>
        <v>4063.6724620113209</v>
      </c>
      <c r="AH27" s="50">
        <f t="shared" si="69"/>
        <v>1050.4334815694767</v>
      </c>
      <c r="AI27" s="50">
        <f t="shared" si="69"/>
        <v>1074.1808197920816</v>
      </c>
      <c r="AJ27" s="50">
        <f t="shared" si="69"/>
        <v>1092.5420183662702</v>
      </c>
      <c r="AK27" s="50">
        <f t="shared" si="69"/>
        <v>1123.1760799058222</v>
      </c>
      <c r="AL27" s="51">
        <f t="shared" si="69"/>
        <v>4340.3323996336476</v>
      </c>
      <c r="AM27" s="50">
        <f t="shared" si="69"/>
        <v>1120.2166338180116</v>
      </c>
      <c r="AN27" s="50">
        <f t="shared" si="69"/>
        <v>1146.9458436304262</v>
      </c>
      <c r="AO27" s="50">
        <f t="shared" si="69"/>
        <v>1167.1978871949882</v>
      </c>
      <c r="AP27" s="50">
        <f t="shared" si="69"/>
        <v>1200.699773575667</v>
      </c>
      <c r="AQ27" s="51">
        <f t="shared" si="69"/>
        <v>4635.0601382190944</v>
      </c>
      <c r="AR27" s="50">
        <f t="shared" ref="AR27:AV27" si="70">+AR25-AR26</f>
        <v>1194.731877832194</v>
      </c>
      <c r="AS27" s="50">
        <f t="shared" si="70"/>
        <v>1224.6667632178585</v>
      </c>
      <c r="AT27" s="50">
        <f t="shared" si="70"/>
        <v>1246.8896853169579</v>
      </c>
      <c r="AU27" s="50">
        <f t="shared" si="70"/>
        <v>1283.7523875177008</v>
      </c>
      <c r="AV27" s="51">
        <f t="shared" si="70"/>
        <v>4950.0407138847131</v>
      </c>
    </row>
    <row r="28" spans="1:48" s="8" customFormat="1" ht="16.2" x14ac:dyDescent="0.85">
      <c r="A28" s="20"/>
      <c r="B28" s="87" t="s">
        <v>72</v>
      </c>
      <c r="C28" s="84"/>
      <c r="D28" s="109">
        <f t="shared" ref="D28:AA28" si="71">-D171-D172</f>
        <v>41.449999999998646</v>
      </c>
      <c r="E28" s="109">
        <f t="shared" si="71"/>
        <v>-54.179999999999545</v>
      </c>
      <c r="F28" s="109">
        <f t="shared" si="71"/>
        <v>-544.16000000000076</v>
      </c>
      <c r="G28" s="109">
        <f t="shared" si="71"/>
        <v>-30</v>
      </c>
      <c r="H28" s="179">
        <f>SUM(D28:G28)</f>
        <v>-586.89000000000169</v>
      </c>
      <c r="I28" s="109">
        <f t="shared" si="71"/>
        <v>-11</v>
      </c>
      <c r="J28" s="109">
        <f t="shared" si="71"/>
        <v>-23</v>
      </c>
      <c r="K28" s="109">
        <f t="shared" si="71"/>
        <v>-35.055</v>
      </c>
      <c r="L28" s="91">
        <f>-L171-L172</f>
        <v>-50.810000000000372</v>
      </c>
      <c r="M28" s="92">
        <f>SUM(I28:L28)</f>
        <v>-119.86500000000038</v>
      </c>
      <c r="N28" s="109">
        <f t="shared" si="71"/>
        <v>-35.49</v>
      </c>
      <c r="O28" s="109">
        <f t="shared" si="71"/>
        <v>-11.847999999999999</v>
      </c>
      <c r="P28" s="109">
        <f t="shared" si="71"/>
        <v>-11.862</v>
      </c>
      <c r="Q28" s="109">
        <f t="shared" si="71"/>
        <v>-696.10940000000005</v>
      </c>
      <c r="R28" s="179">
        <f>SUM(N28:Q28)</f>
        <v>-755.3094000000001</v>
      </c>
      <c r="S28" s="91">
        <f t="shared" si="71"/>
        <v>-3.9480000000003299</v>
      </c>
      <c r="T28" s="91">
        <f t="shared" si="71"/>
        <v>-46.156000000000006</v>
      </c>
      <c r="U28" s="91">
        <f t="shared" si="71"/>
        <v>-23.02</v>
      </c>
      <c r="V28" s="91">
        <f t="shared" si="71"/>
        <v>-23.168516129032255</v>
      </c>
      <c r="W28" s="179">
        <f>SUM(S28:V28)</f>
        <v>-96.292516129032592</v>
      </c>
      <c r="X28" s="91">
        <f t="shared" si="71"/>
        <v>-23.168516129032255</v>
      </c>
      <c r="Y28" s="91">
        <f t="shared" si="71"/>
        <v>-23.168516129032255</v>
      </c>
      <c r="Z28" s="91">
        <f t="shared" si="71"/>
        <v>-23.168516129032255</v>
      </c>
      <c r="AA28" s="91">
        <f t="shared" si="71"/>
        <v>-23.168516129032255</v>
      </c>
      <c r="AB28" s="92">
        <f>SUM(X28:AA28)</f>
        <v>-92.674064516129022</v>
      </c>
      <c r="AC28" s="91">
        <f t="shared" ref="AC28:AF28" si="72">-AC171-AC172</f>
        <v>-23.168516129032255</v>
      </c>
      <c r="AD28" s="91">
        <f t="shared" si="72"/>
        <v>-23.168516129032255</v>
      </c>
      <c r="AE28" s="91">
        <f t="shared" si="72"/>
        <v>-23.168516129032255</v>
      </c>
      <c r="AF28" s="91">
        <f t="shared" si="72"/>
        <v>-23.168516129032255</v>
      </c>
      <c r="AG28" s="92">
        <f>SUM(AC28:AF28)</f>
        <v>-92.674064516129022</v>
      </c>
      <c r="AH28" s="91">
        <f t="shared" ref="AH28:AK28" si="73">-AH171-AH172</f>
        <v>-23.168516129032255</v>
      </c>
      <c r="AI28" s="91">
        <f t="shared" si="73"/>
        <v>-23.168516129032255</v>
      </c>
      <c r="AJ28" s="91">
        <f t="shared" si="73"/>
        <v>-23.168516129032255</v>
      </c>
      <c r="AK28" s="91">
        <f t="shared" si="73"/>
        <v>-23.168516129032255</v>
      </c>
      <c r="AL28" s="92">
        <f>SUM(AH28:AK28)</f>
        <v>-92.674064516129022</v>
      </c>
      <c r="AM28" s="91">
        <f t="shared" ref="AM28:AP28" si="74">-AM171-AM172</f>
        <v>-23.168516129032255</v>
      </c>
      <c r="AN28" s="91">
        <f t="shared" si="74"/>
        <v>-23.168516129032255</v>
      </c>
      <c r="AO28" s="91">
        <f t="shared" si="74"/>
        <v>-23.168516129032255</v>
      </c>
      <c r="AP28" s="91">
        <f t="shared" si="74"/>
        <v>-23.168516129032255</v>
      </c>
      <c r="AQ28" s="92">
        <f>SUM(AM28:AP28)</f>
        <v>-92.674064516129022</v>
      </c>
      <c r="AR28" s="91">
        <f t="shared" ref="AR28:AU28" si="75">-AR171-AR172</f>
        <v>-23.168516129032255</v>
      </c>
      <c r="AS28" s="91">
        <f t="shared" si="75"/>
        <v>-23.168516129032255</v>
      </c>
      <c r="AT28" s="91">
        <f t="shared" si="75"/>
        <v>-23.168516129032255</v>
      </c>
      <c r="AU28" s="91">
        <f t="shared" si="75"/>
        <v>-23.168516129032255</v>
      </c>
      <c r="AV28" s="92">
        <f>SUM(AR28:AU28)</f>
        <v>-92.674064516129022</v>
      </c>
    </row>
    <row r="29" spans="1:48" s="8" customFormat="1" x14ac:dyDescent="0.55000000000000004">
      <c r="A29" s="20"/>
      <c r="B29" s="85" t="s">
        <v>73</v>
      </c>
      <c r="C29" s="86"/>
      <c r="D29" s="108">
        <f t="shared" ref="D29:AQ29" si="76">+D19+D20+D21+D22-D24-D26+D28</f>
        <v>940.04999999999916</v>
      </c>
      <c r="E29" s="108">
        <f t="shared" si="76"/>
        <v>750.42000000000007</v>
      </c>
      <c r="F29" s="108">
        <f t="shared" si="76"/>
        <v>953.94</v>
      </c>
      <c r="G29" s="108">
        <f t="shared" si="76"/>
        <v>850.00000000000102</v>
      </c>
      <c r="H29" s="178">
        <f t="shared" si="76"/>
        <v>3494.4100000000039</v>
      </c>
      <c r="I29" s="108">
        <f t="shared" si="76"/>
        <v>946.2999999999987</v>
      </c>
      <c r="J29" s="108">
        <f t="shared" si="76"/>
        <v>372.19999999999902</v>
      </c>
      <c r="K29" s="108">
        <f t="shared" si="76"/>
        <v>-539.7749999999993</v>
      </c>
      <c r="L29" s="80">
        <f>+L19+L20+L21+L22-L24-L26+L28</f>
        <v>601.29</v>
      </c>
      <c r="M29" s="81">
        <f t="shared" si="76"/>
        <v>1380.0150000000035</v>
      </c>
      <c r="N29" s="108">
        <f t="shared" si="76"/>
        <v>721.61000000000024</v>
      </c>
      <c r="O29" s="108">
        <f t="shared" si="76"/>
        <v>735.75199999999995</v>
      </c>
      <c r="P29" s="108">
        <f t="shared" si="76"/>
        <v>1193.2379999999987</v>
      </c>
      <c r="Q29" s="108">
        <f t="shared" si="76"/>
        <v>1183.4905999999996</v>
      </c>
      <c r="R29" s="178">
        <f t="shared" si="76"/>
        <v>3834.0905999999977</v>
      </c>
      <c r="S29" s="80">
        <f t="shared" si="76"/>
        <v>847.15199999999982</v>
      </c>
      <c r="T29" s="80">
        <f t="shared" si="76"/>
        <v>676.04400000000032</v>
      </c>
      <c r="U29" s="80">
        <f t="shared" si="76"/>
        <v>967.37999999999965</v>
      </c>
      <c r="V29" s="80">
        <f t="shared" si="76"/>
        <v>972.79979039071691</v>
      </c>
      <c r="W29" s="178">
        <f t="shared" si="76"/>
        <v>3463.3757903907094</v>
      </c>
      <c r="X29" s="80">
        <f t="shared" si="76"/>
        <v>978.50470574792121</v>
      </c>
      <c r="Y29" s="80">
        <f t="shared" si="76"/>
        <v>996.45772810510789</v>
      </c>
      <c r="Z29" s="80">
        <f t="shared" si="76"/>
        <v>1010.8091846913921</v>
      </c>
      <c r="AA29" s="80">
        <f t="shared" si="76"/>
        <v>1037.0641230209303</v>
      </c>
      <c r="AB29" s="81">
        <f t="shared" si="76"/>
        <v>4022.83574156535</v>
      </c>
      <c r="AC29" s="80">
        <f t="shared" si="76"/>
        <v>1039.8161604463342</v>
      </c>
      <c r="AD29" s="80">
        <f t="shared" si="76"/>
        <v>1060.6877611111859</v>
      </c>
      <c r="AE29" s="80">
        <f t="shared" si="76"/>
        <v>1077.1392248749316</v>
      </c>
      <c r="AF29" s="80">
        <f t="shared" si="76"/>
        <v>1105.3552510627437</v>
      </c>
      <c r="AG29" s="81">
        <f t="shared" si="76"/>
        <v>4282.998397495192</v>
      </c>
      <c r="AH29" s="80">
        <f t="shared" si="76"/>
        <v>1105.2649654404445</v>
      </c>
      <c r="AI29" s="80">
        <f t="shared" si="76"/>
        <v>1129.0123036630494</v>
      </c>
      <c r="AJ29" s="80">
        <f t="shared" si="76"/>
        <v>1147.373502237238</v>
      </c>
      <c r="AK29" s="80">
        <f t="shared" si="76"/>
        <v>1178.00756377679</v>
      </c>
      <c r="AL29" s="81">
        <f t="shared" si="76"/>
        <v>4559.6583351175186</v>
      </c>
      <c r="AM29" s="80">
        <f t="shared" si="76"/>
        <v>1175.0481176889793</v>
      </c>
      <c r="AN29" s="80">
        <f t="shared" si="76"/>
        <v>1201.777327501394</v>
      </c>
      <c r="AO29" s="80">
        <f t="shared" si="76"/>
        <v>1222.029371065956</v>
      </c>
      <c r="AP29" s="80">
        <f t="shared" si="76"/>
        <v>1255.5312574466348</v>
      </c>
      <c r="AQ29" s="81">
        <f t="shared" si="76"/>
        <v>4854.3860737029654</v>
      </c>
      <c r="AR29" s="80">
        <f t="shared" ref="AR29:AV29" si="77">+AR19+AR20+AR21+AR22-AR24-AR26+AR28</f>
        <v>1249.5633617031617</v>
      </c>
      <c r="AS29" s="80">
        <f t="shared" si="77"/>
        <v>1279.4982470888262</v>
      </c>
      <c r="AT29" s="80">
        <f t="shared" si="77"/>
        <v>1301.7211691879256</v>
      </c>
      <c r="AU29" s="80">
        <f t="shared" si="77"/>
        <v>1338.5838713886685</v>
      </c>
      <c r="AV29" s="81">
        <f t="shared" si="77"/>
        <v>5169.3666493685841</v>
      </c>
    </row>
    <row r="30" spans="1:48" x14ac:dyDescent="0.55000000000000004">
      <c r="B30" s="286" t="s">
        <v>0</v>
      </c>
      <c r="C30" s="287"/>
      <c r="D30" s="101">
        <v>1242</v>
      </c>
      <c r="E30" s="101">
        <v>1239.2</v>
      </c>
      <c r="F30" s="101">
        <v>1211</v>
      </c>
      <c r="G30" s="101">
        <v>1210.7904210526317</v>
      </c>
      <c r="H30" s="170">
        <v>1221.2</v>
      </c>
      <c r="I30" s="101">
        <v>1180.4000000000001</v>
      </c>
      <c r="J30" s="101">
        <v>1171.8</v>
      </c>
      <c r="K30" s="101">
        <v>1168.5</v>
      </c>
      <c r="L30" s="101">
        <v>1167.3874645009873</v>
      </c>
      <c r="M30" s="17">
        <f>+(I27/M27*I30)+(J27/M27*J30)+(K27/M27*K30)+(L27/M27*L30)</f>
        <v>1180.550811766758</v>
      </c>
      <c r="N30" s="101">
        <v>1175</v>
      </c>
      <c r="O30" s="101">
        <v>1177.5</v>
      </c>
      <c r="P30" s="101">
        <v>1178.5</v>
      </c>
      <c r="Q30" s="101">
        <v>1179.5008492569002</v>
      </c>
      <c r="R30" s="170">
        <f>+(N27/R27*N30)+(O27/R27*O30)+(P27/R27*P30)+(Q27/R27*Q30)</f>
        <v>1178.2449155662418</v>
      </c>
      <c r="S30" s="16">
        <v>1169.5999999999999</v>
      </c>
      <c r="T30" s="16">
        <v>1149.2</v>
      </c>
      <c r="U30" s="16">
        <v>1147</v>
      </c>
      <c r="V30" s="16">
        <f>U30*(1+V151)-V155-V158-V161</f>
        <v>1144.8042116254785</v>
      </c>
      <c r="W30" s="170">
        <f>+(S27/W27*S30)+(T27/W27*T30)+(U27/W27*U30)+(V27/W27*V30)</f>
        <v>1152.3915961893181</v>
      </c>
      <c r="X30" s="16">
        <f>V30*(1+X151)-X155-X158-X161</f>
        <v>1139.1223934436603</v>
      </c>
      <c r="Y30" s="16">
        <f>X30*(1+Y151)-Y155-Y158-Y161</f>
        <v>1133.440575261842</v>
      </c>
      <c r="Z30" s="16">
        <f>Y30*(1+Z151)-Z155-Z158-Z161</f>
        <v>1127.7587570800238</v>
      </c>
      <c r="AA30" s="16">
        <f>Z30*(1+AA151)-AA155-AA158-AA161</f>
        <v>1122.0769388982055</v>
      </c>
      <c r="AB30" s="17">
        <f>+(X27/AB27*X30)+(Y27/AB27*Y30)+(Z27/AB27*Z30)+(AA27/AB27*AA30)</f>
        <v>1130.4577296034797</v>
      </c>
      <c r="AC30" s="16">
        <f>AA30*(1+AC151)-AC155-AC158-AC161</f>
        <v>1119.2360298072965</v>
      </c>
      <c r="AD30" s="16">
        <f>AC30*(1+AD151)-AD155-AD158-AD161</f>
        <v>1116.3951207163875</v>
      </c>
      <c r="AE30" s="16">
        <f>AD30*(1+AE151)-AE155-AE158-AE161</f>
        <v>1113.5542116254785</v>
      </c>
      <c r="AF30" s="16">
        <f>AE30*(1+AF151)-AF155-AF158-AF161</f>
        <v>1110.7133025345695</v>
      </c>
      <c r="AG30" s="17">
        <f>+(AC27/AG27*AC30)+(AD27/AG27*AD30)+(AE27/AG27*AE30)+(AF27/AG27*AF30)</f>
        <v>1114.9001881078457</v>
      </c>
      <c r="AH30" s="16">
        <f>AF30*(1+AH151)-AH155-AH158-AH161</f>
        <v>1107.8723934436605</v>
      </c>
      <c r="AI30" s="16">
        <f>AH30*(1+AI151)-AI155-AI158-AI161</f>
        <v>1105.0314843527515</v>
      </c>
      <c r="AJ30" s="16">
        <f>AI30*(1+AJ151)-AJ155-AJ158-AJ161</f>
        <v>1102.1905752618425</v>
      </c>
      <c r="AK30" s="16">
        <f>AJ30*(1+AK151)-AK155-AK158-AK161</f>
        <v>1099.3496661709335</v>
      </c>
      <c r="AL30" s="17">
        <f>+(AH27/AL27*AH30)+(AI27/AL27*AI30)+(AJ27/AL27*AJ30)+(AK27/AL27*AK30)</f>
        <v>1103.5336016565486</v>
      </c>
      <c r="AM30" s="16">
        <f>AK30*(1+AM151)-AM155-AM158-AM161</f>
        <v>1096.5087570800245</v>
      </c>
      <c r="AN30" s="16">
        <f>AM30*(1+AN151)-AN155-AN158-AN161</f>
        <v>1093.6678479891154</v>
      </c>
      <c r="AO30" s="16">
        <f>AN30*(1+AO151)-AO155-AO158-AO161</f>
        <v>1090.8269388982064</v>
      </c>
      <c r="AP30" s="16">
        <f>AO30*(1+AP151)-AP155-AP158-AP161</f>
        <v>1087.9860298072974</v>
      </c>
      <c r="AQ30" s="17">
        <f>+(AM27/AQ27*AM30)+(AN27/AQ27*AN30)+(AO27/AQ27*AO30)+(AP27/AQ27*AP30)</f>
        <v>1092.1671927512521</v>
      </c>
      <c r="AR30" s="16">
        <f>AP30*(1+AR151)-AR155-AR158-AR161</f>
        <v>1085.1451207163884</v>
      </c>
      <c r="AS30" s="16">
        <f>AR30*(1+AS151)-AS155-AS158-AS161</f>
        <v>1082.3042116254794</v>
      </c>
      <c r="AT30" s="16">
        <f>AS30*(1+AT151)-AT155-AT158-AT161</f>
        <v>1079.4633025345704</v>
      </c>
      <c r="AU30" s="16">
        <f>AT30*(1+AU151)-AU155-AU158-AU161</f>
        <v>1076.6223934436614</v>
      </c>
      <c r="AV30" s="17">
        <f>+(AR27/AV27*AR30)+(AS27/AV27*AS30)+(AT27/AV27*AT30)+(AU27/AV27*AU30)</f>
        <v>1080.8007445479413</v>
      </c>
    </row>
    <row r="31" spans="1:48" ht="15.75" customHeight="1" x14ac:dyDescent="0.55000000000000004">
      <c r="B31" s="286" t="s">
        <v>1</v>
      </c>
      <c r="C31" s="287"/>
      <c r="D31" s="101">
        <v>1253.4000000000001</v>
      </c>
      <c r="E31" s="101">
        <v>1250.7</v>
      </c>
      <c r="F31" s="101">
        <v>1223</v>
      </c>
      <c r="G31" s="101">
        <v>1222.8144210526316</v>
      </c>
      <c r="H31" s="170">
        <v>1233.2</v>
      </c>
      <c r="I31" s="101">
        <v>1191</v>
      </c>
      <c r="J31" s="101">
        <v>1180.7</v>
      </c>
      <c r="K31" s="101">
        <v>1168.5</v>
      </c>
      <c r="L31" s="101">
        <v>1179</v>
      </c>
      <c r="M31" s="17">
        <f>+(I27/M27*I31)+(J27/M27*J31)+(K27/M27*K31)+(L27/M27*L31)</f>
        <v>1198.7240978132002</v>
      </c>
      <c r="N31" s="101">
        <v>1183</v>
      </c>
      <c r="O31" s="101">
        <v>1184.8</v>
      </c>
      <c r="P31" s="101">
        <v>1186.2</v>
      </c>
      <c r="Q31" s="101">
        <v>1187.9000000000001</v>
      </c>
      <c r="R31" s="170">
        <f>+(N27/R27*N31)+(O27/R27*O31)+(P27/R27*P31)+(Q27/R27*Q31)</f>
        <v>1186.2203076629999</v>
      </c>
      <c r="S31" s="16">
        <v>1176.5999999999999</v>
      </c>
      <c r="T31" s="16">
        <v>1153.9000000000001</v>
      </c>
      <c r="U31" s="16">
        <v>1151</v>
      </c>
      <c r="V31" s="16">
        <f>U31*(1+V152)-V155-V158-V161</f>
        <v>1148.1072883265447</v>
      </c>
      <c r="W31" s="170">
        <f>+(S27/W27*S31)+(T27/W27*T31)+(U27/W27*U31)+(V27/W27*V31)</f>
        <v>1157.0781107934249</v>
      </c>
      <c r="X31" s="16">
        <f>V31*(1+X152)-X155-X158-X161</f>
        <v>1142.4254701447264</v>
      </c>
      <c r="Y31" s="16">
        <f>X31*(1+Y152)-Y155-Y158-Y161</f>
        <v>1136.7436519629082</v>
      </c>
      <c r="Z31" s="16">
        <f>Y31*(1+Z152)-Z155-Z158-Z161</f>
        <v>1131.0618337810899</v>
      </c>
      <c r="AA31" s="16">
        <f>Z31*(1+AA152)-AA155-AA158-AA161</f>
        <v>1125.3800155992717</v>
      </c>
      <c r="AB31" s="17">
        <f>+(X27/AB27*X31)+(Y27/AB27*Y31)+(Z27/AB27*Z31)+(AA27/AB27*AA31)</f>
        <v>1133.7608063045461</v>
      </c>
      <c r="AC31" s="16">
        <f>AA31*(1+AC152)-AC155-AC158-AC161</f>
        <v>1122.5391065083627</v>
      </c>
      <c r="AD31" s="16">
        <f>AC31*(1+AD152)-AD155-AD158-AD161</f>
        <v>1119.6981974174537</v>
      </c>
      <c r="AE31" s="16">
        <f>AD31*(1+AE152)-AE155-AE158-AE161</f>
        <v>1116.8572883265447</v>
      </c>
      <c r="AF31" s="16">
        <f>AE31*(1+AF152)-AF155-AF158-AF161</f>
        <v>1114.0163792356357</v>
      </c>
      <c r="AG31" s="17">
        <f>+(AC27/AG27*AC31)+(AD27/AG27*AD31)+(AE27/AG27*AE31)+(AF27/AG27*AF31)</f>
        <v>1118.2032648089119</v>
      </c>
      <c r="AH31" s="16">
        <f>AF31*(1+AH152)-AH155-AH158-AH161</f>
        <v>1111.1754701447267</v>
      </c>
      <c r="AI31" s="16">
        <f>AH31*(1+AI152)-AI155-AI158-AI161</f>
        <v>1108.3345610538177</v>
      </c>
      <c r="AJ31" s="16">
        <f>AI31*(1+AJ152)-AJ155-AJ158-AJ161</f>
        <v>1105.4936519629086</v>
      </c>
      <c r="AK31" s="16">
        <f>AJ31*(1+AK152)-AK155-AK158-AK161</f>
        <v>1102.6527428719996</v>
      </c>
      <c r="AL31" s="17">
        <f>+(AH27/AL27*AH31)+(AI27/AL27*AI31)+(AJ27/AL27*AJ31)+(AK27/AL27*AK31)</f>
        <v>1106.8366783576148</v>
      </c>
      <c r="AM31" s="16">
        <f>AK31*(1+AM152)-AM155-AM158-AM161</f>
        <v>1099.8118337810906</v>
      </c>
      <c r="AN31" s="16">
        <f>AM31*(1+AN152)-AN155-AN158-AN161</f>
        <v>1096.9709246901816</v>
      </c>
      <c r="AO31" s="16">
        <f>AN31*(1+AO152)-AO155-AO158-AO161</f>
        <v>1094.1300155992726</v>
      </c>
      <c r="AP31" s="16">
        <f>AO31*(1+AP152)-AP155-AP158-AP161</f>
        <v>1091.2891065083636</v>
      </c>
      <c r="AQ31" s="17">
        <f>+(AM27/AQ27*AM31)+(AN27/AQ27*AN31)+(AO27/AQ27*AO31)+(AP27/AQ27*AP31)</f>
        <v>1095.4702694523185</v>
      </c>
      <c r="AR31" s="16">
        <f>AP31*(1+AR152)-AR155-AR158-AR161</f>
        <v>1088.4481974174546</v>
      </c>
      <c r="AS31" s="16">
        <f>AR31*(1+AS152)-AS155-AS158-AS161</f>
        <v>1085.6072883265456</v>
      </c>
      <c r="AT31" s="16">
        <f>AS31*(1+AT152)-AT155-AT158-AT161</f>
        <v>1082.7663792356366</v>
      </c>
      <c r="AU31" s="16">
        <f>AT31*(1+AU152)-AU155-AU158-AU161</f>
        <v>1079.9254701447276</v>
      </c>
      <c r="AV31" s="17">
        <f>+(AR27/AV27*AR31)+(AS27/AV27*AS31)+(AT27/AV27*AT31)+(AU27/AV27*AU31)</f>
        <v>1084.1038212490078</v>
      </c>
    </row>
    <row r="32" spans="1:48" ht="15.75" customHeight="1" x14ac:dyDescent="0.55000000000000004">
      <c r="B32" s="288" t="s">
        <v>6</v>
      </c>
      <c r="C32" s="289"/>
      <c r="D32" s="110">
        <f t="shared" ref="D32:AQ32" si="78">D27/D30</f>
        <v>0.61239935587761718</v>
      </c>
      <c r="E32" s="110">
        <f t="shared" si="78"/>
        <v>0.53518398967075509</v>
      </c>
      <c r="F32" s="110">
        <f t="shared" si="78"/>
        <v>1.1336085879438487</v>
      </c>
      <c r="G32" s="110">
        <f t="shared" si="78"/>
        <v>0.66287276975832043</v>
      </c>
      <c r="H32" s="175">
        <f t="shared" si="78"/>
        <v>2.947264985260404</v>
      </c>
      <c r="I32" s="110">
        <f t="shared" si="78"/>
        <v>0.75033886818027684</v>
      </c>
      <c r="J32" s="110">
        <f t="shared" si="78"/>
        <v>0.28025260283324721</v>
      </c>
      <c r="K32" s="110">
        <f t="shared" si="78"/>
        <v>-0.58057338468121455</v>
      </c>
      <c r="L32" s="110">
        <f t="shared" si="78"/>
        <v>0.3363065065700544</v>
      </c>
      <c r="M32" s="25">
        <f t="shared" si="78"/>
        <v>0.78632786555858059</v>
      </c>
      <c r="N32" s="110">
        <f t="shared" si="78"/>
        <v>0.52953191489361717</v>
      </c>
      <c r="O32" s="110">
        <f t="shared" si="78"/>
        <v>0.55999999999999994</v>
      </c>
      <c r="P32" s="110">
        <f t="shared" si="78"/>
        <v>0.97870173949936268</v>
      </c>
      <c r="Q32" s="110">
        <f t="shared" si="78"/>
        <v>1.495887011112873</v>
      </c>
      <c r="R32" s="175">
        <f t="shared" si="78"/>
        <v>3.5641146798260079</v>
      </c>
      <c r="S32" s="24">
        <f t="shared" si="78"/>
        <v>0.69758891928864586</v>
      </c>
      <c r="T32" s="24">
        <f t="shared" si="78"/>
        <v>0.58710407239819018</v>
      </c>
      <c r="U32" s="24">
        <f t="shared" si="78"/>
        <v>0.79590235396686981</v>
      </c>
      <c r="V32" s="24">
        <f t="shared" si="78"/>
        <v>0.80185615775849495</v>
      </c>
      <c r="W32" s="175">
        <f t="shared" si="78"/>
        <v>2.8822392644158805</v>
      </c>
      <c r="X32" s="24">
        <f t="shared" si="78"/>
        <v>0.81086389591957164</v>
      </c>
      <c r="Y32" s="24">
        <f t="shared" si="78"/>
        <v>0.83076807446796241</v>
      </c>
      <c r="Z32" s="24">
        <f t="shared" si="78"/>
        <v>0.84767925304843361</v>
      </c>
      <c r="AA32" s="24">
        <f t="shared" si="78"/>
        <v>0.87537013292015475</v>
      </c>
      <c r="AB32" s="25">
        <f t="shared" si="78"/>
        <v>3.3645749915970775</v>
      </c>
      <c r="AC32" s="24">
        <f t="shared" si="78"/>
        <v>0.88005090109988271</v>
      </c>
      <c r="AD32" s="24">
        <f t="shared" si="78"/>
        <v>0.90098591311897092</v>
      </c>
      <c r="AE32" s="24">
        <f t="shared" si="78"/>
        <v>0.91805834896145722</v>
      </c>
      <c r="AF32" s="24">
        <f t="shared" si="78"/>
        <v>0.94581001667536957</v>
      </c>
      <c r="AG32" s="25">
        <f t="shared" si="78"/>
        <v>3.644875573039402</v>
      </c>
      <c r="AH32" s="24">
        <f t="shared" si="78"/>
        <v>0.94815385579232347</v>
      </c>
      <c r="AI32" s="24">
        <f t="shared" si="78"/>
        <v>0.97208164201878822</v>
      </c>
      <c r="AJ32" s="24">
        <f t="shared" si="78"/>
        <v>0.99124601760155673</v>
      </c>
      <c r="AK32" s="24">
        <f t="shared" si="78"/>
        <v>1.0216731895847815</v>
      </c>
      <c r="AL32" s="25">
        <f t="shared" si="78"/>
        <v>3.9331221025968213</v>
      </c>
      <c r="AM32" s="24">
        <f t="shared" si="78"/>
        <v>1.021621237938054</v>
      </c>
      <c r="AN32" s="24">
        <f t="shared" si="78"/>
        <v>1.048714969301942</v>
      </c>
      <c r="AO32" s="24">
        <f t="shared" si="78"/>
        <v>1.0700119749278658</v>
      </c>
      <c r="AP32" s="24">
        <f t="shared" si="78"/>
        <v>1.1035985211945536</v>
      </c>
      <c r="AQ32" s="25">
        <f t="shared" si="78"/>
        <v>4.2439107940452105</v>
      </c>
      <c r="AR32" s="24">
        <f t="shared" ref="AR32:AV32" si="79">AR27/AR30</f>
        <v>1.1009881121185514</v>
      </c>
      <c r="AS32" s="24">
        <f t="shared" si="79"/>
        <v>1.1315365403397712</v>
      </c>
      <c r="AT32" s="24">
        <f t="shared" si="79"/>
        <v>1.1551015049694342</v>
      </c>
      <c r="AU32" s="24">
        <f t="shared" si="79"/>
        <v>1.1923887105965889</v>
      </c>
      <c r="AV32" s="25">
        <f t="shared" si="79"/>
        <v>4.5799752996609291</v>
      </c>
    </row>
    <row r="33" spans="2:48" x14ac:dyDescent="0.55000000000000004">
      <c r="B33" s="288" t="s">
        <v>7</v>
      </c>
      <c r="C33" s="289"/>
      <c r="D33" s="110">
        <f t="shared" ref="D33:AQ33" si="80">D27/D31</f>
        <v>0.60682942396681061</v>
      </c>
      <c r="E33" s="110">
        <f t="shared" si="80"/>
        <v>0.53026305269049312</v>
      </c>
      <c r="F33" s="110">
        <f t="shared" si="80"/>
        <v>1.1224856909239582</v>
      </c>
      <c r="G33" s="110">
        <f t="shared" si="80"/>
        <v>0.65635470614510849</v>
      </c>
      <c r="H33" s="175">
        <f t="shared" si="80"/>
        <v>2.9185857930587131</v>
      </c>
      <c r="I33" s="110">
        <f t="shared" si="80"/>
        <v>0.74366078925272783</v>
      </c>
      <c r="J33" s="110">
        <f t="shared" si="80"/>
        <v>0.27814008638942922</v>
      </c>
      <c r="K33" s="110">
        <f t="shared" si="80"/>
        <v>-0.58057338468121455</v>
      </c>
      <c r="L33" s="110">
        <f t="shared" si="80"/>
        <v>0.3329940627650555</v>
      </c>
      <c r="M33" s="175">
        <f t="shared" si="80"/>
        <v>0.7744067226924668</v>
      </c>
      <c r="N33" s="110">
        <f t="shared" si="80"/>
        <v>0.52595097210481845</v>
      </c>
      <c r="O33" s="110">
        <f t="shared" si="80"/>
        <v>0.55654962862930457</v>
      </c>
      <c r="P33" s="110">
        <f t="shared" si="80"/>
        <v>0.97234867644579237</v>
      </c>
      <c r="Q33" s="110">
        <f t="shared" si="80"/>
        <v>1.4853102112972469</v>
      </c>
      <c r="R33" s="175">
        <f t="shared" si="80"/>
        <v>3.5401518359379072</v>
      </c>
      <c r="S33" s="24">
        <f t="shared" si="80"/>
        <v>0.69343872174060861</v>
      </c>
      <c r="T33" s="24">
        <f t="shared" si="80"/>
        <v>0.58471271340670783</v>
      </c>
      <c r="U33" s="24">
        <f t="shared" si="80"/>
        <v>0.79313640312771472</v>
      </c>
      <c r="V33" s="24">
        <f t="shared" si="80"/>
        <v>0.7995492371255295</v>
      </c>
      <c r="W33" s="175">
        <f t="shared" si="80"/>
        <v>2.8705653279035452</v>
      </c>
      <c r="X33" s="24">
        <f t="shared" si="80"/>
        <v>0.8085194579563596</v>
      </c>
      <c r="Y33" s="24">
        <f t="shared" si="80"/>
        <v>0.82835408194992521</v>
      </c>
      <c r="Z33" s="24">
        <f t="shared" si="80"/>
        <v>0.84520374772494367</v>
      </c>
      <c r="AA33" s="24">
        <f t="shared" si="80"/>
        <v>0.87280085440909283</v>
      </c>
      <c r="AB33" s="25">
        <f t="shared" si="80"/>
        <v>3.3547727041992981</v>
      </c>
      <c r="AC33" s="24">
        <f t="shared" si="80"/>
        <v>0.87746134710544144</v>
      </c>
      <c r="AD33" s="24">
        <f t="shared" si="80"/>
        <v>0.89832803121429672</v>
      </c>
      <c r="AE33" s="24">
        <f t="shared" si="80"/>
        <v>0.91534321500981553</v>
      </c>
      <c r="AF33" s="24">
        <f t="shared" si="80"/>
        <v>0.94300567457776152</v>
      </c>
      <c r="AG33" s="25">
        <f t="shared" si="80"/>
        <v>3.6341089226794163</v>
      </c>
      <c r="AH33" s="24">
        <f t="shared" si="80"/>
        <v>0.94533537662837486</v>
      </c>
      <c r="AI33" s="24">
        <f t="shared" si="80"/>
        <v>0.96918462848504672</v>
      </c>
      <c r="AJ33" s="24">
        <f t="shared" si="80"/>
        <v>0.98828429853609601</v>
      </c>
      <c r="AK33" s="24">
        <f t="shared" si="80"/>
        <v>1.018612693040936</v>
      </c>
      <c r="AL33" s="25">
        <f t="shared" si="80"/>
        <v>3.9213846852943757</v>
      </c>
      <c r="AM33" s="24">
        <f t="shared" si="80"/>
        <v>1.0185529918938683</v>
      </c>
      <c r="AN33" s="24">
        <f t="shared" si="80"/>
        <v>1.0455571955604557</v>
      </c>
      <c r="AO33" s="24">
        <f t="shared" si="80"/>
        <v>1.0667817083472435</v>
      </c>
      <c r="AP33" s="24">
        <f t="shared" si="80"/>
        <v>1.1002581867763424</v>
      </c>
      <c r="AQ33" s="25">
        <f t="shared" si="80"/>
        <v>4.231114497097578</v>
      </c>
      <c r="AR33" s="24">
        <f t="shared" ref="AR33:AV33" si="81">AR27/AR31</f>
        <v>1.0976469809651181</v>
      </c>
      <c r="AS33" s="24">
        <f t="shared" si="81"/>
        <v>1.1280937189595253</v>
      </c>
      <c r="AT33" s="24">
        <f t="shared" si="81"/>
        <v>1.151577763429616</v>
      </c>
      <c r="AU33" s="24">
        <f t="shared" si="81"/>
        <v>1.188741652093507</v>
      </c>
      <c r="AV33" s="25">
        <f t="shared" si="81"/>
        <v>4.5660209076486025</v>
      </c>
    </row>
    <row r="34" spans="2:48" x14ac:dyDescent="0.55000000000000004">
      <c r="B34" s="93" t="s">
        <v>74</v>
      </c>
      <c r="C34" s="100"/>
      <c r="D34" s="111">
        <f t="shared" ref="D34:AQ34" si="82">+D29/D31</f>
        <v>0.74999999999999922</v>
      </c>
      <c r="E34" s="111">
        <f t="shared" si="82"/>
        <v>0.60000000000000009</v>
      </c>
      <c r="F34" s="111">
        <f t="shared" si="82"/>
        <v>0.78</v>
      </c>
      <c r="G34" s="111">
        <f t="shared" si="82"/>
        <v>0.69511774261567683</v>
      </c>
      <c r="H34" s="173">
        <f t="shared" si="82"/>
        <v>2.8336117418099285</v>
      </c>
      <c r="I34" s="111">
        <f t="shared" si="82"/>
        <v>0.79454240134340781</v>
      </c>
      <c r="J34" s="111">
        <f t="shared" si="82"/>
        <v>0.31523672397730074</v>
      </c>
      <c r="K34" s="111">
        <f t="shared" si="82"/>
        <v>-0.46193838254171954</v>
      </c>
      <c r="L34" s="111">
        <f t="shared" si="82"/>
        <v>0.51</v>
      </c>
      <c r="M34" s="173">
        <f t="shared" si="82"/>
        <v>1.1512365543643674</v>
      </c>
      <c r="N34" s="111">
        <f t="shared" si="82"/>
        <v>0.60998309382924787</v>
      </c>
      <c r="O34" s="111">
        <f t="shared" si="82"/>
        <v>0.62099257258609042</v>
      </c>
      <c r="P34" s="111">
        <f t="shared" si="82"/>
        <v>1.0059332321699532</v>
      </c>
      <c r="Q34" s="111">
        <f t="shared" si="82"/>
        <v>0.99628807138648001</v>
      </c>
      <c r="R34" s="173">
        <f>+R29/R31+0.01</f>
        <v>3.2421909979383412</v>
      </c>
      <c r="S34" s="111">
        <f t="shared" si="82"/>
        <v>0.71999999999999986</v>
      </c>
      <c r="T34" s="111">
        <f t="shared" si="82"/>
        <v>0.58587745905191113</v>
      </c>
      <c r="U34" s="111">
        <f t="shared" si="82"/>
        <v>0.84046915725456095</v>
      </c>
      <c r="V34" s="111">
        <f t="shared" si="82"/>
        <v>0.84730739041701231</v>
      </c>
      <c r="W34" s="173">
        <f t="shared" si="82"/>
        <v>2.9932082873954147</v>
      </c>
      <c r="X34" s="82">
        <f t="shared" si="82"/>
        <v>0.85651513496452492</v>
      </c>
      <c r="Y34" s="82">
        <f t="shared" si="82"/>
        <v>0.87658965711789361</v>
      </c>
      <c r="Z34" s="82">
        <f t="shared" si="82"/>
        <v>0.89368163127943367</v>
      </c>
      <c r="AA34" s="82">
        <f t="shared" si="82"/>
        <v>0.92152349308307857</v>
      </c>
      <c r="AB34" s="83">
        <f t="shared" si="82"/>
        <v>3.5482226226161786</v>
      </c>
      <c r="AC34" s="82">
        <f t="shared" si="82"/>
        <v>0.92630729247434707</v>
      </c>
      <c r="AD34" s="82">
        <f t="shared" si="82"/>
        <v>0.94729790898799926</v>
      </c>
      <c r="AE34" s="82">
        <f t="shared" si="82"/>
        <v>0.96443765567297768</v>
      </c>
      <c r="AF34" s="82">
        <f t="shared" si="82"/>
        <v>0.99222531343853793</v>
      </c>
      <c r="AG34" s="83">
        <f t="shared" si="82"/>
        <v>3.8302503062599333</v>
      </c>
      <c r="AH34" s="82">
        <f t="shared" si="82"/>
        <v>0.9946808538677403</v>
      </c>
      <c r="AI34" s="82">
        <f t="shared" si="82"/>
        <v>1.0186565892067563</v>
      </c>
      <c r="AJ34" s="82">
        <f t="shared" si="82"/>
        <v>1.0378833928172881</v>
      </c>
      <c r="AK34" s="82">
        <f t="shared" si="82"/>
        <v>1.0683395759833862</v>
      </c>
      <c r="AL34" s="83">
        <f t="shared" si="82"/>
        <v>4.1195403299097304</v>
      </c>
      <c r="AM34" s="82">
        <f t="shared" si="82"/>
        <v>1.0684083236759061</v>
      </c>
      <c r="AN34" s="82">
        <f t="shared" si="82"/>
        <v>1.0955416414895527</v>
      </c>
      <c r="AO34" s="82">
        <f t="shared" si="82"/>
        <v>1.1168959389132842</v>
      </c>
      <c r="AP34" s="82">
        <f t="shared" si="82"/>
        <v>1.1505028777055903</v>
      </c>
      <c r="AQ34" s="83">
        <f t="shared" si="82"/>
        <v>4.4313261702026114</v>
      </c>
      <c r="AR34" s="82">
        <f t="shared" ref="AR34:AV34" si="83">+AR29/AR31</f>
        <v>1.1480228132748833</v>
      </c>
      <c r="AS34" s="82">
        <f t="shared" si="83"/>
        <v>1.1786013790135492</v>
      </c>
      <c r="AT34" s="82">
        <f t="shared" si="83"/>
        <v>1.2022179429941822</v>
      </c>
      <c r="AU34" s="82">
        <f t="shared" si="83"/>
        <v>1.2395150483942901</v>
      </c>
      <c r="AV34" s="83">
        <f t="shared" si="83"/>
        <v>4.7683317299010168</v>
      </c>
    </row>
    <row r="35" spans="2:48" x14ac:dyDescent="0.55000000000000004">
      <c r="B35" s="38" t="s">
        <v>41</v>
      </c>
      <c r="C35" s="216"/>
      <c r="D35" s="250">
        <v>0.36</v>
      </c>
      <c r="E35" s="250">
        <v>0.36</v>
      </c>
      <c r="F35" s="250">
        <v>0.36</v>
      </c>
      <c r="G35" s="250">
        <v>0.41</v>
      </c>
      <c r="H35" s="175">
        <f>+SUM(D35:G35)</f>
        <v>1.49</v>
      </c>
      <c r="I35" s="250">
        <v>0.41</v>
      </c>
      <c r="J35" s="250">
        <v>0.41</v>
      </c>
      <c r="K35" s="250">
        <v>0.41</v>
      </c>
      <c r="L35" s="250">
        <f>K35*1.1</f>
        <v>0.45100000000000001</v>
      </c>
      <c r="M35" s="25">
        <f>+SUM(I35:L35)</f>
        <v>1.681</v>
      </c>
      <c r="N35" s="250">
        <f>+L35</f>
        <v>0.45100000000000001</v>
      </c>
      <c r="O35" s="250">
        <v>0.45</v>
      </c>
      <c r="P35" s="250">
        <v>0.45</v>
      </c>
      <c r="Q35" s="250">
        <v>0.49</v>
      </c>
      <c r="R35" s="25">
        <f>+SUM(N35:Q35)</f>
        <v>1.841</v>
      </c>
      <c r="S35" s="250">
        <v>0.49</v>
      </c>
      <c r="T35" s="250">
        <v>0.49</v>
      </c>
      <c r="U35" s="250">
        <v>0.49</v>
      </c>
      <c r="V35" s="251">
        <f>1.05*U35</f>
        <v>0.51449999999999996</v>
      </c>
      <c r="W35" s="25">
        <f>+SUM(S35:V35)</f>
        <v>1.9844999999999999</v>
      </c>
      <c r="X35" s="251">
        <f>+V35</f>
        <v>0.51449999999999996</v>
      </c>
      <c r="Y35" s="251">
        <f>+X35</f>
        <v>0.51449999999999996</v>
      </c>
      <c r="Z35" s="251">
        <f>+Y35</f>
        <v>0.51449999999999996</v>
      </c>
      <c r="AA35" s="251">
        <f>1.05*Z35</f>
        <v>0.54022499999999996</v>
      </c>
      <c r="AB35" s="25">
        <f>+SUM(X35:AA35)</f>
        <v>2.0837249999999998</v>
      </c>
      <c r="AC35" s="251">
        <f>+AA35</f>
        <v>0.54022499999999996</v>
      </c>
      <c r="AD35" s="251">
        <f>+AC35</f>
        <v>0.54022499999999996</v>
      </c>
      <c r="AE35" s="251">
        <f>+AD35</f>
        <v>0.54022499999999996</v>
      </c>
      <c r="AF35" s="251">
        <f>1*AE35</f>
        <v>0.54022499999999996</v>
      </c>
      <c r="AG35" s="25">
        <f>+SUM(AC35:AF35)</f>
        <v>2.1608999999999998</v>
      </c>
      <c r="AH35" s="251">
        <f>+AF35</f>
        <v>0.54022499999999996</v>
      </c>
      <c r="AI35" s="251">
        <f>+AH35</f>
        <v>0.54022499999999996</v>
      </c>
      <c r="AJ35" s="251">
        <f>+AI35</f>
        <v>0.54022499999999996</v>
      </c>
      <c r="AK35" s="251">
        <f>1.1*AJ35</f>
        <v>0.59424750000000004</v>
      </c>
      <c r="AL35" s="25">
        <f>+SUM(AH35:AK35)</f>
        <v>2.2149225000000001</v>
      </c>
      <c r="AM35" s="251">
        <f>+AK35</f>
        <v>0.59424750000000004</v>
      </c>
      <c r="AN35" s="251">
        <f>+AM35</f>
        <v>0.59424750000000004</v>
      </c>
      <c r="AO35" s="251">
        <f>+AN35</f>
        <v>0.59424750000000004</v>
      </c>
      <c r="AP35" s="251">
        <f>1.07*AO35</f>
        <v>0.63584482500000006</v>
      </c>
      <c r="AQ35" s="25">
        <f>+SUM(AM35:AP35)</f>
        <v>2.4185873250000003</v>
      </c>
      <c r="AR35" s="251">
        <f>+AP35</f>
        <v>0.63584482500000006</v>
      </c>
      <c r="AS35" s="251">
        <f>+AR35</f>
        <v>0.63584482500000006</v>
      </c>
      <c r="AT35" s="251">
        <f>+AS35</f>
        <v>0.63584482500000006</v>
      </c>
      <c r="AU35" s="251">
        <f>1.07*AT35</f>
        <v>0.68035396275000015</v>
      </c>
      <c r="AV35" s="25">
        <f>+SUM(AR35:AU35)</f>
        <v>2.5878884377500002</v>
      </c>
    </row>
    <row r="36" spans="2:48" s="252" customFormat="1" x14ac:dyDescent="0.55000000000000004">
      <c r="B36" s="253" t="s">
        <v>171</v>
      </c>
      <c r="C36" s="254"/>
      <c r="D36" s="220"/>
      <c r="E36" s="220"/>
      <c r="F36" s="220"/>
      <c r="G36" s="220"/>
      <c r="H36" s="255">
        <f>H35/H33</f>
        <v>0.51052122693931912</v>
      </c>
      <c r="I36" s="220"/>
      <c r="J36" s="220"/>
      <c r="K36" s="220"/>
      <c r="L36" s="220"/>
      <c r="M36" s="255">
        <f>M35/M33</f>
        <v>2.1706939657696651</v>
      </c>
      <c r="N36" s="220"/>
      <c r="O36" s="220"/>
      <c r="P36" s="220"/>
      <c r="Q36" s="220"/>
      <c r="R36" s="255">
        <f>R35/R33</f>
        <v>0.52003419212449009</v>
      </c>
      <c r="S36" s="220"/>
      <c r="T36" s="220"/>
      <c r="U36" s="220"/>
      <c r="V36" s="220"/>
      <c r="W36" s="255">
        <f>W35/W33</f>
        <v>0.691327238126065</v>
      </c>
      <c r="X36" s="220"/>
      <c r="Y36" s="220"/>
      <c r="Z36" s="220"/>
      <c r="AA36" s="220"/>
      <c r="AB36" s="255">
        <f>AB35/AB33</f>
        <v>0.62112255694453489</v>
      </c>
      <c r="AC36" s="220"/>
      <c r="AD36" s="220"/>
      <c r="AE36" s="220"/>
      <c r="AF36" s="220"/>
      <c r="AG36" s="255">
        <f>AG35/AG33</f>
        <v>0.59461618954634288</v>
      </c>
      <c r="AH36" s="220"/>
      <c r="AI36" s="220"/>
      <c r="AJ36" s="220"/>
      <c r="AK36" s="220"/>
      <c r="AL36" s="255">
        <f>AL35/AL33</f>
        <v>0.56483173107351681</v>
      </c>
      <c r="AM36" s="220"/>
      <c r="AN36" s="220"/>
      <c r="AO36" s="220"/>
      <c r="AP36" s="220"/>
      <c r="AQ36" s="255">
        <f>AQ35/AQ33</f>
        <v>0.57161944604880843</v>
      </c>
      <c r="AR36" s="220"/>
      <c r="AS36" s="220"/>
      <c r="AT36" s="220"/>
      <c r="AU36" s="220"/>
      <c r="AV36" s="255">
        <f>AV35/AV33</f>
        <v>0.56677104421817115</v>
      </c>
    </row>
    <row r="37" spans="2:48" s="63" customFormat="1" x14ac:dyDescent="0.55000000000000004">
      <c r="B37" s="200"/>
      <c r="C37" s="199"/>
      <c r="D37" s="201"/>
      <c r="E37" s="202"/>
      <c r="F37" s="203"/>
      <c r="G37" s="202"/>
      <c r="H37" s="197"/>
      <c r="I37" s="202"/>
      <c r="J37" s="204"/>
      <c r="K37" s="204"/>
      <c r="L37" s="201"/>
      <c r="M37" s="197"/>
      <c r="N37" s="205"/>
      <c r="O37" s="199"/>
      <c r="P37" s="199"/>
      <c r="Q37" s="206"/>
      <c r="R37" s="197"/>
      <c r="S37" s="199"/>
      <c r="T37" s="199"/>
      <c r="U37" s="199"/>
      <c r="V37" s="206"/>
      <c r="W37" s="197"/>
      <c r="X37" s="199"/>
      <c r="Y37" s="199"/>
      <c r="Z37" s="199"/>
      <c r="AA37" s="207"/>
      <c r="AB37" s="197"/>
      <c r="AC37" s="199"/>
      <c r="AD37" s="199"/>
      <c r="AE37" s="199"/>
      <c r="AF37" s="206"/>
      <c r="AG37" s="197"/>
      <c r="AH37" s="199"/>
      <c r="AI37" s="199"/>
      <c r="AJ37" s="199"/>
      <c r="AK37" s="206"/>
      <c r="AL37" s="197"/>
      <c r="AM37" s="199"/>
      <c r="AN37" s="199"/>
      <c r="AO37" s="199"/>
      <c r="AP37" s="206"/>
      <c r="AQ37" s="197"/>
      <c r="AR37" s="199"/>
      <c r="AS37" s="199"/>
      <c r="AT37" s="199"/>
      <c r="AU37" s="206"/>
      <c r="AV37" s="197"/>
    </row>
    <row r="38" spans="2:48" ht="15.6" x14ac:dyDescent="0.6">
      <c r="B38" s="282" t="s">
        <v>13</v>
      </c>
      <c r="C38" s="283"/>
      <c r="D38" s="13" t="s">
        <v>15</v>
      </c>
      <c r="E38" s="13" t="s">
        <v>82</v>
      </c>
      <c r="F38" s="13" t="s">
        <v>84</v>
      </c>
      <c r="G38" s="13" t="s">
        <v>148</v>
      </c>
      <c r="H38" s="39" t="s">
        <v>148</v>
      </c>
      <c r="I38" s="13" t="s">
        <v>147</v>
      </c>
      <c r="J38" s="13" t="s">
        <v>146</v>
      </c>
      <c r="K38" s="13" t="s">
        <v>145</v>
      </c>
      <c r="L38" s="13" t="s">
        <v>142</v>
      </c>
      <c r="M38" s="39" t="s">
        <v>142</v>
      </c>
      <c r="N38" s="13" t="s">
        <v>149</v>
      </c>
      <c r="O38" s="13" t="s">
        <v>157</v>
      </c>
      <c r="P38" s="13" t="s">
        <v>159</v>
      </c>
      <c r="Q38" s="13" t="s">
        <v>172</v>
      </c>
      <c r="R38" s="39" t="s">
        <v>172</v>
      </c>
      <c r="S38" s="13" t="s">
        <v>188</v>
      </c>
      <c r="T38" s="13" t="s">
        <v>191</v>
      </c>
      <c r="U38" s="13" t="s">
        <v>204</v>
      </c>
      <c r="V38" s="15" t="s">
        <v>20</v>
      </c>
      <c r="W38" s="41" t="s">
        <v>20</v>
      </c>
      <c r="X38" s="15" t="s">
        <v>21</v>
      </c>
      <c r="Y38" s="15" t="s">
        <v>22</v>
      </c>
      <c r="Z38" s="15" t="s">
        <v>23</v>
      </c>
      <c r="AA38" s="15" t="s">
        <v>24</v>
      </c>
      <c r="AB38" s="41" t="s">
        <v>24</v>
      </c>
      <c r="AC38" s="15" t="s">
        <v>86</v>
      </c>
      <c r="AD38" s="15" t="s">
        <v>87</v>
      </c>
      <c r="AE38" s="15" t="s">
        <v>88</v>
      </c>
      <c r="AF38" s="15" t="s">
        <v>89</v>
      </c>
      <c r="AG38" s="41" t="s">
        <v>89</v>
      </c>
      <c r="AH38" s="15" t="s">
        <v>105</v>
      </c>
      <c r="AI38" s="15" t="s">
        <v>106</v>
      </c>
      <c r="AJ38" s="15" t="s">
        <v>107</v>
      </c>
      <c r="AK38" s="15" t="s">
        <v>108</v>
      </c>
      <c r="AL38" s="41" t="s">
        <v>108</v>
      </c>
      <c r="AM38" s="15" t="s">
        <v>161</v>
      </c>
      <c r="AN38" s="15" t="s">
        <v>162</v>
      </c>
      <c r="AO38" s="15" t="s">
        <v>163</v>
      </c>
      <c r="AP38" s="15" t="s">
        <v>164</v>
      </c>
      <c r="AQ38" s="41" t="s">
        <v>164</v>
      </c>
      <c r="AR38" s="15" t="s">
        <v>192</v>
      </c>
      <c r="AS38" s="15" t="s">
        <v>193</v>
      </c>
      <c r="AT38" s="15" t="s">
        <v>194</v>
      </c>
      <c r="AU38" s="15" t="s">
        <v>195</v>
      </c>
      <c r="AV38" s="41" t="s">
        <v>195</v>
      </c>
    </row>
    <row r="39" spans="2:48" ht="16.2" x14ac:dyDescent="0.85">
      <c r="B39" s="284"/>
      <c r="C39" s="285"/>
      <c r="D39" s="14" t="s">
        <v>19</v>
      </c>
      <c r="E39" s="14" t="s">
        <v>81</v>
      </c>
      <c r="F39" s="14" t="s">
        <v>85</v>
      </c>
      <c r="G39" s="14" t="s">
        <v>95</v>
      </c>
      <c r="H39" s="40" t="s">
        <v>96</v>
      </c>
      <c r="I39" s="14" t="s">
        <v>97</v>
      </c>
      <c r="J39" s="14" t="s">
        <v>98</v>
      </c>
      <c r="K39" s="14" t="s">
        <v>99</v>
      </c>
      <c r="L39" s="14" t="s">
        <v>143</v>
      </c>
      <c r="M39" s="40" t="s">
        <v>144</v>
      </c>
      <c r="N39" s="14" t="s">
        <v>150</v>
      </c>
      <c r="O39" s="14" t="s">
        <v>158</v>
      </c>
      <c r="P39" s="14" t="s">
        <v>160</v>
      </c>
      <c r="Q39" s="14" t="s">
        <v>173</v>
      </c>
      <c r="R39" s="40" t="s">
        <v>174</v>
      </c>
      <c r="S39" s="14" t="s">
        <v>189</v>
      </c>
      <c r="T39" s="14" t="s">
        <v>190</v>
      </c>
      <c r="U39" s="14" t="s">
        <v>205</v>
      </c>
      <c r="V39" s="12" t="s">
        <v>25</v>
      </c>
      <c r="W39" s="42" t="s">
        <v>26</v>
      </c>
      <c r="X39" s="12" t="s">
        <v>27</v>
      </c>
      <c r="Y39" s="12" t="s">
        <v>28</v>
      </c>
      <c r="Z39" s="12" t="s">
        <v>29</v>
      </c>
      <c r="AA39" s="12" t="s">
        <v>30</v>
      </c>
      <c r="AB39" s="42" t="s">
        <v>31</v>
      </c>
      <c r="AC39" s="12" t="s">
        <v>90</v>
      </c>
      <c r="AD39" s="12" t="s">
        <v>91</v>
      </c>
      <c r="AE39" s="12" t="s">
        <v>92</v>
      </c>
      <c r="AF39" s="12" t="s">
        <v>93</v>
      </c>
      <c r="AG39" s="42" t="s">
        <v>94</v>
      </c>
      <c r="AH39" s="12" t="s">
        <v>109</v>
      </c>
      <c r="AI39" s="12" t="s">
        <v>110</v>
      </c>
      <c r="AJ39" s="12" t="s">
        <v>111</v>
      </c>
      <c r="AK39" s="12" t="s">
        <v>112</v>
      </c>
      <c r="AL39" s="42" t="s">
        <v>113</v>
      </c>
      <c r="AM39" s="12" t="s">
        <v>165</v>
      </c>
      <c r="AN39" s="12" t="s">
        <v>166</v>
      </c>
      <c r="AO39" s="12" t="s">
        <v>167</v>
      </c>
      <c r="AP39" s="12" t="s">
        <v>168</v>
      </c>
      <c r="AQ39" s="42" t="s">
        <v>169</v>
      </c>
      <c r="AR39" s="12" t="s">
        <v>196</v>
      </c>
      <c r="AS39" s="12" t="s">
        <v>197</v>
      </c>
      <c r="AT39" s="12" t="s">
        <v>198</v>
      </c>
      <c r="AU39" s="12" t="s">
        <v>199</v>
      </c>
      <c r="AV39" s="42" t="s">
        <v>200</v>
      </c>
    </row>
    <row r="40" spans="2:48" ht="17.100000000000001" x14ac:dyDescent="0.85">
      <c r="B40" s="298" t="s">
        <v>175</v>
      </c>
      <c r="C40" s="299"/>
      <c r="D40" s="14"/>
      <c r="E40" s="14"/>
      <c r="F40" s="14"/>
      <c r="G40" s="14"/>
      <c r="H40" s="40"/>
      <c r="I40" s="14"/>
      <c r="J40" s="14"/>
      <c r="K40" s="14"/>
      <c r="L40" s="14"/>
      <c r="M40" s="40"/>
      <c r="N40" s="14"/>
      <c r="O40" s="14"/>
      <c r="P40" s="14"/>
      <c r="Q40" s="14"/>
      <c r="R40" s="40"/>
      <c r="S40" s="14"/>
      <c r="T40" s="14"/>
      <c r="U40" s="14"/>
      <c r="V40" s="12"/>
      <c r="W40" s="42"/>
      <c r="X40" s="12"/>
      <c r="Y40" s="12"/>
      <c r="Z40" s="12"/>
      <c r="AA40" s="12"/>
      <c r="AB40" s="42"/>
      <c r="AC40" s="12"/>
      <c r="AD40" s="12"/>
      <c r="AE40" s="12"/>
      <c r="AF40" s="12"/>
      <c r="AG40" s="42"/>
      <c r="AH40" s="12"/>
      <c r="AI40" s="12"/>
      <c r="AJ40" s="12"/>
      <c r="AK40" s="12"/>
      <c r="AL40" s="42"/>
      <c r="AM40" s="12"/>
      <c r="AN40" s="12"/>
      <c r="AO40" s="12"/>
      <c r="AP40" s="12"/>
      <c r="AQ40" s="42"/>
      <c r="AR40" s="12"/>
      <c r="AS40" s="12"/>
      <c r="AT40" s="12"/>
      <c r="AU40" s="12"/>
      <c r="AV40" s="42"/>
    </row>
    <row r="41" spans="2:48" s="8" customFormat="1" outlineLevel="1" x14ac:dyDescent="0.55000000000000004">
      <c r="B41" s="300" t="s">
        <v>176</v>
      </c>
      <c r="C41" s="301"/>
      <c r="D41" s="21">
        <v>9777</v>
      </c>
      <c r="E41" s="21">
        <v>9776</v>
      </c>
      <c r="F41" s="116">
        <v>9857</v>
      </c>
      <c r="G41" s="21">
        <v>9974</v>
      </c>
      <c r="H41" s="57"/>
      <c r="I41" s="21">
        <v>10020</v>
      </c>
      <c r="J41" s="21">
        <v>10051</v>
      </c>
      <c r="K41" s="21">
        <v>10017</v>
      </c>
      <c r="L41" s="21">
        <v>10109</v>
      </c>
      <c r="M41" s="57"/>
      <c r="N41" s="21">
        <v>10029</v>
      </c>
      <c r="O41" s="21">
        <f>+N41+O42</f>
        <v>9820</v>
      </c>
      <c r="P41" s="21">
        <f>+O41+P42</f>
        <v>9860</v>
      </c>
      <c r="Q41" s="21">
        <f>+P41+Q42</f>
        <v>9861</v>
      </c>
      <c r="R41" s="192"/>
      <c r="S41" s="21">
        <f>+Q41+S42</f>
        <v>9900</v>
      </c>
      <c r="T41" s="21">
        <f>+S41+T42</f>
        <v>9954</v>
      </c>
      <c r="U41" s="21">
        <f>+T41+U42</f>
        <v>10050</v>
      </c>
      <c r="V41" s="21">
        <f>+U41+V42</f>
        <v>10146</v>
      </c>
      <c r="W41" s="192">
        <f>V41</f>
        <v>10146</v>
      </c>
      <c r="X41" s="21">
        <f>+V41+X42</f>
        <v>10242</v>
      </c>
      <c r="Y41" s="21">
        <f>+X41+Y42</f>
        <v>10338</v>
      </c>
      <c r="Z41" s="21">
        <f>+Y41+Z42</f>
        <v>10434</v>
      </c>
      <c r="AA41" s="21">
        <f>+Z41+AA42</f>
        <v>10530</v>
      </c>
      <c r="AB41" s="192">
        <f>AA41</f>
        <v>10530</v>
      </c>
      <c r="AC41" s="21">
        <f>+AA41+AC42</f>
        <v>10626</v>
      </c>
      <c r="AD41" s="21">
        <f>+AC41+AD42</f>
        <v>10722</v>
      </c>
      <c r="AE41" s="21">
        <f>+AD41+AE42</f>
        <v>10818</v>
      </c>
      <c r="AF41" s="21">
        <f>+AE41+AF42</f>
        <v>10914</v>
      </c>
      <c r="AG41" s="192">
        <f>AF41</f>
        <v>10914</v>
      </c>
      <c r="AH41" s="21">
        <f>+AF41+AH42</f>
        <v>11010</v>
      </c>
      <c r="AI41" s="21">
        <f>+AH41+AI42</f>
        <v>11106</v>
      </c>
      <c r="AJ41" s="21">
        <f>+AI41+AJ42</f>
        <v>11202</v>
      </c>
      <c r="AK41" s="21">
        <f>+AJ41+AK42</f>
        <v>11298</v>
      </c>
      <c r="AL41" s="192">
        <f>AK41</f>
        <v>11298</v>
      </c>
      <c r="AM41" s="21">
        <f>+AK41+AM42</f>
        <v>11394</v>
      </c>
      <c r="AN41" s="21">
        <f>+AM41+AN42</f>
        <v>11490</v>
      </c>
      <c r="AO41" s="21">
        <f>+AN41+AO42</f>
        <v>11586</v>
      </c>
      <c r="AP41" s="21">
        <f>+AO41+AP42</f>
        <v>11682</v>
      </c>
      <c r="AQ41" s="192">
        <f>AP41</f>
        <v>11682</v>
      </c>
      <c r="AR41" s="21">
        <f>+AP41+AR42</f>
        <v>11778</v>
      </c>
      <c r="AS41" s="21">
        <f>+AR41+AS42</f>
        <v>11874</v>
      </c>
      <c r="AT41" s="21">
        <f>+AS41+AT42</f>
        <v>11970</v>
      </c>
      <c r="AU41" s="21">
        <f>+AT41+AU42</f>
        <v>12066</v>
      </c>
      <c r="AV41" s="192">
        <f>AU41</f>
        <v>12066</v>
      </c>
    </row>
    <row r="42" spans="2:48" outlineLevel="1" x14ac:dyDescent="0.55000000000000004">
      <c r="B42" s="181" t="s">
        <v>46</v>
      </c>
      <c r="C42" s="210"/>
      <c r="D42" s="101">
        <f>+D41-9690</f>
        <v>87</v>
      </c>
      <c r="E42" s="101">
        <f>E41-D41</f>
        <v>-1</v>
      </c>
      <c r="F42" s="101">
        <f>F41-E41</f>
        <v>81</v>
      </c>
      <c r="G42" s="101">
        <f>G41-F41</f>
        <v>117</v>
      </c>
      <c r="H42" s="122">
        <f>+SUM(D42:G42)</f>
        <v>284</v>
      </c>
      <c r="I42" s="101">
        <f>I41-G41</f>
        <v>46</v>
      </c>
      <c r="J42" s="101">
        <f>J41-I41</f>
        <v>31</v>
      </c>
      <c r="K42" s="101">
        <f>K41-J41</f>
        <v>-34</v>
      </c>
      <c r="L42" s="101">
        <f>L41-K41</f>
        <v>92</v>
      </c>
      <c r="M42" s="122"/>
      <c r="N42" s="101">
        <v>-80</v>
      </c>
      <c r="O42" s="101">
        <v>-209</v>
      </c>
      <c r="P42" s="101">
        <v>40</v>
      </c>
      <c r="Q42" s="101">
        <v>1</v>
      </c>
      <c r="R42" s="26"/>
      <c r="S42" s="101">
        <v>39</v>
      </c>
      <c r="T42" s="101">
        <v>54</v>
      </c>
      <c r="U42" s="101">
        <v>96</v>
      </c>
      <c r="V42" s="33">
        <v>96</v>
      </c>
      <c r="W42" s="122">
        <f>+SUM(S42:V42)</f>
        <v>285</v>
      </c>
      <c r="X42" s="33">
        <v>96</v>
      </c>
      <c r="Y42" s="33">
        <v>96</v>
      </c>
      <c r="Z42" s="33">
        <v>96</v>
      </c>
      <c r="AA42" s="33">
        <v>96</v>
      </c>
      <c r="AB42" s="26">
        <f>+SUM(X42:AA42)</f>
        <v>384</v>
      </c>
      <c r="AC42" s="33">
        <v>96</v>
      </c>
      <c r="AD42" s="33">
        <v>96</v>
      </c>
      <c r="AE42" s="33">
        <v>96</v>
      </c>
      <c r="AF42" s="33">
        <v>96</v>
      </c>
      <c r="AG42" s="26">
        <f>+SUM(AC42:AF42)</f>
        <v>384</v>
      </c>
      <c r="AH42" s="33">
        <v>96</v>
      </c>
      <c r="AI42" s="33">
        <v>96</v>
      </c>
      <c r="AJ42" s="33">
        <v>96</v>
      </c>
      <c r="AK42" s="33">
        <v>96</v>
      </c>
      <c r="AL42" s="26">
        <f>+SUM(AH42:AK42)</f>
        <v>384</v>
      </c>
      <c r="AM42" s="33">
        <v>96</v>
      </c>
      <c r="AN42" s="33">
        <v>96</v>
      </c>
      <c r="AO42" s="33">
        <v>96</v>
      </c>
      <c r="AP42" s="33">
        <v>96</v>
      </c>
      <c r="AQ42" s="26">
        <f>+SUM(AM42:AP42)</f>
        <v>384</v>
      </c>
      <c r="AR42" s="33">
        <v>96</v>
      </c>
      <c r="AS42" s="33">
        <v>96</v>
      </c>
      <c r="AT42" s="33">
        <v>96</v>
      </c>
      <c r="AU42" s="33">
        <v>96</v>
      </c>
      <c r="AV42" s="26">
        <f>+SUM(AR42:AU42)</f>
        <v>384</v>
      </c>
    </row>
    <row r="43" spans="2:48" outlineLevel="1" x14ac:dyDescent="0.55000000000000004">
      <c r="B43" s="181" t="s">
        <v>202</v>
      </c>
      <c r="C43" s="210"/>
      <c r="D43" s="101"/>
      <c r="E43" s="101">
        <f>AVERAGE(D41,E41)</f>
        <v>9776.5</v>
      </c>
      <c r="F43" s="101">
        <f t="shared" ref="F43:G43" si="84">AVERAGE(E41,F41)</f>
        <v>9816.5</v>
      </c>
      <c r="G43" s="101">
        <f t="shared" si="84"/>
        <v>9915.5</v>
      </c>
      <c r="H43" s="122"/>
      <c r="I43" s="101">
        <f>AVERAGE(G41,I41)</f>
        <v>9997</v>
      </c>
      <c r="J43" s="101">
        <f>AVERAGE(I41,J41)</f>
        <v>10035.5</v>
      </c>
      <c r="K43" s="101">
        <f t="shared" ref="K43:L43" si="85">AVERAGE(J41,K41)</f>
        <v>10034</v>
      </c>
      <c r="L43" s="101">
        <f t="shared" si="85"/>
        <v>10063</v>
      </c>
      <c r="M43" s="122"/>
      <c r="N43" s="101">
        <f>AVERAGE(L41,N41)</f>
        <v>10069</v>
      </c>
      <c r="O43" s="101">
        <f>AVERAGE(N41,O41)</f>
        <v>9924.5</v>
      </c>
      <c r="P43" s="101">
        <f t="shared" ref="P43:Q43" si="86">AVERAGE(O41,P41)</f>
        <v>9840</v>
      </c>
      <c r="Q43" s="101">
        <f t="shared" si="86"/>
        <v>9860.5</v>
      </c>
      <c r="R43" s="122"/>
      <c r="S43" s="101">
        <f>AVERAGE(Q41,S41)</f>
        <v>9880.5</v>
      </c>
      <c r="T43" s="101">
        <f>AVERAGE(S41,T41)</f>
        <v>9927</v>
      </c>
      <c r="U43" s="101">
        <f t="shared" ref="U43:V43" si="87">AVERAGE(T41,U41)</f>
        <v>10002</v>
      </c>
      <c r="V43" s="101">
        <f t="shared" si="87"/>
        <v>10098</v>
      </c>
      <c r="W43" s="122"/>
      <c r="X43" s="101">
        <f>AVERAGE(V41,X41)</f>
        <v>10194</v>
      </c>
      <c r="Y43" s="101">
        <f>AVERAGE(X41,Y41)</f>
        <v>10290</v>
      </c>
      <c r="Z43" s="101">
        <f t="shared" ref="Z43:AA43" si="88">AVERAGE(Y41,Z41)</f>
        <v>10386</v>
      </c>
      <c r="AA43" s="101">
        <f t="shared" si="88"/>
        <v>10482</v>
      </c>
      <c r="AB43" s="122"/>
      <c r="AC43" s="101">
        <f>AVERAGE(AA41,AC41)</f>
        <v>10578</v>
      </c>
      <c r="AD43" s="101">
        <f>AVERAGE(AC41,AD41)</f>
        <v>10674</v>
      </c>
      <c r="AE43" s="101">
        <f t="shared" ref="AE43" si="89">AVERAGE(AD41,AE41)</f>
        <v>10770</v>
      </c>
      <c r="AF43" s="101">
        <f t="shared" ref="AF43" si="90">AVERAGE(AE41,AF41)</f>
        <v>10866</v>
      </c>
      <c r="AG43" s="122"/>
      <c r="AH43" s="101">
        <f>AVERAGE(AF41,AH41)</f>
        <v>10962</v>
      </c>
      <c r="AI43" s="101">
        <f>AVERAGE(AH41,AI41)</f>
        <v>11058</v>
      </c>
      <c r="AJ43" s="101">
        <f t="shared" ref="AJ43" si="91">AVERAGE(AI41,AJ41)</f>
        <v>11154</v>
      </c>
      <c r="AK43" s="101">
        <f t="shared" ref="AK43" si="92">AVERAGE(AJ41,AK41)</f>
        <v>11250</v>
      </c>
      <c r="AL43" s="122"/>
      <c r="AM43" s="101">
        <f>AVERAGE(AK41,AM41)</f>
        <v>11346</v>
      </c>
      <c r="AN43" s="101">
        <f>AVERAGE(AM41,AN41)</f>
        <v>11442</v>
      </c>
      <c r="AO43" s="101">
        <f t="shared" ref="AO43" si="93">AVERAGE(AN41,AO41)</f>
        <v>11538</v>
      </c>
      <c r="AP43" s="101">
        <f t="shared" ref="AP43" si="94">AVERAGE(AO41,AP41)</f>
        <v>11634</v>
      </c>
      <c r="AQ43" s="122"/>
      <c r="AR43" s="101">
        <f>AVERAGE(AP41,AR41)</f>
        <v>11730</v>
      </c>
      <c r="AS43" s="101">
        <f>AVERAGE(AR41,AS41)</f>
        <v>11826</v>
      </c>
      <c r="AT43" s="101">
        <f t="shared" ref="AT43" si="95">AVERAGE(AS41,AT41)</f>
        <v>11922</v>
      </c>
      <c r="AU43" s="101">
        <f t="shared" ref="AU43" si="96">AVERAGE(AT41,AU41)</f>
        <v>12018</v>
      </c>
      <c r="AV43" s="122"/>
    </row>
    <row r="44" spans="2:48" s="8" customFormat="1" outlineLevel="1" x14ac:dyDescent="0.55000000000000004">
      <c r="B44" s="181" t="s">
        <v>206</v>
      </c>
      <c r="C44" s="215"/>
      <c r="D44" s="43"/>
      <c r="E44" s="43">
        <f>+E45/E43</f>
        <v>0.39376054825346496</v>
      </c>
      <c r="F44" s="43">
        <f>+F45/F43</f>
        <v>0.42603779351092547</v>
      </c>
      <c r="G44" s="43">
        <f>+G45/G43</f>
        <v>0.4199687358176592</v>
      </c>
      <c r="H44" s="97"/>
      <c r="I44" s="43">
        <f>+I45/I43</f>
        <v>0.44723417025107531</v>
      </c>
      <c r="J44" s="43">
        <f>+J45/J43</f>
        <v>0.38499327387773402</v>
      </c>
      <c r="K44" s="43">
        <f>+K45/K43</f>
        <v>0.25601953358580826</v>
      </c>
      <c r="L44" s="43">
        <f>+L45/L43</f>
        <v>0.3851038457716387</v>
      </c>
      <c r="M44" s="97"/>
      <c r="N44" s="43">
        <f>+N45/N43</f>
        <v>0.42554374813784884</v>
      </c>
      <c r="O44" s="43">
        <f>+O45/O43</f>
        <v>0.43008715804322634</v>
      </c>
      <c r="P44" s="43">
        <f>+P45/P43</f>
        <v>0.50099593495934958</v>
      </c>
      <c r="Q44" s="43">
        <f>+Q45/Q43</f>
        <v>0.53286344505856698</v>
      </c>
      <c r="R44" s="97"/>
      <c r="S44" s="43">
        <f>+S45/S43</f>
        <v>0.52771620869389202</v>
      </c>
      <c r="T44" s="43">
        <f>+T45/T43</f>
        <v>0.49725999798529263</v>
      </c>
      <c r="U44" s="43">
        <f>+U45/U43</f>
        <v>0.55120975804839034</v>
      </c>
      <c r="V44" s="230">
        <v>0.55100000000000005</v>
      </c>
      <c r="W44" s="133"/>
      <c r="X44" s="230">
        <v>0.55100000000000005</v>
      </c>
      <c r="Y44" s="230">
        <v>0.55100000000000005</v>
      </c>
      <c r="Z44" s="230">
        <v>0.55100000000000005</v>
      </c>
      <c r="AA44" s="230">
        <v>0.55100000000000005</v>
      </c>
      <c r="AB44" s="97"/>
      <c r="AC44" s="230">
        <v>0.55100000000000005</v>
      </c>
      <c r="AD44" s="230">
        <v>0.55100000000000005</v>
      </c>
      <c r="AE44" s="230">
        <v>0.55100000000000005</v>
      </c>
      <c r="AF44" s="230">
        <v>0.55100000000000005</v>
      </c>
      <c r="AG44" s="97"/>
      <c r="AH44" s="230">
        <v>0.55100000000000005</v>
      </c>
      <c r="AI44" s="230">
        <v>0.55100000000000005</v>
      </c>
      <c r="AJ44" s="230">
        <v>0.55100000000000005</v>
      </c>
      <c r="AK44" s="230">
        <v>0.55100000000000005</v>
      </c>
      <c r="AL44" s="97"/>
      <c r="AM44" s="230">
        <v>0.55100000000000005</v>
      </c>
      <c r="AN44" s="230">
        <v>0.55100000000000005</v>
      </c>
      <c r="AO44" s="230">
        <v>0.55100000000000005</v>
      </c>
      <c r="AP44" s="230">
        <v>0.55100000000000005</v>
      </c>
      <c r="AQ44" s="97"/>
      <c r="AR44" s="230">
        <v>0.55100000000000005</v>
      </c>
      <c r="AS44" s="230">
        <v>0.55100000000000005</v>
      </c>
      <c r="AT44" s="230">
        <v>0.55100000000000005</v>
      </c>
      <c r="AU44" s="230">
        <v>0.55100000000000005</v>
      </c>
      <c r="AV44" s="97"/>
    </row>
    <row r="45" spans="2:48" s="8" customFormat="1" outlineLevel="1" x14ac:dyDescent="0.55000000000000004">
      <c r="B45" s="288" t="s">
        <v>177</v>
      </c>
      <c r="C45" s="289"/>
      <c r="D45" s="50">
        <v>4092.2</v>
      </c>
      <c r="E45" s="50">
        <v>3849.6</v>
      </c>
      <c r="F45" s="50">
        <v>4182.2</v>
      </c>
      <c r="G45" s="50">
        <v>4164.2</v>
      </c>
      <c r="H45" s="97">
        <f>SUM(D45:G45)</f>
        <v>16288.2</v>
      </c>
      <c r="I45" s="50">
        <v>4471</v>
      </c>
      <c r="J45" s="50">
        <v>3863.6</v>
      </c>
      <c r="K45" s="103">
        <v>2568.9</v>
      </c>
      <c r="L45" s="50">
        <v>3875.3</v>
      </c>
      <c r="M45" s="97"/>
      <c r="N45" s="50">
        <v>4284.8</v>
      </c>
      <c r="O45" s="50">
        <v>4268.3999999999996</v>
      </c>
      <c r="P45" s="50">
        <v>4929.8</v>
      </c>
      <c r="Q45" s="103">
        <v>5254.3</v>
      </c>
      <c r="R45" s="97"/>
      <c r="S45" s="50">
        <v>5214.1000000000004</v>
      </c>
      <c r="T45" s="50">
        <v>4936.3</v>
      </c>
      <c r="U45" s="50">
        <v>5513.2</v>
      </c>
      <c r="V45" s="50">
        <f>V44*V43</f>
        <v>5563.9980000000005</v>
      </c>
      <c r="W45" s="133">
        <f>SUM(S45:V45)</f>
        <v>21227.598000000002</v>
      </c>
      <c r="X45" s="50">
        <f>X44*X43</f>
        <v>5616.8940000000002</v>
      </c>
      <c r="Y45" s="50">
        <f>Y44*Y43</f>
        <v>5669.7900000000009</v>
      </c>
      <c r="Z45" s="50">
        <f>Z44*Z43</f>
        <v>5722.6860000000006</v>
      </c>
      <c r="AA45" s="50">
        <f>AA44*AA43</f>
        <v>5775.5820000000003</v>
      </c>
      <c r="AB45" s="97">
        <f>SUM(X45:AA45)</f>
        <v>22784.952000000005</v>
      </c>
      <c r="AC45" s="50">
        <f>AC44*AC43</f>
        <v>5828.4780000000001</v>
      </c>
      <c r="AD45" s="50">
        <f>AD44*AD43</f>
        <v>5881.3740000000007</v>
      </c>
      <c r="AE45" s="50">
        <f>AE44*AE43</f>
        <v>5934.27</v>
      </c>
      <c r="AF45" s="50">
        <f>AF44*AF43</f>
        <v>5987.1660000000002</v>
      </c>
      <c r="AG45" s="97">
        <f>SUM(AC45:AF45)</f>
        <v>23631.288000000004</v>
      </c>
      <c r="AH45" s="50">
        <f>AH44*AH43</f>
        <v>6040.0620000000008</v>
      </c>
      <c r="AI45" s="50">
        <f>AI44*AI43</f>
        <v>6092.9580000000005</v>
      </c>
      <c r="AJ45" s="50">
        <f>AJ44*AJ43</f>
        <v>6145.8540000000003</v>
      </c>
      <c r="AK45" s="50">
        <f>AK44*AK43</f>
        <v>6198.7500000000009</v>
      </c>
      <c r="AL45" s="97">
        <f>SUM(AH45:AK45)</f>
        <v>24477.624</v>
      </c>
      <c r="AM45" s="50">
        <f>AM44*AM43</f>
        <v>6251.6460000000006</v>
      </c>
      <c r="AN45" s="50">
        <f>AN44*AN43</f>
        <v>6304.5420000000004</v>
      </c>
      <c r="AO45" s="50">
        <f>AO44*AO43</f>
        <v>6357.4380000000001</v>
      </c>
      <c r="AP45" s="50">
        <f>AP44*AP43</f>
        <v>6410.3340000000007</v>
      </c>
      <c r="AQ45" s="97">
        <f>SUM(AM45:AP45)</f>
        <v>25323.960000000006</v>
      </c>
      <c r="AR45" s="50">
        <f>AR44*AR43</f>
        <v>6463.2300000000005</v>
      </c>
      <c r="AS45" s="50">
        <f>AS44*AS43</f>
        <v>6516.1260000000002</v>
      </c>
      <c r="AT45" s="50">
        <f>AT44*AT43</f>
        <v>6569.0220000000008</v>
      </c>
      <c r="AU45" s="50">
        <f>AU44*AU43</f>
        <v>6621.9180000000006</v>
      </c>
      <c r="AV45" s="97">
        <f>SUM(AR45:AU45)</f>
        <v>26170.296000000002</v>
      </c>
    </row>
    <row r="46" spans="2:48" s="8" customFormat="1" outlineLevel="1" x14ac:dyDescent="0.55000000000000004">
      <c r="B46" s="38" t="s">
        <v>201</v>
      </c>
      <c r="C46" s="215"/>
      <c r="D46" s="43"/>
      <c r="E46" s="43"/>
      <c r="F46" s="43"/>
      <c r="G46" s="43"/>
      <c r="H46" s="97"/>
      <c r="I46" s="27">
        <f>I45/D45-1</f>
        <v>9.2566345730902722E-2</v>
      </c>
      <c r="J46" s="27">
        <f>J45/E45-1</f>
        <v>3.6367414796343311E-3</v>
      </c>
      <c r="K46" s="27">
        <f>K45/F45-1</f>
        <v>-0.38575390942566112</v>
      </c>
      <c r="L46" s="27">
        <f>L45/G45-1</f>
        <v>-6.9377071226165765E-2</v>
      </c>
      <c r="M46" s="97"/>
      <c r="N46" s="27">
        <f>N45/I45-1</f>
        <v>-4.1646164169089617E-2</v>
      </c>
      <c r="O46" s="27">
        <f>O45/J45-1</f>
        <v>0.10477275080236037</v>
      </c>
      <c r="P46" s="27">
        <f>P45/K45-1</f>
        <v>0.91903149207832135</v>
      </c>
      <c r="Q46" s="27">
        <f>Q45/L45-1</f>
        <v>0.35584341857404578</v>
      </c>
      <c r="R46" s="97"/>
      <c r="S46" s="27">
        <f>S45/N45-1</f>
        <v>0.21688293502613898</v>
      </c>
      <c r="T46" s="27">
        <f>T45/O45-1</f>
        <v>0.15647549433042851</v>
      </c>
      <c r="U46" s="27">
        <f>U45/P45-1</f>
        <v>0.11834151486875721</v>
      </c>
      <c r="V46" s="27">
        <f>V45/Q45-1</f>
        <v>5.8941819081514302E-2</v>
      </c>
      <c r="W46" s="133"/>
      <c r="X46" s="27">
        <f>X45/S45-1</f>
        <v>7.7250915786041707E-2</v>
      </c>
      <c r="Y46" s="27">
        <f>Y45/T45-1</f>
        <v>0.14859104997670336</v>
      </c>
      <c r="Z46" s="27">
        <f>Z45/U45-1</f>
        <v>3.7997170427338078E-2</v>
      </c>
      <c r="AA46" s="27">
        <f>AA45/V45-1</f>
        <v>3.8027332144979109E-2</v>
      </c>
      <c r="AB46" s="97"/>
      <c r="AC46" s="27">
        <f>AC45/X45-1</f>
        <v>3.7669217186580228E-2</v>
      </c>
      <c r="AD46" s="27">
        <f>AD45/Y45-1</f>
        <v>3.7317784256559738E-2</v>
      </c>
      <c r="AE46" s="27">
        <f>AE45/Z45-1</f>
        <v>3.6972848064702468E-2</v>
      </c>
      <c r="AF46" s="27">
        <f>AF45/AA45-1</f>
        <v>3.6634230108757881E-2</v>
      </c>
      <c r="AG46" s="97"/>
      <c r="AH46" s="27">
        <f>AH45/AC45-1</f>
        <v>3.6301758366420911E-2</v>
      </c>
      <c r="AI46" s="27">
        <f>AI45/AD45-1</f>
        <v>3.597526700393483E-2</v>
      </c>
      <c r="AJ46" s="27">
        <f>AJ45/AE45-1</f>
        <v>3.5654596100278546E-2</v>
      </c>
      <c r="AK46" s="27">
        <f>AK45/AF45-1</f>
        <v>3.5339591385974645E-2</v>
      </c>
      <c r="AL46" s="97"/>
      <c r="AM46" s="27">
        <f>AM45/AH45-1</f>
        <v>3.503010399562112E-2</v>
      </c>
      <c r="AN46" s="27">
        <f>AN45/AI45-1</f>
        <v>3.472599023331524E-2</v>
      </c>
      <c r="AO46" s="27">
        <f>AO45/AJ45-1</f>
        <v>3.4427111350188166E-2</v>
      </c>
      <c r="AP46" s="27">
        <f>AP45/AK45-1</f>
        <v>3.4133333333333349E-2</v>
      </c>
      <c r="AQ46" s="97"/>
      <c r="AR46" s="27">
        <f>AR45/AM45-1</f>
        <v>3.3844526705446798E-2</v>
      </c>
      <c r="AS46" s="27">
        <f>AS45/AN45-1</f>
        <v>3.3560566334556841E-2</v>
      </c>
      <c r="AT46" s="27">
        <f>AT45/AO45-1</f>
        <v>3.3281331253250279E-2</v>
      </c>
      <c r="AU46" s="27">
        <f>AU45/AP45-1</f>
        <v>3.3006704486848948E-2</v>
      </c>
      <c r="AV46" s="97"/>
    </row>
    <row r="47" spans="2:48" outlineLevel="1" x14ac:dyDescent="0.55000000000000004">
      <c r="B47" s="231" t="s">
        <v>44</v>
      </c>
      <c r="C47" s="232"/>
      <c r="D47" s="233">
        <v>0.04</v>
      </c>
      <c r="E47" s="233">
        <v>0</v>
      </c>
      <c r="F47" s="233">
        <v>0.03</v>
      </c>
      <c r="G47" s="233">
        <v>0.03</v>
      </c>
      <c r="H47" s="234"/>
      <c r="I47" s="233">
        <v>0.02</v>
      </c>
      <c r="J47" s="233">
        <v>-7.0000000000000007E-2</v>
      </c>
      <c r="K47" s="233">
        <v>-0.53</v>
      </c>
      <c r="L47" s="235">
        <v>-0.25</v>
      </c>
      <c r="M47" s="234"/>
      <c r="N47" s="233">
        <v>-0.21</v>
      </c>
      <c r="O47" s="233">
        <v>-0.1</v>
      </c>
      <c r="P47" s="233">
        <v>0.82</v>
      </c>
      <c r="Q47" s="233">
        <v>0.18</v>
      </c>
      <c r="R47" s="236"/>
      <c r="S47" s="235">
        <v>0.12</v>
      </c>
      <c r="T47" s="235">
        <v>0.05</v>
      </c>
      <c r="U47" s="235">
        <v>0.01</v>
      </c>
      <c r="V47" s="235"/>
      <c r="W47" s="234"/>
      <c r="X47" s="235"/>
      <c r="Y47" s="235"/>
      <c r="Z47" s="235"/>
      <c r="AA47" s="235"/>
      <c r="AB47" s="236"/>
      <c r="AC47" s="235"/>
      <c r="AD47" s="235"/>
      <c r="AE47" s="235"/>
      <c r="AF47" s="235"/>
      <c r="AG47" s="236"/>
      <c r="AH47" s="235"/>
      <c r="AI47" s="235"/>
      <c r="AJ47" s="235"/>
      <c r="AK47" s="235"/>
      <c r="AL47" s="236"/>
      <c r="AM47" s="235"/>
      <c r="AN47" s="235"/>
      <c r="AO47" s="235"/>
      <c r="AP47" s="235"/>
      <c r="AQ47" s="236"/>
      <c r="AR47" s="235"/>
      <c r="AS47" s="235"/>
      <c r="AT47" s="235"/>
      <c r="AU47" s="235"/>
      <c r="AV47" s="236"/>
    </row>
    <row r="48" spans="2:48" outlineLevel="1" x14ac:dyDescent="0.55000000000000004">
      <c r="B48" s="38" t="s">
        <v>43</v>
      </c>
      <c r="C48" s="216"/>
      <c r="D48" s="237">
        <v>0</v>
      </c>
      <c r="E48" s="237">
        <v>0.04</v>
      </c>
      <c r="F48" s="237">
        <v>0.04</v>
      </c>
      <c r="G48" s="237">
        <v>0.03</v>
      </c>
      <c r="H48" s="228"/>
      <c r="I48" s="237">
        <v>0.03</v>
      </c>
      <c r="J48" s="237">
        <v>0.05</v>
      </c>
      <c r="K48" s="237">
        <v>0.27</v>
      </c>
      <c r="L48" s="238">
        <v>0.21</v>
      </c>
      <c r="M48" s="228"/>
      <c r="N48" s="237">
        <v>0.2</v>
      </c>
      <c r="O48" s="237">
        <v>0.22</v>
      </c>
      <c r="P48" s="237">
        <v>0.01</v>
      </c>
      <c r="Q48" s="237">
        <v>0.03</v>
      </c>
      <c r="R48" s="229"/>
      <c r="S48" s="238">
        <v>0.06</v>
      </c>
      <c r="T48" s="238">
        <v>7.0000000000000007E-2</v>
      </c>
      <c r="U48" s="239">
        <v>0.08</v>
      </c>
      <c r="V48" s="239"/>
      <c r="W48" s="149"/>
      <c r="X48" s="239"/>
      <c r="Y48" s="239"/>
      <c r="Z48" s="239"/>
      <c r="AA48" s="239"/>
      <c r="AB48" s="60"/>
      <c r="AC48" s="239"/>
      <c r="AD48" s="239"/>
      <c r="AE48" s="239"/>
      <c r="AF48" s="239"/>
      <c r="AG48" s="60"/>
      <c r="AH48" s="239"/>
      <c r="AI48" s="239"/>
      <c r="AJ48" s="239"/>
      <c r="AK48" s="239"/>
      <c r="AL48" s="60"/>
      <c r="AM48" s="239"/>
      <c r="AN48" s="239"/>
      <c r="AO48" s="239"/>
      <c r="AP48" s="239"/>
      <c r="AQ48" s="60"/>
      <c r="AR48" s="239"/>
      <c r="AS48" s="239"/>
      <c r="AT48" s="239"/>
      <c r="AU48" s="239"/>
      <c r="AV48" s="60"/>
    </row>
    <row r="49" spans="2:48" s="8" customFormat="1" outlineLevel="1" x14ac:dyDescent="0.55000000000000004">
      <c r="B49" s="240" t="s">
        <v>45</v>
      </c>
      <c r="C49" s="241"/>
      <c r="D49" s="242">
        <v>0.04</v>
      </c>
      <c r="E49" s="242">
        <v>4.2999999999999997E-2</v>
      </c>
      <c r="F49" s="242">
        <v>7.0000000000000007E-2</v>
      </c>
      <c r="G49" s="242">
        <v>0.06</v>
      </c>
      <c r="H49" s="243"/>
      <c r="I49" s="242">
        <v>0.06</v>
      </c>
      <c r="J49" s="242">
        <v>-0.03</v>
      </c>
      <c r="K49" s="242">
        <v>-0.41</v>
      </c>
      <c r="L49" s="244">
        <v>-0.09</v>
      </c>
      <c r="M49" s="245"/>
      <c r="N49" s="244">
        <v>-0.06</v>
      </c>
      <c r="O49" s="244">
        <v>0.09</v>
      </c>
      <c r="P49" s="242">
        <v>0.84</v>
      </c>
      <c r="Q49" s="242">
        <v>0.22</v>
      </c>
      <c r="R49" s="246"/>
      <c r="S49" s="244">
        <v>0.18</v>
      </c>
      <c r="T49" s="244">
        <v>0.12</v>
      </c>
      <c r="U49" s="242">
        <v>0.09</v>
      </c>
      <c r="V49" s="242"/>
      <c r="W49" s="243"/>
      <c r="X49" s="244"/>
      <c r="Y49" s="244"/>
      <c r="Z49" s="244"/>
      <c r="AA49" s="244"/>
      <c r="AB49" s="243"/>
      <c r="AC49" s="244"/>
      <c r="AD49" s="244"/>
      <c r="AE49" s="244"/>
      <c r="AF49" s="244"/>
      <c r="AG49" s="243"/>
      <c r="AH49" s="244"/>
      <c r="AI49" s="244"/>
      <c r="AJ49" s="244"/>
      <c r="AK49" s="244"/>
      <c r="AL49" s="243"/>
      <c r="AM49" s="244"/>
      <c r="AN49" s="244"/>
      <c r="AO49" s="244"/>
      <c r="AP49" s="244"/>
      <c r="AQ49" s="243"/>
      <c r="AR49" s="244"/>
      <c r="AS49" s="244"/>
      <c r="AT49" s="244"/>
      <c r="AU49" s="244"/>
      <c r="AV49" s="243"/>
    </row>
    <row r="50" spans="2:48" s="8" customFormat="1" outlineLevel="1" x14ac:dyDescent="0.55000000000000004">
      <c r="B50" s="304" t="s">
        <v>178</v>
      </c>
      <c r="C50" s="305"/>
      <c r="D50" s="67">
        <v>7876</v>
      </c>
      <c r="E50" s="67">
        <v>7943</v>
      </c>
      <c r="F50" s="117">
        <v>7996</v>
      </c>
      <c r="G50" s="67">
        <v>8093</v>
      </c>
      <c r="H50" s="68"/>
      <c r="I50" s="67">
        <v>8183</v>
      </c>
      <c r="J50" s="67">
        <v>8220</v>
      </c>
      <c r="K50" s="67">
        <v>8218</v>
      </c>
      <c r="L50" s="67">
        <v>6831</v>
      </c>
      <c r="M50" s="68"/>
      <c r="N50" s="67">
        <v>8279</v>
      </c>
      <c r="O50" s="67">
        <f>+N50+O51</f>
        <v>8300</v>
      </c>
      <c r="P50" s="67">
        <f t="shared" ref="P50" si="97">+O50+P51</f>
        <v>8315</v>
      </c>
      <c r="Q50" s="67">
        <v>6965</v>
      </c>
      <c r="R50" s="193"/>
      <c r="S50" s="67">
        <f>+Q50+S51</f>
        <v>6988</v>
      </c>
      <c r="T50" s="67">
        <f>+S50+T51</f>
        <v>6972</v>
      </c>
      <c r="U50" s="67">
        <f t="shared" ref="U50:V50" si="98">+T50+U51</f>
        <v>7000</v>
      </c>
      <c r="V50" s="67">
        <f t="shared" si="98"/>
        <v>7028</v>
      </c>
      <c r="W50" s="275">
        <f>V50</f>
        <v>7028</v>
      </c>
      <c r="X50" s="67">
        <f>+V50+X51</f>
        <v>7056</v>
      </c>
      <c r="Y50" s="67">
        <f>+X50+Y51</f>
        <v>7084</v>
      </c>
      <c r="Z50" s="67">
        <f t="shared" ref="Z50:AA50" si="99">+Y50+Z51</f>
        <v>7112</v>
      </c>
      <c r="AA50" s="67">
        <f t="shared" si="99"/>
        <v>7140</v>
      </c>
      <c r="AB50" s="193">
        <f>AA50</f>
        <v>7140</v>
      </c>
      <c r="AC50" s="67">
        <f>+AA50+AC51</f>
        <v>7168</v>
      </c>
      <c r="AD50" s="67">
        <f>+AC50+AD51</f>
        <v>7196</v>
      </c>
      <c r="AE50" s="67">
        <f t="shared" ref="AE50" si="100">+AD50+AE51</f>
        <v>7224</v>
      </c>
      <c r="AF50" s="67">
        <f t="shared" ref="AF50" si="101">+AE50+AF51</f>
        <v>7252</v>
      </c>
      <c r="AG50" s="193">
        <f>AF50</f>
        <v>7252</v>
      </c>
      <c r="AH50" s="67">
        <f>+AF50+AH51</f>
        <v>7280</v>
      </c>
      <c r="AI50" s="67">
        <f>+AH50+AI51</f>
        <v>7308</v>
      </c>
      <c r="AJ50" s="67">
        <f t="shared" ref="AJ50" si="102">+AI50+AJ51</f>
        <v>7336</v>
      </c>
      <c r="AK50" s="67">
        <f t="shared" ref="AK50" si="103">+AJ50+AK51</f>
        <v>7364</v>
      </c>
      <c r="AL50" s="193">
        <f>AK50</f>
        <v>7364</v>
      </c>
      <c r="AM50" s="67">
        <f>+AK50+AM51</f>
        <v>7392</v>
      </c>
      <c r="AN50" s="67">
        <f>+AM50+AN51</f>
        <v>7420</v>
      </c>
      <c r="AO50" s="67">
        <f t="shared" ref="AO50" si="104">+AN50+AO51</f>
        <v>7448</v>
      </c>
      <c r="AP50" s="67">
        <f t="shared" ref="AP50" si="105">+AO50+AP51</f>
        <v>7476</v>
      </c>
      <c r="AQ50" s="193">
        <f>AP50</f>
        <v>7476</v>
      </c>
      <c r="AR50" s="67">
        <f>+AP50+AR51</f>
        <v>7504</v>
      </c>
      <c r="AS50" s="67">
        <f>+AR50+AS51</f>
        <v>7532</v>
      </c>
      <c r="AT50" s="67">
        <f t="shared" ref="AT50" si="106">+AS50+AT51</f>
        <v>7560</v>
      </c>
      <c r="AU50" s="67">
        <f t="shared" ref="AU50" si="107">+AT50+AU51</f>
        <v>7588</v>
      </c>
      <c r="AV50" s="193">
        <f>AU50</f>
        <v>7588</v>
      </c>
    </row>
    <row r="51" spans="2:48" outlineLevel="1" x14ac:dyDescent="0.55000000000000004">
      <c r="B51" s="181" t="s">
        <v>47</v>
      </c>
      <c r="C51" s="210"/>
      <c r="D51" s="101">
        <f>+D50-7770</f>
        <v>106</v>
      </c>
      <c r="E51" s="101">
        <f>E50-D50</f>
        <v>67</v>
      </c>
      <c r="F51" s="101">
        <f t="shared" ref="F51:G51" si="108">F50-E50</f>
        <v>53</v>
      </c>
      <c r="G51" s="101">
        <f t="shared" si="108"/>
        <v>97</v>
      </c>
      <c r="H51" s="122">
        <f>+SUM(D51:G51)</f>
        <v>323</v>
      </c>
      <c r="I51" s="101">
        <f>I50-G50</f>
        <v>90</v>
      </c>
      <c r="J51" s="101">
        <f t="shared" ref="J51:K51" si="109">J50-I50</f>
        <v>37</v>
      </c>
      <c r="K51" s="101">
        <f t="shared" si="109"/>
        <v>-2</v>
      </c>
      <c r="L51" s="101">
        <v>32</v>
      </c>
      <c r="M51" s="122"/>
      <c r="N51" s="101">
        <v>34</v>
      </c>
      <c r="O51" s="101">
        <v>21</v>
      </c>
      <c r="P51" s="101">
        <v>15</v>
      </c>
      <c r="Q51" s="101">
        <v>73</v>
      </c>
      <c r="R51" s="26"/>
      <c r="S51" s="101">
        <v>23</v>
      </c>
      <c r="T51" s="101">
        <v>-16</v>
      </c>
      <c r="U51" s="101">
        <v>28</v>
      </c>
      <c r="V51" s="33">
        <v>28</v>
      </c>
      <c r="W51" s="122">
        <f>+SUM(S51:V51)</f>
        <v>63</v>
      </c>
      <c r="X51" s="33">
        <v>28</v>
      </c>
      <c r="Y51" s="33">
        <v>28</v>
      </c>
      <c r="Z51" s="33">
        <v>28</v>
      </c>
      <c r="AA51" s="33">
        <v>28</v>
      </c>
      <c r="AB51" s="26">
        <f>+SUM(X51:AA51)</f>
        <v>112</v>
      </c>
      <c r="AC51" s="33">
        <v>28</v>
      </c>
      <c r="AD51" s="33">
        <v>28</v>
      </c>
      <c r="AE51" s="33">
        <v>28</v>
      </c>
      <c r="AF51" s="33">
        <v>28</v>
      </c>
      <c r="AG51" s="26">
        <f>+SUM(AC51:AF51)</f>
        <v>112</v>
      </c>
      <c r="AH51" s="33">
        <v>28</v>
      </c>
      <c r="AI51" s="33">
        <v>28</v>
      </c>
      <c r="AJ51" s="33">
        <v>28</v>
      </c>
      <c r="AK51" s="33">
        <v>28</v>
      </c>
      <c r="AL51" s="26">
        <f>+SUM(AH51:AK51)</f>
        <v>112</v>
      </c>
      <c r="AM51" s="33">
        <v>28</v>
      </c>
      <c r="AN51" s="33">
        <v>28</v>
      </c>
      <c r="AO51" s="33">
        <v>28</v>
      </c>
      <c r="AP51" s="33">
        <v>28</v>
      </c>
      <c r="AQ51" s="26">
        <f>+SUM(AM51:AP51)</f>
        <v>112</v>
      </c>
      <c r="AR51" s="33">
        <v>28</v>
      </c>
      <c r="AS51" s="33">
        <v>28</v>
      </c>
      <c r="AT51" s="33">
        <v>28</v>
      </c>
      <c r="AU51" s="33">
        <v>28</v>
      </c>
      <c r="AV51" s="26">
        <f>+SUM(AR51:AU51)</f>
        <v>112</v>
      </c>
    </row>
    <row r="52" spans="2:48" outlineLevel="1" x14ac:dyDescent="0.55000000000000004">
      <c r="B52" s="181" t="s">
        <v>49</v>
      </c>
      <c r="C52" s="210"/>
      <c r="D52" s="16">
        <f>AVERAGE(D50,7770)</f>
        <v>7823</v>
      </c>
      <c r="E52" s="16">
        <f>AVERAGE(E50,D50)</f>
        <v>7909.5</v>
      </c>
      <c r="F52" s="16">
        <f t="shared" ref="F52:G52" si="110">AVERAGE(F50,E50)</f>
        <v>7969.5</v>
      </c>
      <c r="G52" s="16">
        <f t="shared" si="110"/>
        <v>8044.5</v>
      </c>
      <c r="H52" s="26"/>
      <c r="I52" s="16">
        <f>AVERAGE(I50,G50)</f>
        <v>8138</v>
      </c>
      <c r="J52" s="16">
        <f>AVERAGE(J50,I50)</f>
        <v>8201.5</v>
      </c>
      <c r="K52" s="16">
        <f t="shared" ref="K52:L52" si="111">AVERAGE(K50,J50)</f>
        <v>8219</v>
      </c>
      <c r="L52" s="16">
        <f t="shared" si="111"/>
        <v>7524.5</v>
      </c>
      <c r="M52" s="6"/>
      <c r="N52" s="16">
        <f>AVERAGE(N50,L50)</f>
        <v>7555</v>
      </c>
      <c r="O52" s="16">
        <f>AVERAGE(O50,N50)</f>
        <v>8289.5</v>
      </c>
      <c r="P52" s="16">
        <f t="shared" ref="P52:Q52" si="112">AVERAGE(P50,O50)</f>
        <v>8307.5</v>
      </c>
      <c r="Q52" s="16">
        <f t="shared" si="112"/>
        <v>7640</v>
      </c>
      <c r="R52" s="6"/>
      <c r="S52" s="16">
        <f>AVERAGE(S50,Q50)</f>
        <v>6976.5</v>
      </c>
      <c r="T52" s="16">
        <f>AVERAGE(T50,S50)</f>
        <v>6980</v>
      </c>
      <c r="U52" s="16">
        <f t="shared" ref="U52:V52" si="113">AVERAGE(U50,T50)</f>
        <v>6986</v>
      </c>
      <c r="V52" s="16">
        <f t="shared" si="113"/>
        <v>7014</v>
      </c>
      <c r="W52" s="131"/>
      <c r="X52" s="16">
        <f>AVERAGE(X50,V50)</f>
        <v>7042</v>
      </c>
      <c r="Y52" s="16">
        <f>AVERAGE(Y50,X50)</f>
        <v>7070</v>
      </c>
      <c r="Z52" s="16">
        <f t="shared" ref="Z52:AA52" si="114">AVERAGE(Z50,Y50)</f>
        <v>7098</v>
      </c>
      <c r="AA52" s="16">
        <f t="shared" si="114"/>
        <v>7126</v>
      </c>
      <c r="AB52" s="6"/>
      <c r="AC52" s="16">
        <f>AVERAGE(AC50,AA50)</f>
        <v>7154</v>
      </c>
      <c r="AD52" s="16">
        <f>AVERAGE(AD50,AC50)</f>
        <v>7182</v>
      </c>
      <c r="AE52" s="16">
        <f t="shared" ref="AE52" si="115">AVERAGE(AE50,AD50)</f>
        <v>7210</v>
      </c>
      <c r="AF52" s="16">
        <f t="shared" ref="AF52" si="116">AVERAGE(AF50,AE50)</f>
        <v>7238</v>
      </c>
      <c r="AG52" s="6"/>
      <c r="AH52" s="16">
        <f>AVERAGE(AH50,AF50)</f>
        <v>7266</v>
      </c>
      <c r="AI52" s="16">
        <f>AVERAGE(AI50,AH50)</f>
        <v>7294</v>
      </c>
      <c r="AJ52" s="16">
        <f t="shared" ref="AJ52" si="117">AVERAGE(AJ50,AI50)</f>
        <v>7322</v>
      </c>
      <c r="AK52" s="16">
        <f t="shared" ref="AK52" si="118">AVERAGE(AK50,AJ50)</f>
        <v>7350</v>
      </c>
      <c r="AL52" s="6"/>
      <c r="AM52" s="16">
        <f>AVERAGE(AM50,AK50)</f>
        <v>7378</v>
      </c>
      <c r="AN52" s="16">
        <f>AVERAGE(AN50,AM50)</f>
        <v>7406</v>
      </c>
      <c r="AO52" s="16">
        <f t="shared" ref="AO52" si="119">AVERAGE(AO50,AN50)</f>
        <v>7434</v>
      </c>
      <c r="AP52" s="16">
        <f t="shared" ref="AP52" si="120">AVERAGE(AP50,AO50)</f>
        <v>7462</v>
      </c>
      <c r="AQ52" s="6"/>
      <c r="AR52" s="16">
        <f>AVERAGE(AR50,AP50)</f>
        <v>7490</v>
      </c>
      <c r="AS52" s="16">
        <f>AVERAGE(AS50,AR50)</f>
        <v>7518</v>
      </c>
      <c r="AT52" s="16">
        <f t="shared" ref="AT52" si="121">AVERAGE(AT50,AS50)</f>
        <v>7546</v>
      </c>
      <c r="AU52" s="16">
        <f t="shared" ref="AU52" si="122">AVERAGE(AU50,AT50)</f>
        <v>7574</v>
      </c>
      <c r="AV52" s="6"/>
    </row>
    <row r="53" spans="2:48" outlineLevel="1" x14ac:dyDescent="0.55000000000000004">
      <c r="B53" s="181" t="s">
        <v>203</v>
      </c>
      <c r="C53" s="210"/>
      <c r="D53" s="43">
        <f>+D54/D52</f>
        <v>6.5780391154288645E-2</v>
      </c>
      <c r="E53" s="43">
        <f>+E54/E52</f>
        <v>5.8549845122953414E-2</v>
      </c>
      <c r="F53" s="43">
        <f>+F54/F52</f>
        <v>6.2274923144488362E-2</v>
      </c>
      <c r="G53" s="114">
        <f t="shared" ref="G53:S53" si="123">+G54/G52</f>
        <v>6.016533034992852E-2</v>
      </c>
      <c r="H53" s="128"/>
      <c r="I53" s="114">
        <f t="shared" si="123"/>
        <v>6.6023593020398133E-2</v>
      </c>
      <c r="J53" s="114">
        <f t="shared" si="123"/>
        <v>5.6599402548314331E-2</v>
      </c>
      <c r="K53" s="114">
        <f t="shared" si="123"/>
        <v>2.8653120817617714E-2</v>
      </c>
      <c r="L53" s="114">
        <f t="shared" si="123"/>
        <v>4.4773739118878331E-2</v>
      </c>
      <c r="M53" s="6"/>
      <c r="N53" s="114">
        <f t="shared" si="123"/>
        <v>5.5089344804765052E-2</v>
      </c>
      <c r="O53" s="114">
        <f t="shared" si="123"/>
        <v>4.7554134748778572E-2</v>
      </c>
      <c r="P53" s="114">
        <f t="shared" si="123"/>
        <v>5.6394823954258204E-2</v>
      </c>
      <c r="Q53" s="114">
        <f t="shared" si="123"/>
        <v>6.6295811518324602E-2</v>
      </c>
      <c r="R53" s="6"/>
      <c r="S53" s="114">
        <f t="shared" si="123"/>
        <v>7.3948254855586606E-2</v>
      </c>
      <c r="T53" s="114">
        <f>+T54/T52</f>
        <v>7.2636103151862461E-2</v>
      </c>
      <c r="U53" s="114">
        <f>+U54/U52</f>
        <v>7.7898654451760668E-2</v>
      </c>
      <c r="V53" s="62">
        <v>7.8E-2</v>
      </c>
      <c r="W53" s="131"/>
      <c r="X53" s="62">
        <v>7.8E-2</v>
      </c>
      <c r="Y53" s="62">
        <v>7.8E-2</v>
      </c>
      <c r="Z53" s="62">
        <v>7.8E-2</v>
      </c>
      <c r="AA53" s="62">
        <v>7.8E-2</v>
      </c>
      <c r="AB53" s="6"/>
      <c r="AC53" s="62">
        <v>7.8E-2</v>
      </c>
      <c r="AD53" s="62">
        <v>7.8E-2</v>
      </c>
      <c r="AE53" s="62">
        <v>7.8E-2</v>
      </c>
      <c r="AF53" s="62">
        <v>7.8E-2</v>
      </c>
      <c r="AG53" s="6"/>
      <c r="AH53" s="62">
        <v>7.8E-2</v>
      </c>
      <c r="AI53" s="62">
        <v>7.8E-2</v>
      </c>
      <c r="AJ53" s="62">
        <v>7.8E-2</v>
      </c>
      <c r="AK53" s="62">
        <v>7.8E-2</v>
      </c>
      <c r="AL53" s="6"/>
      <c r="AM53" s="62">
        <v>7.8E-2</v>
      </c>
      <c r="AN53" s="62">
        <v>7.8E-2</v>
      </c>
      <c r="AO53" s="62">
        <v>7.8E-2</v>
      </c>
      <c r="AP53" s="62">
        <v>7.8E-2</v>
      </c>
      <c r="AQ53" s="6"/>
      <c r="AR53" s="62">
        <v>7.8E-2</v>
      </c>
      <c r="AS53" s="62">
        <v>7.8E-2</v>
      </c>
      <c r="AT53" s="62">
        <v>7.8E-2</v>
      </c>
      <c r="AU53" s="62">
        <v>7.8E-2</v>
      </c>
      <c r="AV53" s="6"/>
    </row>
    <row r="54" spans="2:48" s="8" customFormat="1" outlineLevel="1" x14ac:dyDescent="0.55000000000000004">
      <c r="B54" s="306" t="s">
        <v>179</v>
      </c>
      <c r="C54" s="307"/>
      <c r="D54" s="115">
        <v>514.6</v>
      </c>
      <c r="E54" s="115">
        <v>463.1</v>
      </c>
      <c r="F54" s="115">
        <v>496.3</v>
      </c>
      <c r="G54" s="115">
        <v>484</v>
      </c>
      <c r="H54" s="154"/>
      <c r="I54" s="115">
        <v>537.29999999999995</v>
      </c>
      <c r="J54" s="115">
        <v>464.2</v>
      </c>
      <c r="K54" s="115">
        <v>235.5</v>
      </c>
      <c r="L54" s="72">
        <v>336.9</v>
      </c>
      <c r="M54" s="73"/>
      <c r="N54" s="72">
        <v>416.2</v>
      </c>
      <c r="O54" s="72">
        <v>394.2</v>
      </c>
      <c r="P54" s="72">
        <v>468.5</v>
      </c>
      <c r="Q54" s="115">
        <v>506.5</v>
      </c>
      <c r="R54" s="73"/>
      <c r="S54" s="72">
        <v>515.9</v>
      </c>
      <c r="T54" s="72">
        <v>507</v>
      </c>
      <c r="U54" s="72">
        <v>544.20000000000005</v>
      </c>
      <c r="V54" s="72">
        <f t="shared" ref="V54" si="124">+V52*V53</f>
        <v>547.09199999999998</v>
      </c>
      <c r="W54" s="222">
        <f>SUM(S54:V54)</f>
        <v>2114.192</v>
      </c>
      <c r="X54" s="72">
        <f>+X52*X53</f>
        <v>549.27599999999995</v>
      </c>
      <c r="Y54" s="72">
        <f>+Y52*Y53</f>
        <v>551.46</v>
      </c>
      <c r="Z54" s="72">
        <f t="shared" ref="Z54:AA54" si="125">+Z52*Z53</f>
        <v>553.64400000000001</v>
      </c>
      <c r="AA54" s="72">
        <f t="shared" si="125"/>
        <v>555.82799999999997</v>
      </c>
      <c r="AB54" s="73">
        <f>SUM(X54:AA54)</f>
        <v>2210.2079999999996</v>
      </c>
      <c r="AC54" s="72">
        <f>+AC52*AC53</f>
        <v>558.01199999999994</v>
      </c>
      <c r="AD54" s="72">
        <f>+AD52*AD53</f>
        <v>560.19600000000003</v>
      </c>
      <c r="AE54" s="72">
        <f t="shared" ref="AE54:AF54" si="126">+AE52*AE53</f>
        <v>562.38</v>
      </c>
      <c r="AF54" s="72">
        <f t="shared" si="126"/>
        <v>564.56399999999996</v>
      </c>
      <c r="AG54" s="73">
        <f>SUM(AC54:AF54)</f>
        <v>2245.152</v>
      </c>
      <c r="AH54" s="72">
        <f>+AH52*AH53</f>
        <v>566.74800000000005</v>
      </c>
      <c r="AI54" s="72">
        <f>+AI52*AI53</f>
        <v>568.93200000000002</v>
      </c>
      <c r="AJ54" s="72">
        <f t="shared" ref="AJ54:AK54" si="127">+AJ52*AJ53</f>
        <v>571.11599999999999</v>
      </c>
      <c r="AK54" s="72">
        <f t="shared" si="127"/>
        <v>573.29999999999995</v>
      </c>
      <c r="AL54" s="73">
        <f>SUM(AH54:AK54)</f>
        <v>2280.096</v>
      </c>
      <c r="AM54" s="72">
        <f>+AM52*AM53</f>
        <v>575.48400000000004</v>
      </c>
      <c r="AN54" s="72">
        <f>+AN52*AN53</f>
        <v>577.66800000000001</v>
      </c>
      <c r="AO54" s="72">
        <f t="shared" ref="AO54:AP54" si="128">+AO52*AO53</f>
        <v>579.85199999999998</v>
      </c>
      <c r="AP54" s="72">
        <f t="shared" si="128"/>
        <v>582.03599999999994</v>
      </c>
      <c r="AQ54" s="73">
        <f>SUM(AM54:AP54)</f>
        <v>2315.04</v>
      </c>
      <c r="AR54" s="72">
        <f>+AR52*AR53</f>
        <v>584.22</v>
      </c>
      <c r="AS54" s="72">
        <f>+AS52*AS53</f>
        <v>586.404</v>
      </c>
      <c r="AT54" s="72">
        <f t="shared" ref="AT54:AU54" si="129">+AT52*AT53</f>
        <v>588.58799999999997</v>
      </c>
      <c r="AU54" s="72">
        <f t="shared" si="129"/>
        <v>590.77200000000005</v>
      </c>
      <c r="AV54" s="73">
        <f>SUM(AR54:AU54)</f>
        <v>2349.9839999999999</v>
      </c>
    </row>
    <row r="55" spans="2:48" s="8" customFormat="1" outlineLevel="1" x14ac:dyDescent="0.55000000000000004">
      <c r="B55" s="288" t="s">
        <v>180</v>
      </c>
      <c r="C55" s="289"/>
      <c r="D55" s="103">
        <v>5.7</v>
      </c>
      <c r="E55" s="103">
        <v>1.4</v>
      </c>
      <c r="F55" s="103">
        <v>2.6</v>
      </c>
      <c r="G55" s="103">
        <v>3.2</v>
      </c>
      <c r="H55" s="155"/>
      <c r="I55" s="103">
        <v>2.6</v>
      </c>
      <c r="J55" s="103">
        <v>2.2000000000000002</v>
      </c>
      <c r="K55" s="103">
        <v>1.1000000000000001</v>
      </c>
      <c r="L55" s="50">
        <v>1.7</v>
      </c>
      <c r="M55" s="97"/>
      <c r="N55" s="50">
        <v>2.2000000000000002</v>
      </c>
      <c r="O55" s="50">
        <v>2</v>
      </c>
      <c r="P55" s="50">
        <v>2</v>
      </c>
      <c r="Q55" s="103">
        <v>2.2000000000000002</v>
      </c>
      <c r="R55" s="192"/>
      <c r="S55" s="50">
        <v>2.2999999999999998</v>
      </c>
      <c r="T55" s="50">
        <v>2.4</v>
      </c>
      <c r="U55" s="50">
        <v>1</v>
      </c>
      <c r="V55" s="50">
        <f t="shared" ref="V55" si="130">+Q55*(1+V56)</f>
        <v>1.1000000000000001</v>
      </c>
      <c r="W55" s="167">
        <f>SUM(S55:V55)</f>
        <v>6.7999999999999989</v>
      </c>
      <c r="X55" s="50">
        <f>+S55*(1+X56)</f>
        <v>1.1499999999999999</v>
      </c>
      <c r="Y55" s="50">
        <f>+T55*(1+Y56)</f>
        <v>1.2</v>
      </c>
      <c r="Z55" s="50">
        <f>+U55*(1+Z56)</f>
        <v>0.5</v>
      </c>
      <c r="AA55" s="50">
        <f t="shared" ref="AA55" si="131">+V55*(1+AA56)</f>
        <v>0.55000000000000004</v>
      </c>
      <c r="AB55" s="192">
        <f>SUM(X55:AA55)</f>
        <v>3.3999999999999995</v>
      </c>
      <c r="AC55" s="50">
        <f>+X55*(1+AC56)</f>
        <v>0.57499999999999996</v>
      </c>
      <c r="AD55" s="50">
        <f>+Y55*(1+AD56)</f>
        <v>0.6</v>
      </c>
      <c r="AE55" s="50">
        <f>+Z55*(1+AE56)</f>
        <v>0.25</v>
      </c>
      <c r="AF55" s="50">
        <f t="shared" ref="AF55" si="132">+AA55*(1+AF56)</f>
        <v>0.27500000000000002</v>
      </c>
      <c r="AG55" s="192">
        <f>SUM(AC55:AF55)</f>
        <v>1.6999999999999997</v>
      </c>
      <c r="AH55" s="50">
        <f>+AC55*(1+AH56)</f>
        <v>0.28749999999999998</v>
      </c>
      <c r="AI55" s="50">
        <f>+AD55*(1+AI56)</f>
        <v>0.3</v>
      </c>
      <c r="AJ55" s="50">
        <f>+AE55*(1+AJ56)</f>
        <v>0.125</v>
      </c>
      <c r="AK55" s="50">
        <f t="shared" ref="AK55" si="133">+AF55*(1+AK56)</f>
        <v>0.13750000000000001</v>
      </c>
      <c r="AL55" s="192">
        <f>SUM(AH55:AK55)</f>
        <v>0.84999999999999987</v>
      </c>
      <c r="AM55" s="50">
        <f>+AH55*(1+AM56)</f>
        <v>0.14374999999999999</v>
      </c>
      <c r="AN55" s="50">
        <f>+AI55*(1+AN56)</f>
        <v>0.15</v>
      </c>
      <c r="AO55" s="50">
        <f>+AJ55*(1+AO56)</f>
        <v>6.25E-2</v>
      </c>
      <c r="AP55" s="50">
        <f t="shared" ref="AP55" si="134">+AK55*(1+AP56)</f>
        <v>6.8750000000000006E-2</v>
      </c>
      <c r="AQ55" s="192">
        <f>SUM(AM55:AP55)</f>
        <v>0.42499999999999993</v>
      </c>
      <c r="AR55" s="50">
        <f>+AM55*(1+AR56)</f>
        <v>7.1874999999999994E-2</v>
      </c>
      <c r="AS55" s="50">
        <f>+AN55*(1+AS56)</f>
        <v>7.4999999999999997E-2</v>
      </c>
      <c r="AT55" s="50">
        <f>+AO55*(1+AT56)</f>
        <v>3.125E-2</v>
      </c>
      <c r="AU55" s="50">
        <f t="shared" ref="AU55" si="135">+AP55*(1+AU56)</f>
        <v>3.4375000000000003E-2</v>
      </c>
      <c r="AV55" s="192">
        <f>SUM(AR55:AU55)</f>
        <v>0.21249999999999997</v>
      </c>
    </row>
    <row r="56" spans="2:48" outlineLevel="1" x14ac:dyDescent="0.55000000000000004">
      <c r="B56" s="69" t="s">
        <v>50</v>
      </c>
      <c r="C56" s="70"/>
      <c r="D56" s="120"/>
      <c r="E56" s="120"/>
      <c r="F56" s="120"/>
      <c r="G56" s="120"/>
      <c r="H56" s="156"/>
      <c r="I56" s="120">
        <f>I55/D55-1</f>
        <v>-0.54385964912280704</v>
      </c>
      <c r="J56" s="120">
        <f t="shared" ref="J56" si="136">J55/E55-1</f>
        <v>0.57142857142857162</v>
      </c>
      <c r="K56" s="120">
        <f>K55/F55-1</f>
        <v>-0.57692307692307687</v>
      </c>
      <c r="L56" s="120">
        <f>L55/G55-1</f>
        <v>-0.46875</v>
      </c>
      <c r="M56" s="58"/>
      <c r="N56" s="120">
        <f>N55/I55-1</f>
        <v>-0.15384615384615385</v>
      </c>
      <c r="O56" s="120">
        <f t="shared" ref="O56" si="137">O55/J55-1</f>
        <v>-9.0909090909090939E-2</v>
      </c>
      <c r="P56" s="120">
        <f>P55/K55-1</f>
        <v>0.81818181818181812</v>
      </c>
      <c r="Q56" s="120">
        <f>Q55/L55-1</f>
        <v>0.29411764705882359</v>
      </c>
      <c r="R56" s="58"/>
      <c r="S56" s="120">
        <f>S55/N55-1</f>
        <v>4.5454545454545192E-2</v>
      </c>
      <c r="T56" s="120">
        <f t="shared" ref="T56:U56" si="138">T55/O55-1</f>
        <v>0.19999999999999996</v>
      </c>
      <c r="U56" s="120">
        <f t="shared" si="138"/>
        <v>-0.5</v>
      </c>
      <c r="V56" s="71">
        <v>-0.5</v>
      </c>
      <c r="W56" s="156"/>
      <c r="X56" s="71">
        <v>-0.5</v>
      </c>
      <c r="Y56" s="71">
        <v>-0.5</v>
      </c>
      <c r="Z56" s="71">
        <v>-0.5</v>
      </c>
      <c r="AA56" s="71">
        <v>-0.5</v>
      </c>
      <c r="AB56" s="58"/>
      <c r="AC56" s="71">
        <v>-0.5</v>
      </c>
      <c r="AD56" s="71">
        <v>-0.5</v>
      </c>
      <c r="AE56" s="71">
        <v>-0.5</v>
      </c>
      <c r="AF56" s="71">
        <v>-0.5</v>
      </c>
      <c r="AG56" s="58"/>
      <c r="AH56" s="71">
        <v>-0.5</v>
      </c>
      <c r="AI56" s="71">
        <v>-0.5</v>
      </c>
      <c r="AJ56" s="71">
        <v>-0.5</v>
      </c>
      <c r="AK56" s="71">
        <v>-0.5</v>
      </c>
      <c r="AL56" s="58"/>
      <c r="AM56" s="71">
        <v>-0.5</v>
      </c>
      <c r="AN56" s="71">
        <v>-0.5</v>
      </c>
      <c r="AO56" s="71">
        <v>-0.5</v>
      </c>
      <c r="AP56" s="71">
        <v>-0.5</v>
      </c>
      <c r="AQ56" s="58"/>
      <c r="AR56" s="71">
        <v>-0.5</v>
      </c>
      <c r="AS56" s="71">
        <v>-0.5</v>
      </c>
      <c r="AT56" s="71">
        <v>-0.5</v>
      </c>
      <c r="AU56" s="71">
        <v>-0.5</v>
      </c>
      <c r="AV56" s="58"/>
    </row>
    <row r="57" spans="2:48" outlineLevel="1" x14ac:dyDescent="0.55000000000000004">
      <c r="B57" s="181" t="s">
        <v>181</v>
      </c>
      <c r="C57" s="216"/>
      <c r="D57" s="101">
        <f t="shared" ref="D57:G58" si="139">+D50+D41</f>
        <v>17653</v>
      </c>
      <c r="E57" s="101">
        <f t="shared" si="139"/>
        <v>17719</v>
      </c>
      <c r="F57" s="101">
        <f t="shared" si="139"/>
        <v>17853</v>
      </c>
      <c r="G57" s="101">
        <f t="shared" si="139"/>
        <v>18067</v>
      </c>
      <c r="H57" s="122"/>
      <c r="I57" s="101">
        <f t="shared" ref="I57:L58" si="140">+I50+I41</f>
        <v>18203</v>
      </c>
      <c r="J57" s="101">
        <f t="shared" si="140"/>
        <v>18271</v>
      </c>
      <c r="K57" s="101">
        <f t="shared" si="140"/>
        <v>18235</v>
      </c>
      <c r="L57" s="16">
        <f t="shared" si="140"/>
        <v>16940</v>
      </c>
      <c r="M57" s="6"/>
      <c r="N57" s="16">
        <f t="shared" ref="N57:Q58" si="141">+N50+N41</f>
        <v>18308</v>
      </c>
      <c r="O57" s="16">
        <f t="shared" si="141"/>
        <v>18120</v>
      </c>
      <c r="P57" s="16">
        <f t="shared" si="141"/>
        <v>18175</v>
      </c>
      <c r="Q57" s="101">
        <f t="shared" si="141"/>
        <v>16826</v>
      </c>
      <c r="R57" s="6"/>
      <c r="S57" s="16">
        <f t="shared" ref="S57:V58" si="142">+S50+S41</f>
        <v>16888</v>
      </c>
      <c r="T57" s="16">
        <f t="shared" si="142"/>
        <v>16926</v>
      </c>
      <c r="U57" s="16">
        <f t="shared" si="142"/>
        <v>17050</v>
      </c>
      <c r="V57" s="16">
        <f t="shared" si="142"/>
        <v>17174</v>
      </c>
      <c r="W57" s="276">
        <f>W58/Q57</f>
        <v>2.0682277427790323E-2</v>
      </c>
      <c r="X57" s="16">
        <f t="shared" ref="X57:AA58" si="143">+X50+X41</f>
        <v>17298</v>
      </c>
      <c r="Y57" s="16">
        <f t="shared" si="143"/>
        <v>17422</v>
      </c>
      <c r="Z57" s="16">
        <f t="shared" si="143"/>
        <v>17546</v>
      </c>
      <c r="AA57" s="16">
        <f t="shared" si="143"/>
        <v>17670</v>
      </c>
      <c r="AB57" s="276">
        <f>AB58/V57</f>
        <v>2.8880866425992781E-2</v>
      </c>
      <c r="AC57" s="16">
        <f t="shared" ref="AC57:AF57" si="144">+AC50+AC41</f>
        <v>17794</v>
      </c>
      <c r="AD57" s="16">
        <f t="shared" si="144"/>
        <v>17918</v>
      </c>
      <c r="AE57" s="16">
        <f t="shared" si="144"/>
        <v>18042</v>
      </c>
      <c r="AF57" s="16">
        <f t="shared" si="144"/>
        <v>18166</v>
      </c>
      <c r="AG57" s="276">
        <f>AG58/AA57</f>
        <v>2.8070175438596492E-2</v>
      </c>
      <c r="AH57" s="16">
        <f t="shared" ref="AH57:AK57" si="145">+AH50+AH41</f>
        <v>18290</v>
      </c>
      <c r="AI57" s="16">
        <f t="shared" si="145"/>
        <v>18414</v>
      </c>
      <c r="AJ57" s="16">
        <f t="shared" si="145"/>
        <v>18538</v>
      </c>
      <c r="AK57" s="16">
        <f t="shared" si="145"/>
        <v>18662</v>
      </c>
      <c r="AL57" s="276">
        <f>AL58/AF57</f>
        <v>2.7303754266211604E-2</v>
      </c>
      <c r="AM57" s="16">
        <f t="shared" ref="AM57:AP57" si="146">+AM50+AM41</f>
        <v>18786</v>
      </c>
      <c r="AN57" s="16">
        <f t="shared" si="146"/>
        <v>18910</v>
      </c>
      <c r="AO57" s="16">
        <f t="shared" si="146"/>
        <v>19034</v>
      </c>
      <c r="AP57" s="16">
        <f t="shared" si="146"/>
        <v>19158</v>
      </c>
      <c r="AQ57" s="276">
        <f>AQ58/AK57</f>
        <v>2.6578073089700997E-2</v>
      </c>
      <c r="AR57" s="16">
        <f t="shared" ref="AR57:AU57" si="147">+AR50+AR41</f>
        <v>19282</v>
      </c>
      <c r="AS57" s="16">
        <f t="shared" si="147"/>
        <v>19406</v>
      </c>
      <c r="AT57" s="16">
        <f t="shared" si="147"/>
        <v>19530</v>
      </c>
      <c r="AU57" s="16">
        <f t="shared" si="147"/>
        <v>19654</v>
      </c>
      <c r="AV57" s="276">
        <f>AV58/AP57</f>
        <v>2.5889967637540454E-2</v>
      </c>
    </row>
    <row r="58" spans="2:48" outlineLevel="1" x14ac:dyDescent="0.55000000000000004">
      <c r="B58" s="181" t="s">
        <v>182</v>
      </c>
      <c r="C58" s="216"/>
      <c r="D58" s="101">
        <f t="shared" si="139"/>
        <v>193</v>
      </c>
      <c r="E58" s="101">
        <f t="shared" si="139"/>
        <v>66</v>
      </c>
      <c r="F58" s="101">
        <f t="shared" si="139"/>
        <v>134</v>
      </c>
      <c r="G58" s="101">
        <f t="shared" si="139"/>
        <v>214</v>
      </c>
      <c r="H58" s="122">
        <f>+H51+H42</f>
        <v>607</v>
      </c>
      <c r="I58" s="101">
        <f t="shared" si="140"/>
        <v>136</v>
      </c>
      <c r="J58" s="101">
        <f t="shared" si="140"/>
        <v>68</v>
      </c>
      <c r="K58" s="101">
        <f t="shared" si="140"/>
        <v>-36</v>
      </c>
      <c r="L58" s="16">
        <f t="shared" si="140"/>
        <v>124</v>
      </c>
      <c r="M58" s="122"/>
      <c r="N58" s="16">
        <f t="shared" si="141"/>
        <v>-46</v>
      </c>
      <c r="O58" s="16">
        <f t="shared" si="141"/>
        <v>-188</v>
      </c>
      <c r="P58" s="16">
        <f t="shared" si="141"/>
        <v>55</v>
      </c>
      <c r="Q58" s="101">
        <f t="shared" si="141"/>
        <v>74</v>
      </c>
      <c r="R58" s="122"/>
      <c r="S58" s="16">
        <f t="shared" si="142"/>
        <v>62</v>
      </c>
      <c r="T58" s="16">
        <f t="shared" si="142"/>
        <v>38</v>
      </c>
      <c r="U58" s="16">
        <f t="shared" si="142"/>
        <v>124</v>
      </c>
      <c r="V58" s="16">
        <f t="shared" si="142"/>
        <v>124</v>
      </c>
      <c r="W58" s="122">
        <f>+W51+W42</f>
        <v>348</v>
      </c>
      <c r="X58" s="16">
        <f t="shared" si="143"/>
        <v>124</v>
      </c>
      <c r="Y58" s="16">
        <f t="shared" si="143"/>
        <v>124</v>
      </c>
      <c r="Z58" s="16">
        <f t="shared" si="143"/>
        <v>124</v>
      </c>
      <c r="AA58" s="16">
        <f t="shared" si="143"/>
        <v>124</v>
      </c>
      <c r="AB58" s="122">
        <f>+AB51+AB42</f>
        <v>496</v>
      </c>
      <c r="AC58" s="16">
        <f t="shared" ref="AC58:AF58" si="148">+AC51+AC42</f>
        <v>124</v>
      </c>
      <c r="AD58" s="16">
        <f t="shared" si="148"/>
        <v>124</v>
      </c>
      <c r="AE58" s="16">
        <f t="shared" si="148"/>
        <v>124</v>
      </c>
      <c r="AF58" s="16">
        <f t="shared" si="148"/>
        <v>124</v>
      </c>
      <c r="AG58" s="122">
        <f>+AG51+AG42</f>
        <v>496</v>
      </c>
      <c r="AH58" s="16">
        <f t="shared" ref="AH58:AK58" si="149">+AH51+AH42</f>
        <v>124</v>
      </c>
      <c r="AI58" s="16">
        <f t="shared" si="149"/>
        <v>124</v>
      </c>
      <c r="AJ58" s="16">
        <f t="shared" si="149"/>
        <v>124</v>
      </c>
      <c r="AK58" s="16">
        <f t="shared" si="149"/>
        <v>124</v>
      </c>
      <c r="AL58" s="122">
        <f>+AL51+AL42</f>
        <v>496</v>
      </c>
      <c r="AM58" s="16">
        <f t="shared" ref="AM58:AP58" si="150">+AM51+AM42</f>
        <v>124</v>
      </c>
      <c r="AN58" s="16">
        <f t="shared" si="150"/>
        <v>124</v>
      </c>
      <c r="AO58" s="16">
        <f t="shared" si="150"/>
        <v>124</v>
      </c>
      <c r="AP58" s="16">
        <f t="shared" si="150"/>
        <v>124</v>
      </c>
      <c r="AQ58" s="122">
        <f>+AQ51+AQ42</f>
        <v>496</v>
      </c>
      <c r="AR58" s="16">
        <f t="shared" ref="AR58:AU58" si="151">+AR51+AR42</f>
        <v>124</v>
      </c>
      <c r="AS58" s="16">
        <f t="shared" si="151"/>
        <v>124</v>
      </c>
      <c r="AT58" s="16">
        <f t="shared" si="151"/>
        <v>124</v>
      </c>
      <c r="AU58" s="16">
        <f t="shared" si="151"/>
        <v>124</v>
      </c>
      <c r="AV58" s="122">
        <f>+AV51+AV42</f>
        <v>496</v>
      </c>
    </row>
    <row r="59" spans="2:48" outlineLevel="1" x14ac:dyDescent="0.55000000000000004">
      <c r="B59" s="302" t="s">
        <v>183</v>
      </c>
      <c r="C59" s="303"/>
      <c r="D59" s="115">
        <f>+D55+D54+D45</f>
        <v>4612.5</v>
      </c>
      <c r="E59" s="115">
        <f>+E55+E54+E45</f>
        <v>4314.1000000000004</v>
      </c>
      <c r="F59" s="115">
        <f>+F55+F54+F45</f>
        <v>4681.0999999999995</v>
      </c>
      <c r="G59" s="115">
        <f>+G55+G54+G45</f>
        <v>4651.3999999999996</v>
      </c>
      <c r="H59" s="133">
        <f>SUM(D59:G59)</f>
        <v>18259.099999999999</v>
      </c>
      <c r="I59" s="115">
        <f>+I55+I54+I45</f>
        <v>5010.8999999999996</v>
      </c>
      <c r="J59" s="115">
        <f>+J55+J54+J45</f>
        <v>4330</v>
      </c>
      <c r="K59" s="115">
        <f>+K55+K54+K45</f>
        <v>2805.5</v>
      </c>
      <c r="L59" s="72">
        <f>+L55+L54+L45</f>
        <v>4213.9000000000005</v>
      </c>
      <c r="M59" s="97"/>
      <c r="N59" s="72">
        <f>+N55+N54+N45</f>
        <v>4703.2</v>
      </c>
      <c r="O59" s="72">
        <f>+O55+O54+O45</f>
        <v>4664.5999999999995</v>
      </c>
      <c r="P59" s="72">
        <f>+P55+P54+P45</f>
        <v>5400.3</v>
      </c>
      <c r="Q59" s="115">
        <f>+Q55+Q54+Q45</f>
        <v>5763</v>
      </c>
      <c r="R59" s="97"/>
      <c r="S59" s="72">
        <f>+S55+S54+S45</f>
        <v>5732.3</v>
      </c>
      <c r="T59" s="72">
        <f>+T55+T54+T45</f>
        <v>5445.7</v>
      </c>
      <c r="U59" s="72">
        <f>+U55+U54+U45</f>
        <v>6058.4</v>
      </c>
      <c r="V59" s="72">
        <f>+V55+V54+V45</f>
        <v>6112.1900000000005</v>
      </c>
      <c r="W59" s="97">
        <f>SUM(S59:V59)</f>
        <v>23348.590000000004</v>
      </c>
      <c r="X59" s="72">
        <f>+X55+X54+X45</f>
        <v>6167.32</v>
      </c>
      <c r="Y59" s="72">
        <f>+Y55+Y54+Y45</f>
        <v>6222.4500000000007</v>
      </c>
      <c r="Z59" s="72">
        <f>+Z55+Z54+Z45</f>
        <v>6276.8300000000008</v>
      </c>
      <c r="AA59" s="72">
        <f>+AA55+AA54+AA45</f>
        <v>6331.96</v>
      </c>
      <c r="AB59" s="97">
        <f>SUM(X59:AA59)</f>
        <v>24998.560000000001</v>
      </c>
      <c r="AC59" s="72">
        <f>+AC55+AC54+AC45</f>
        <v>6387.0650000000005</v>
      </c>
      <c r="AD59" s="72">
        <f>+AD55+AD54+AD45</f>
        <v>6442.170000000001</v>
      </c>
      <c r="AE59" s="72">
        <f>+AE55+AE54+AE45</f>
        <v>6496.9000000000005</v>
      </c>
      <c r="AF59" s="72">
        <f>+AF55+AF54+AF45</f>
        <v>6552.0050000000001</v>
      </c>
      <c r="AG59" s="97">
        <f>SUM(AC59:AF59)</f>
        <v>25878.140000000003</v>
      </c>
      <c r="AH59" s="72">
        <f>+AH55+AH54+AH45</f>
        <v>6607.0975000000008</v>
      </c>
      <c r="AI59" s="72">
        <f>+AI55+AI54+AI45</f>
        <v>6662.1900000000005</v>
      </c>
      <c r="AJ59" s="72">
        <f>+AJ55+AJ54+AJ45</f>
        <v>6717.0950000000003</v>
      </c>
      <c r="AK59" s="72">
        <f>+AK55+AK54+AK45</f>
        <v>6772.1875000000009</v>
      </c>
      <c r="AL59" s="97">
        <f>SUM(AH59:AK59)</f>
        <v>26758.570000000003</v>
      </c>
      <c r="AM59" s="72">
        <f>+AM55+AM54+AM45</f>
        <v>6827.2737500000003</v>
      </c>
      <c r="AN59" s="72">
        <f>+AN55+AN54+AN45</f>
        <v>6882.3600000000006</v>
      </c>
      <c r="AO59" s="72">
        <f>+AO55+AO54+AO45</f>
        <v>6937.3525</v>
      </c>
      <c r="AP59" s="72">
        <f>+AP55+AP54+AP45</f>
        <v>6992.4387500000012</v>
      </c>
      <c r="AQ59" s="97">
        <f>SUM(AM59:AP59)</f>
        <v>27639.425000000003</v>
      </c>
      <c r="AR59" s="72">
        <f>+AR55+AR54+AR45</f>
        <v>7047.5218750000004</v>
      </c>
      <c r="AS59" s="72">
        <f>+AS55+AS54+AS45</f>
        <v>7102.6050000000005</v>
      </c>
      <c r="AT59" s="72">
        <f>+AT55+AT54+AT45</f>
        <v>7157.6412500000006</v>
      </c>
      <c r="AU59" s="72">
        <f>+AU55+AU54+AU45</f>
        <v>7212.7243750000007</v>
      </c>
      <c r="AV59" s="97">
        <f>SUM(AR59:AU59)</f>
        <v>28520.492500000004</v>
      </c>
    </row>
    <row r="60" spans="2:48" outlineLevel="1" x14ac:dyDescent="0.55000000000000004">
      <c r="B60" s="308" t="s">
        <v>100</v>
      </c>
      <c r="C60" s="309"/>
      <c r="D60" s="105">
        <v>1351.3</v>
      </c>
      <c r="E60" s="105">
        <v>1220.5</v>
      </c>
      <c r="F60" s="105">
        <v>1324</v>
      </c>
      <c r="G60" s="105">
        <v>1278.9000000000001</v>
      </c>
      <c r="H60" s="130"/>
      <c r="I60" s="105">
        <v>1388.4</v>
      </c>
      <c r="J60" s="105">
        <v>1248.2</v>
      </c>
      <c r="K60" s="105">
        <v>805.6</v>
      </c>
      <c r="L60" s="48">
        <v>1158.3</v>
      </c>
      <c r="M60" s="76"/>
      <c r="N60" s="48">
        <v>1276.2</v>
      </c>
      <c r="O60" s="48">
        <v>1227.5999999999999</v>
      </c>
      <c r="P60" s="48">
        <v>1416.2</v>
      </c>
      <c r="Q60" s="105">
        <v>1580.3</v>
      </c>
      <c r="R60" s="76"/>
      <c r="S60" s="48">
        <v>1629.4</v>
      </c>
      <c r="T60" s="48">
        <v>1564</v>
      </c>
      <c r="U60" s="48">
        <v>1713.2</v>
      </c>
      <c r="V60" s="48">
        <f t="shared" ref="V60:AA60" si="152">V61*V59</f>
        <v>1728.4107863462302</v>
      </c>
      <c r="W60" s="76">
        <f>SUM(S60:V60)</f>
        <v>6635.0107863462308</v>
      </c>
      <c r="X60" s="48">
        <f t="shared" si="152"/>
        <v>1744.0004991416877</v>
      </c>
      <c r="Y60" s="48">
        <f t="shared" si="152"/>
        <v>1759.5902119371456</v>
      </c>
      <c r="Z60" s="48">
        <f t="shared" si="152"/>
        <v>1774.9678390334086</v>
      </c>
      <c r="AA60" s="48">
        <f t="shared" si="152"/>
        <v>1790.5575518288658</v>
      </c>
      <c r="AB60" s="76">
        <f>SUM(X60:AA60)</f>
        <v>7069.1161019411074</v>
      </c>
      <c r="AC60" s="48">
        <f t="shared" ref="AC60:AF60" si="153">AC61*AC59</f>
        <v>1806.1401951010171</v>
      </c>
      <c r="AD60" s="48">
        <f t="shared" si="153"/>
        <v>1821.7228383731683</v>
      </c>
      <c r="AE60" s="48">
        <f t="shared" si="153"/>
        <v>1837.199438795722</v>
      </c>
      <c r="AF60" s="48">
        <f t="shared" si="153"/>
        <v>1852.7820820678728</v>
      </c>
      <c r="AG60" s="76">
        <f>SUM(AC60:AF60)</f>
        <v>7317.8445543377802</v>
      </c>
      <c r="AH60" s="48">
        <f t="shared" ref="AH60:AK60" si="154">AH61*AH59</f>
        <v>1868.361190578371</v>
      </c>
      <c r="AI60" s="48">
        <f t="shared" si="154"/>
        <v>1883.9402990888686</v>
      </c>
      <c r="AJ60" s="48">
        <f t="shared" si="154"/>
        <v>1899.4663861745678</v>
      </c>
      <c r="AK60" s="48">
        <f t="shared" si="154"/>
        <v>1915.0454946850657</v>
      </c>
      <c r="AL60" s="76">
        <f>SUM(AH60:AK60)</f>
        <v>7566.8133705268729</v>
      </c>
      <c r="AM60" s="48">
        <f t="shared" ref="AM60:AP60" si="155">AM61*AM59</f>
        <v>1930.6228358147368</v>
      </c>
      <c r="AN60" s="48">
        <f t="shared" si="155"/>
        <v>1946.200176944408</v>
      </c>
      <c r="AO60" s="48">
        <f t="shared" si="155"/>
        <v>1961.7510073616797</v>
      </c>
      <c r="AP60" s="48">
        <f t="shared" si="155"/>
        <v>1977.3283484913513</v>
      </c>
      <c r="AQ60" s="76">
        <f>SUM(AM60:AP60)</f>
        <v>7815.9023686121764</v>
      </c>
      <c r="AR60" s="48">
        <f t="shared" ref="AR60:AU60" si="156">AR61*AR59</f>
        <v>1992.904805930609</v>
      </c>
      <c r="AS60" s="48">
        <f t="shared" si="156"/>
        <v>2008.4812633698668</v>
      </c>
      <c r="AT60" s="48">
        <f t="shared" si="156"/>
        <v>2024.0444654529251</v>
      </c>
      <c r="AU60" s="48">
        <f t="shared" si="156"/>
        <v>2039.620922892183</v>
      </c>
      <c r="AV60" s="76">
        <f>SUM(AR60:AU60)</f>
        <v>8065.0514576455844</v>
      </c>
    </row>
    <row r="61" spans="2:48" s="185" customFormat="1" outlineLevel="1" x14ac:dyDescent="0.55000000000000004">
      <c r="B61" s="182" t="s">
        <v>152</v>
      </c>
      <c r="C61" s="186"/>
      <c r="D61" s="168">
        <f>D60/D59</f>
        <v>0.29296476964769647</v>
      </c>
      <c r="E61" s="168">
        <f t="shared" ref="E61:U61" si="157">E60/E59</f>
        <v>0.28290952921814511</v>
      </c>
      <c r="F61" s="168">
        <f t="shared" si="157"/>
        <v>0.28283950353549381</v>
      </c>
      <c r="G61" s="168">
        <f t="shared" si="157"/>
        <v>0.27494947757664362</v>
      </c>
      <c r="H61" s="187"/>
      <c r="I61" s="168">
        <f t="shared" si="157"/>
        <v>0.27707597437586068</v>
      </c>
      <c r="J61" s="168">
        <f t="shared" si="157"/>
        <v>0.28826789838337186</v>
      </c>
      <c r="K61" s="168">
        <f t="shared" si="157"/>
        <v>0.28715024059882377</v>
      </c>
      <c r="L61" s="188">
        <f t="shared" si="157"/>
        <v>0.27487600560051256</v>
      </c>
      <c r="M61" s="189"/>
      <c r="N61" s="188">
        <f t="shared" si="157"/>
        <v>0.27134716788569485</v>
      </c>
      <c r="O61" s="168">
        <f t="shared" si="157"/>
        <v>0.26317369120610556</v>
      </c>
      <c r="P61" s="168">
        <f t="shared" si="157"/>
        <v>0.26224469010980872</v>
      </c>
      <c r="Q61" s="168">
        <f t="shared" si="157"/>
        <v>0.27421481867083114</v>
      </c>
      <c r="R61" s="189"/>
      <c r="S61" s="188">
        <f t="shared" si="157"/>
        <v>0.28424890532595992</v>
      </c>
      <c r="T61" s="168">
        <f t="shared" si="157"/>
        <v>0.28719907449914611</v>
      </c>
      <c r="U61" s="168">
        <f t="shared" si="157"/>
        <v>0.28278093225934242</v>
      </c>
      <c r="V61" s="190">
        <v>0.28278093225934242</v>
      </c>
      <c r="W61" s="189">
        <f t="shared" ref="W61" si="158">W60/W59</f>
        <v>0.28417179736961545</v>
      </c>
      <c r="X61" s="190">
        <v>0.28278093225934242</v>
      </c>
      <c r="Y61" s="190">
        <v>0.28278093225934242</v>
      </c>
      <c r="Z61" s="190">
        <v>0.28278093225934242</v>
      </c>
      <c r="AA61" s="190">
        <v>0.28278093225934242</v>
      </c>
      <c r="AB61" s="189">
        <f t="shared" ref="AB61" si="159">AB60/AB59</f>
        <v>0.28278093225934242</v>
      </c>
      <c r="AC61" s="190">
        <v>0.28278093225934242</v>
      </c>
      <c r="AD61" s="190">
        <v>0.28278093225934242</v>
      </c>
      <c r="AE61" s="190">
        <v>0.28278093225934242</v>
      </c>
      <c r="AF61" s="190">
        <v>0.28278093225934242</v>
      </c>
      <c r="AG61" s="189">
        <f t="shared" ref="AG61" si="160">AG60/AG59</f>
        <v>0.28278093225934242</v>
      </c>
      <c r="AH61" s="190">
        <v>0.28278093225934242</v>
      </c>
      <c r="AI61" s="190">
        <v>0.28278093225934242</v>
      </c>
      <c r="AJ61" s="190">
        <v>0.28278093225934242</v>
      </c>
      <c r="AK61" s="190">
        <v>0.28278093225934242</v>
      </c>
      <c r="AL61" s="189">
        <f t="shared" ref="AL61" si="161">AL60/AL59</f>
        <v>0.28278093225934242</v>
      </c>
      <c r="AM61" s="190">
        <v>0.28278093225934242</v>
      </c>
      <c r="AN61" s="190">
        <v>0.28278093225934242</v>
      </c>
      <c r="AO61" s="190">
        <v>0.28278093225934242</v>
      </c>
      <c r="AP61" s="190">
        <v>0.28278093225934242</v>
      </c>
      <c r="AQ61" s="189">
        <f t="shared" ref="AQ61" si="162">AQ60/AQ59</f>
        <v>0.28278093225934242</v>
      </c>
      <c r="AR61" s="190">
        <v>0.28278093225934242</v>
      </c>
      <c r="AS61" s="190">
        <v>0.28278093225934242</v>
      </c>
      <c r="AT61" s="190">
        <v>0.28278093225934242</v>
      </c>
      <c r="AU61" s="190">
        <v>0.28278093225934242</v>
      </c>
      <c r="AV61" s="189">
        <f t="shared" ref="AV61" si="163">AV60/AV59</f>
        <v>0.28278093225934242</v>
      </c>
    </row>
    <row r="62" spans="2:48" outlineLevel="1" x14ac:dyDescent="0.55000000000000004">
      <c r="B62" s="181" t="s">
        <v>32</v>
      </c>
      <c r="C62" s="18"/>
      <c r="D62" s="48">
        <v>1983.1</v>
      </c>
      <c r="E62" s="48">
        <v>1935.7</v>
      </c>
      <c r="F62" s="48">
        <v>2034</v>
      </c>
      <c r="G62" s="48">
        <v>2112.1</v>
      </c>
      <c r="H62" s="49"/>
      <c r="I62" s="48">
        <v>2214.4</v>
      </c>
      <c r="J62" s="48">
        <v>2158.6</v>
      </c>
      <c r="K62" s="48">
        <v>2054.4</v>
      </c>
      <c r="L62" s="48">
        <v>2060.6999999999998</v>
      </c>
      <c r="M62" s="166"/>
      <c r="N62" s="48">
        <v>2238.8000000000002</v>
      </c>
      <c r="O62" s="48">
        <v>2203.1</v>
      </c>
      <c r="P62" s="48">
        <v>2346.8000000000002</v>
      </c>
      <c r="Q62" s="105">
        <v>2570.8000000000002</v>
      </c>
      <c r="R62" s="49"/>
      <c r="S62" s="48">
        <v>2702.4</v>
      </c>
      <c r="T62" s="48">
        <v>2625.4</v>
      </c>
      <c r="U62" s="48">
        <v>2670</v>
      </c>
      <c r="V62" s="48">
        <f>V63*V45</f>
        <v>2694.6010774142064</v>
      </c>
      <c r="W62" s="49">
        <f>SUM(S62:V62)</f>
        <v>10692.401077414206</v>
      </c>
      <c r="X62" s="48">
        <f>X63*X45</f>
        <v>2720.2181999564682</v>
      </c>
      <c r="Y62" s="48">
        <f>Y63*Y45</f>
        <v>2745.8353224987309</v>
      </c>
      <c r="Z62" s="48">
        <f>Z63*Z45</f>
        <v>2771.4524450409931</v>
      </c>
      <c r="AA62" s="48">
        <f>AA63*AA45</f>
        <v>2797.0695675832549</v>
      </c>
      <c r="AB62" s="49">
        <f>SUM(X62:AA62)</f>
        <v>11034.575535079446</v>
      </c>
      <c r="AC62" s="48">
        <f>AC63*AC45</f>
        <v>2822.6866901255171</v>
      </c>
      <c r="AD62" s="48">
        <f>AD63*AD45</f>
        <v>2848.3038126677798</v>
      </c>
      <c r="AE62" s="48">
        <f>AE63*AE45</f>
        <v>2873.9209352100415</v>
      </c>
      <c r="AF62" s="48">
        <f>AF63*AF45</f>
        <v>2899.5380577523038</v>
      </c>
      <c r="AG62" s="49">
        <f>SUM(AC62:AF62)</f>
        <v>11444.449495755642</v>
      </c>
      <c r="AH62" s="48">
        <f>AH63*AH45</f>
        <v>2925.1551802945664</v>
      </c>
      <c r="AI62" s="48">
        <f>AI63*AI45</f>
        <v>2950.7723028368282</v>
      </c>
      <c r="AJ62" s="48">
        <f>AJ63*AJ45</f>
        <v>2976.3894253790904</v>
      </c>
      <c r="AK62" s="48">
        <f>AK63*AK45</f>
        <v>3002.0065479213531</v>
      </c>
      <c r="AL62" s="49">
        <f>SUM(AH62:AK62)</f>
        <v>11854.323456431839</v>
      </c>
      <c r="AM62" s="48">
        <f>AM63*AM45</f>
        <v>3027.6236704636149</v>
      </c>
      <c r="AN62" s="48">
        <f>AN63*AN45</f>
        <v>3053.2407930058771</v>
      </c>
      <c r="AO62" s="48">
        <f>AO63*AO45</f>
        <v>3078.8579155481393</v>
      </c>
      <c r="AP62" s="48">
        <f>AP63*AP45</f>
        <v>3104.4750380904015</v>
      </c>
      <c r="AQ62" s="49">
        <f>SUM(AM62:AP62)</f>
        <v>12264.197417108033</v>
      </c>
      <c r="AR62" s="48">
        <f>AR63*AR45</f>
        <v>3130.0921606326638</v>
      </c>
      <c r="AS62" s="48">
        <f>AS63*AS45</f>
        <v>3155.709283174926</v>
      </c>
      <c r="AT62" s="48">
        <f>AT63*AT45</f>
        <v>3181.3264057171882</v>
      </c>
      <c r="AU62" s="48">
        <f>AU63*AU45</f>
        <v>3206.9435282594504</v>
      </c>
      <c r="AV62" s="49">
        <f>SUM(AR62:AU62)</f>
        <v>12674.071377784228</v>
      </c>
    </row>
    <row r="63" spans="2:48" s="185" customFormat="1" outlineLevel="1" x14ac:dyDescent="0.55000000000000004">
      <c r="B63" s="182" t="s">
        <v>151</v>
      </c>
      <c r="C63" s="191"/>
      <c r="D63" s="188">
        <f>D62/D45</f>
        <v>0.48460485802257952</v>
      </c>
      <c r="E63" s="188">
        <f>E62/E45</f>
        <v>0.50283146300914383</v>
      </c>
      <c r="F63" s="188">
        <f>F62/F45</f>
        <v>0.48634689876141746</v>
      </c>
      <c r="G63" s="188">
        <f>G62/G45</f>
        <v>0.5072042649248355</v>
      </c>
      <c r="H63" s="189"/>
      <c r="I63" s="188">
        <f>I62/I45</f>
        <v>0.49528069783046302</v>
      </c>
      <c r="J63" s="188">
        <f>J62/J45</f>
        <v>0.55870172895744896</v>
      </c>
      <c r="K63" s="188">
        <f>K62/K45</f>
        <v>0.79971972439565575</v>
      </c>
      <c r="L63" s="188">
        <f>L62/L45</f>
        <v>0.53175238046086748</v>
      </c>
      <c r="M63" s="189"/>
      <c r="N63" s="188">
        <f>N62/N45</f>
        <v>0.52249813293502612</v>
      </c>
      <c r="O63" s="188">
        <f>O62/O45</f>
        <v>0.51614187986130633</v>
      </c>
      <c r="P63" s="188">
        <f>P62/P45</f>
        <v>0.47604365288652684</v>
      </c>
      <c r="Q63" s="168">
        <f>Q62/Q45</f>
        <v>0.48927545058333177</v>
      </c>
      <c r="R63" s="189"/>
      <c r="S63" s="188">
        <f>S62/S45</f>
        <v>0.51828695268598601</v>
      </c>
      <c r="T63" s="188">
        <f>T62/T45</f>
        <v>0.53185584344549564</v>
      </c>
      <c r="U63" s="188">
        <f>U62/U45</f>
        <v>0.48429224406878041</v>
      </c>
      <c r="V63" s="190">
        <v>0.48429224406878041</v>
      </c>
      <c r="W63" s="189">
        <f>W62/W45</f>
        <v>0.50370282485160145</v>
      </c>
      <c r="X63" s="190">
        <v>0.48429224406878041</v>
      </c>
      <c r="Y63" s="190">
        <v>0.48429224406878041</v>
      </c>
      <c r="Z63" s="190">
        <v>0.48429224406878041</v>
      </c>
      <c r="AA63" s="190">
        <v>0.48429224406878041</v>
      </c>
      <c r="AB63" s="189">
        <f>AB62/AB45</f>
        <v>0.4842922440687803</v>
      </c>
      <c r="AC63" s="190">
        <v>0.48429224406878041</v>
      </c>
      <c r="AD63" s="190">
        <v>0.48429224406878041</v>
      </c>
      <c r="AE63" s="190">
        <v>0.48429224406878041</v>
      </c>
      <c r="AF63" s="190">
        <v>0.48429224406878041</v>
      </c>
      <c r="AG63" s="189">
        <f>AG62/AG45</f>
        <v>0.48429224406878035</v>
      </c>
      <c r="AH63" s="190">
        <v>0.48429224406878041</v>
      </c>
      <c r="AI63" s="190">
        <v>0.48429224406878041</v>
      </c>
      <c r="AJ63" s="190">
        <v>0.48429224406878041</v>
      </c>
      <c r="AK63" s="190">
        <v>0.48429224406878041</v>
      </c>
      <c r="AL63" s="189">
        <f>AL62/AL45</f>
        <v>0.48429224406878052</v>
      </c>
      <c r="AM63" s="190">
        <v>0.48429224406878041</v>
      </c>
      <c r="AN63" s="190">
        <v>0.48429224406878041</v>
      </c>
      <c r="AO63" s="190">
        <v>0.48429224406878041</v>
      </c>
      <c r="AP63" s="190">
        <v>0.48429224406878041</v>
      </c>
      <c r="AQ63" s="189">
        <f>AQ62/AQ45</f>
        <v>0.4842922440687803</v>
      </c>
      <c r="AR63" s="190">
        <v>0.48429224406878041</v>
      </c>
      <c r="AS63" s="190">
        <v>0.48429224406878041</v>
      </c>
      <c r="AT63" s="190">
        <v>0.48429224406878041</v>
      </c>
      <c r="AU63" s="190">
        <v>0.48429224406878041</v>
      </c>
      <c r="AV63" s="189">
        <f>AV62/AV45</f>
        <v>0.48429224406878041</v>
      </c>
    </row>
    <row r="64" spans="2:48" outlineLevel="1" x14ac:dyDescent="0.55000000000000004">
      <c r="B64" s="181" t="s">
        <v>33</v>
      </c>
      <c r="C64" s="18"/>
      <c r="D64" s="48">
        <v>44.5</v>
      </c>
      <c r="E64" s="48">
        <v>39.4</v>
      </c>
      <c r="F64" s="48">
        <v>41.7</v>
      </c>
      <c r="G64" s="48">
        <v>34.200000000000003</v>
      </c>
      <c r="H64" s="49"/>
      <c r="I64" s="48">
        <v>42.5</v>
      </c>
      <c r="J64" s="48">
        <v>41.8</v>
      </c>
      <c r="K64" s="48">
        <v>40.700000000000003</v>
      </c>
      <c r="L64" s="48">
        <v>38</v>
      </c>
      <c r="M64" s="49"/>
      <c r="N64" s="48">
        <v>42.8</v>
      </c>
      <c r="O64" s="48">
        <v>41.9</v>
      </c>
      <c r="P64" s="48">
        <v>39.700000000000003</v>
      </c>
      <c r="Q64" s="105">
        <v>47.3</v>
      </c>
      <c r="R64" s="49"/>
      <c r="S64" s="48">
        <v>48.2</v>
      </c>
      <c r="T64" s="48">
        <v>47.1</v>
      </c>
      <c r="U64" s="48">
        <v>55.4</v>
      </c>
      <c r="V64" s="48">
        <f t="shared" ref="V64" si="164">V59*V65</f>
        <v>55.891873431929227</v>
      </c>
      <c r="W64" s="49">
        <f>SUM(S64:V64)</f>
        <v>206.59187343192923</v>
      </c>
      <c r="X64" s="48">
        <f>X59*X65</f>
        <v>56.396000264096124</v>
      </c>
      <c r="Y64" s="48">
        <f>Y59*Y65</f>
        <v>56.900127096263049</v>
      </c>
      <c r="Z64" s="48">
        <f t="shared" ref="Z64:AA64" si="165">Z59*Z65</f>
        <v>57.397395682028268</v>
      </c>
      <c r="AA64" s="48">
        <f t="shared" si="165"/>
        <v>57.901522514195165</v>
      </c>
      <c r="AB64" s="49">
        <f>SUM(X64:AA64)</f>
        <v>228.59504555658262</v>
      </c>
      <c r="AC64" s="48">
        <f>AC59*AC65</f>
        <v>58.405420738148692</v>
      </c>
      <c r="AD64" s="48">
        <f>AD59*AD65</f>
        <v>58.909318962102212</v>
      </c>
      <c r="AE64" s="48">
        <f t="shared" ref="AE64:AF64" si="166">AE59*AE65</f>
        <v>59.409788062854879</v>
      </c>
      <c r="AF64" s="48">
        <f t="shared" si="166"/>
        <v>59.913686286808399</v>
      </c>
      <c r="AG64" s="49">
        <f>SUM(AC64:AF64)</f>
        <v>236.63821404991418</v>
      </c>
      <c r="AH64" s="48">
        <f>AH59*AH65</f>
        <v>60.417470206655231</v>
      </c>
      <c r="AI64" s="48">
        <f>AI59*AI65</f>
        <v>60.921254126502049</v>
      </c>
      <c r="AJ64" s="48">
        <f t="shared" ref="AJ64:AK64" si="167">AJ59*AJ65</f>
        <v>61.423323484748451</v>
      </c>
      <c r="AK64" s="48">
        <f t="shared" si="167"/>
        <v>61.927107404595283</v>
      </c>
      <c r="AL64" s="49">
        <f>SUM(AH64:AK64)</f>
        <v>244.68915522250103</v>
      </c>
      <c r="AM64" s="48">
        <f>AM59*AM65</f>
        <v>62.430834172388749</v>
      </c>
      <c r="AN64" s="48">
        <f>AN59*AN65</f>
        <v>62.93456094018223</v>
      </c>
      <c r="AO64" s="48">
        <f t="shared" ref="AO64:AP64" si="168">AO59*AO65</f>
        <v>63.437430427175492</v>
      </c>
      <c r="AP64" s="48">
        <f t="shared" si="168"/>
        <v>63.94115719496898</v>
      </c>
      <c r="AQ64" s="49">
        <f>SUM(AM64:AP64)</f>
        <v>252.74398273471544</v>
      </c>
      <c r="AR64" s="48">
        <f>AR59*AR65</f>
        <v>64.444855386735767</v>
      </c>
      <c r="AS64" s="48">
        <f>AS59*AS65</f>
        <v>64.948553578502583</v>
      </c>
      <c r="AT64" s="48">
        <f t="shared" ref="AT64:AU64" si="169">AT59*AT65</f>
        <v>65.451823129869283</v>
      </c>
      <c r="AU64" s="48">
        <f t="shared" si="169"/>
        <v>65.955521321636084</v>
      </c>
      <c r="AV64" s="49">
        <f>SUM(AR64:AU64)</f>
        <v>260.8007534167437</v>
      </c>
    </row>
    <row r="65" spans="2:48" s="185" customFormat="1" outlineLevel="1" x14ac:dyDescent="0.55000000000000004">
      <c r="B65" s="182" t="s">
        <v>153</v>
      </c>
      <c r="C65" s="191"/>
      <c r="D65" s="188">
        <f>D64/D59</f>
        <v>9.6476964769647705E-3</v>
      </c>
      <c r="E65" s="188">
        <f t="shared" ref="E65:U65" si="170">E64/E59</f>
        <v>9.1328434667717479E-3</v>
      </c>
      <c r="F65" s="188">
        <f t="shared" si="170"/>
        <v>8.908162611352034E-3</v>
      </c>
      <c r="G65" s="188">
        <f t="shared" si="170"/>
        <v>7.352625016124179E-3</v>
      </c>
      <c r="H65" s="189"/>
      <c r="I65" s="188">
        <f t="shared" si="170"/>
        <v>8.4815103075295863E-3</v>
      </c>
      <c r="J65" s="188">
        <f t="shared" si="170"/>
        <v>9.6535796766743648E-3</v>
      </c>
      <c r="K65" s="188">
        <f t="shared" si="170"/>
        <v>1.4507217964712174E-2</v>
      </c>
      <c r="L65" s="188">
        <f t="shared" si="170"/>
        <v>9.017774508175324E-3</v>
      </c>
      <c r="M65" s="189"/>
      <c r="N65" s="188">
        <f t="shared" si="170"/>
        <v>9.1001871066507915E-3</v>
      </c>
      <c r="O65" s="188">
        <f t="shared" si="170"/>
        <v>8.982549414740814E-3</v>
      </c>
      <c r="P65" s="188">
        <f t="shared" si="170"/>
        <v>7.3514434383275002E-3</v>
      </c>
      <c r="Q65" s="168">
        <f t="shared" si="170"/>
        <v>8.2075307999305916E-3</v>
      </c>
      <c r="R65" s="189"/>
      <c r="S65" s="188">
        <f t="shared" si="170"/>
        <v>8.4084922282504412E-3</v>
      </c>
      <c r="T65" s="188">
        <f t="shared" si="170"/>
        <v>8.6490258368988378E-3</v>
      </c>
      <c r="U65" s="188">
        <f t="shared" si="170"/>
        <v>9.1443285355869534E-3</v>
      </c>
      <c r="V65" s="190">
        <v>9.1443285355869534E-3</v>
      </c>
      <c r="W65" s="189">
        <f t="shared" ref="W65" si="171">W64/W59</f>
        <v>8.848152005407145E-3</v>
      </c>
      <c r="X65" s="190">
        <v>9.1443285355869534E-3</v>
      </c>
      <c r="Y65" s="190">
        <v>9.1443285355869534E-3</v>
      </c>
      <c r="Z65" s="190">
        <v>9.1443285355869534E-3</v>
      </c>
      <c r="AA65" s="190">
        <v>9.1443285355869534E-3</v>
      </c>
      <c r="AB65" s="189">
        <f t="shared" ref="AB65" si="172">AB64/AB59</f>
        <v>9.1443285355869534E-3</v>
      </c>
      <c r="AC65" s="190">
        <v>9.1443285355869534E-3</v>
      </c>
      <c r="AD65" s="190">
        <v>9.1443285355869534E-3</v>
      </c>
      <c r="AE65" s="190">
        <v>9.1443285355869534E-3</v>
      </c>
      <c r="AF65" s="190">
        <v>9.1443285355869534E-3</v>
      </c>
      <c r="AG65" s="189">
        <f t="shared" ref="AG65" si="173">AG64/AG59</f>
        <v>9.1443285355869534E-3</v>
      </c>
      <c r="AH65" s="190">
        <v>9.1443285355869534E-3</v>
      </c>
      <c r="AI65" s="190">
        <v>9.1443285355869534E-3</v>
      </c>
      <c r="AJ65" s="190">
        <v>9.1443285355869534E-3</v>
      </c>
      <c r="AK65" s="190">
        <v>9.1443285355869534E-3</v>
      </c>
      <c r="AL65" s="189">
        <f t="shared" ref="AL65" si="174">AL64/AL59</f>
        <v>9.1443285355869534E-3</v>
      </c>
      <c r="AM65" s="190">
        <v>9.1443285355869534E-3</v>
      </c>
      <c r="AN65" s="190">
        <v>9.1443285355869534E-3</v>
      </c>
      <c r="AO65" s="190">
        <v>9.1443285355869534E-3</v>
      </c>
      <c r="AP65" s="190">
        <v>9.1443285355869534E-3</v>
      </c>
      <c r="AQ65" s="189">
        <f t="shared" ref="AQ65" si="175">AQ64/AQ59</f>
        <v>9.1443285355869534E-3</v>
      </c>
      <c r="AR65" s="190">
        <v>9.1443285355869534E-3</v>
      </c>
      <c r="AS65" s="190">
        <v>9.1443285355869534E-3</v>
      </c>
      <c r="AT65" s="190">
        <v>9.1443285355869534E-3</v>
      </c>
      <c r="AU65" s="190">
        <v>9.1443285355869534E-3</v>
      </c>
      <c r="AV65" s="189">
        <f t="shared" ref="AV65" si="176">AV64/AV59</f>
        <v>9.1443285355869534E-3</v>
      </c>
    </row>
    <row r="66" spans="2:48" s="259" customFormat="1" outlineLevel="1" x14ac:dyDescent="0.55000000000000004">
      <c r="B66" s="268" t="s">
        <v>34</v>
      </c>
      <c r="C66" s="261"/>
      <c r="D66" s="269">
        <v>166.9</v>
      </c>
      <c r="E66" s="269">
        <v>173</v>
      </c>
      <c r="F66" s="269">
        <v>175.6</v>
      </c>
      <c r="G66" s="269">
        <v>180.6</v>
      </c>
      <c r="H66" s="270"/>
      <c r="I66" s="269">
        <v>189.2</v>
      </c>
      <c r="J66" s="269">
        <v>191.5</v>
      </c>
      <c r="K66" s="269">
        <v>191.3</v>
      </c>
      <c r="L66" s="269">
        <v>190.1</v>
      </c>
      <c r="M66" s="271"/>
      <c r="N66" s="269">
        <v>188.9</v>
      </c>
      <c r="O66" s="269">
        <v>186</v>
      </c>
      <c r="P66" s="269">
        <v>188.9</v>
      </c>
      <c r="Q66" s="269">
        <v>189.9</v>
      </c>
      <c r="R66" s="264"/>
      <c r="S66" s="269">
        <v>200</v>
      </c>
      <c r="T66" s="269">
        <v>202</v>
      </c>
      <c r="U66" s="269">
        <v>201.2</v>
      </c>
      <c r="V66" s="269">
        <v>201.2</v>
      </c>
      <c r="W66" s="264">
        <f t="shared" ref="W66:W67" si="177">SUM(S66:V66)</f>
        <v>804.40000000000009</v>
      </c>
      <c r="X66" s="269">
        <v>201.2</v>
      </c>
      <c r="Y66" s="269">
        <v>201.2</v>
      </c>
      <c r="Z66" s="269">
        <v>201.2</v>
      </c>
      <c r="AA66" s="269">
        <v>201.2</v>
      </c>
      <c r="AB66" s="264">
        <f t="shared" ref="AB66:AB67" si="178">SUM(X66:AA66)</f>
        <v>804.8</v>
      </c>
      <c r="AC66" s="269">
        <v>201.2</v>
      </c>
      <c r="AD66" s="269">
        <v>201.2</v>
      </c>
      <c r="AE66" s="269">
        <v>201.2</v>
      </c>
      <c r="AF66" s="269">
        <v>201.2</v>
      </c>
      <c r="AG66" s="264">
        <f t="shared" ref="AG66:AG67" si="179">SUM(AC66:AF66)</f>
        <v>804.8</v>
      </c>
      <c r="AH66" s="269">
        <v>201.2</v>
      </c>
      <c r="AI66" s="269">
        <v>201.2</v>
      </c>
      <c r="AJ66" s="269">
        <v>201.2</v>
      </c>
      <c r="AK66" s="269">
        <v>201.2</v>
      </c>
      <c r="AL66" s="264">
        <f t="shared" ref="AL66:AL67" si="180">SUM(AH66:AK66)</f>
        <v>804.8</v>
      </c>
      <c r="AM66" s="269">
        <v>201.2</v>
      </c>
      <c r="AN66" s="269">
        <v>201.2</v>
      </c>
      <c r="AO66" s="269">
        <v>201.2</v>
      </c>
      <c r="AP66" s="269">
        <v>201.2</v>
      </c>
      <c r="AQ66" s="264">
        <f t="shared" ref="AQ66:AQ67" si="181">SUM(AM66:AP66)</f>
        <v>804.8</v>
      </c>
      <c r="AR66" s="269">
        <v>201.2</v>
      </c>
      <c r="AS66" s="269">
        <v>201.2</v>
      </c>
      <c r="AT66" s="269">
        <v>201.2</v>
      </c>
      <c r="AU66" s="269">
        <v>201.2</v>
      </c>
      <c r="AV66" s="264">
        <f t="shared" ref="AV66:AV67" si="182">SUM(AR66:AU66)</f>
        <v>804.8</v>
      </c>
    </row>
    <row r="67" spans="2:48" outlineLevel="1" x14ac:dyDescent="0.55000000000000004">
      <c r="B67" s="181" t="s">
        <v>35</v>
      </c>
      <c r="C67" s="18"/>
      <c r="D67" s="48">
        <v>75.099999999999994</v>
      </c>
      <c r="E67" s="48">
        <v>70.900000000000006</v>
      </c>
      <c r="F67" s="48">
        <v>72</v>
      </c>
      <c r="G67" s="48">
        <v>106</v>
      </c>
      <c r="H67" s="49"/>
      <c r="I67" s="48">
        <v>72.400000000000006</v>
      </c>
      <c r="J67" s="48">
        <v>68.2</v>
      </c>
      <c r="K67" s="48">
        <v>62.2</v>
      </c>
      <c r="L67" s="48">
        <v>65.2</v>
      </c>
      <c r="M67" s="166"/>
      <c r="N67" s="48">
        <v>70.8</v>
      </c>
      <c r="O67" s="48">
        <v>77.7</v>
      </c>
      <c r="P67" s="48">
        <v>73.2</v>
      </c>
      <c r="Q67" s="105">
        <v>78.400000000000006</v>
      </c>
      <c r="R67" s="49"/>
      <c r="S67" s="48">
        <v>76.7</v>
      </c>
      <c r="T67" s="48">
        <v>71.3</v>
      </c>
      <c r="U67" s="48">
        <v>76.5</v>
      </c>
      <c r="V67" s="48">
        <f t="shared" ref="V67" si="183">V68*V59</f>
        <v>77.179211507988924</v>
      </c>
      <c r="W67" s="49">
        <f t="shared" si="177"/>
        <v>301.67921150798895</v>
      </c>
      <c r="X67" s="48">
        <f>X68*X59</f>
        <v>77.875343324970288</v>
      </c>
      <c r="Y67" s="48">
        <f>Y68*Y59</f>
        <v>78.57147514195168</v>
      </c>
      <c r="Z67" s="48">
        <f t="shared" ref="Z67:AA67" si="184">Z68*Z59</f>
        <v>79.258136636735784</v>
      </c>
      <c r="AA67" s="48">
        <f t="shared" si="184"/>
        <v>79.954268453717162</v>
      </c>
      <c r="AB67" s="49">
        <f t="shared" si="178"/>
        <v>315.65922355737496</v>
      </c>
      <c r="AC67" s="48">
        <f>AC68*AC59</f>
        <v>80.650084593291965</v>
      </c>
      <c r="AD67" s="48">
        <f>AD68*AD59</f>
        <v>81.345900732866781</v>
      </c>
      <c r="AE67" s="48">
        <f t="shared" ref="AE67:AF67" si="185">AE68*AE59</f>
        <v>82.036981711342946</v>
      </c>
      <c r="AF67" s="48">
        <f t="shared" si="185"/>
        <v>82.732797850917734</v>
      </c>
      <c r="AG67" s="49">
        <f t="shared" si="179"/>
        <v>326.76576488841943</v>
      </c>
      <c r="AH67" s="48">
        <f>AH68*AH59</f>
        <v>83.428456151789263</v>
      </c>
      <c r="AI67" s="48">
        <f>AI68*AI59</f>
        <v>84.124114452660777</v>
      </c>
      <c r="AJ67" s="48">
        <f t="shared" ref="AJ67:AK67" si="186">AJ68*AJ59</f>
        <v>84.817405172982973</v>
      </c>
      <c r="AK67" s="48">
        <f t="shared" si="186"/>
        <v>85.513063473854501</v>
      </c>
      <c r="AL67" s="49">
        <f t="shared" si="180"/>
        <v>337.88303925128753</v>
      </c>
      <c r="AM67" s="48">
        <f>AM68*AM59</f>
        <v>86.208642855374364</v>
      </c>
      <c r="AN67" s="48">
        <f>AN68*AN59</f>
        <v>86.904222236894242</v>
      </c>
      <c r="AO67" s="48">
        <f t="shared" ref="AO67:AP67" si="187">AO68*AO59</f>
        <v>87.598617828139453</v>
      </c>
      <c r="AP67" s="48">
        <f t="shared" si="187"/>
        <v>88.29419720965933</v>
      </c>
      <c r="AQ67" s="49">
        <f t="shared" si="181"/>
        <v>349.00568013006739</v>
      </c>
      <c r="AR67" s="48">
        <f>AR68*AR59</f>
        <v>88.989737131503375</v>
      </c>
      <c r="AS67" s="48">
        <f>AS68*AS59</f>
        <v>89.685277053347434</v>
      </c>
      <c r="AT67" s="48">
        <f t="shared" ref="AT67:AU67" si="188">AT68*AT59</f>
        <v>90.380225080054146</v>
      </c>
      <c r="AU67" s="48">
        <f t="shared" si="188"/>
        <v>91.075765001898205</v>
      </c>
      <c r="AV67" s="49">
        <f t="shared" si="182"/>
        <v>360.13100426680313</v>
      </c>
    </row>
    <row r="68" spans="2:48" s="185" customFormat="1" outlineLevel="1" x14ac:dyDescent="0.55000000000000004">
      <c r="B68" s="182" t="s">
        <v>154</v>
      </c>
      <c r="C68" s="191"/>
      <c r="D68" s="188">
        <f>D67/D59</f>
        <v>1.6281842818428184E-2</v>
      </c>
      <c r="E68" s="188">
        <f t="shared" ref="E68:Q68" si="189">E67/E59</f>
        <v>1.6434482279038501E-2</v>
      </c>
      <c r="F68" s="188">
        <f t="shared" si="189"/>
        <v>1.5381000192262503E-2</v>
      </c>
      <c r="G68" s="188">
        <f t="shared" si="189"/>
        <v>2.2788837769273769E-2</v>
      </c>
      <c r="H68" s="189"/>
      <c r="I68" s="188">
        <f t="shared" si="189"/>
        <v>1.4448502265062167E-2</v>
      </c>
      <c r="J68" s="188">
        <f t="shared" si="189"/>
        <v>1.5750577367205542E-2</v>
      </c>
      <c r="K68" s="188">
        <f t="shared" si="189"/>
        <v>2.2170736054179293E-2</v>
      </c>
      <c r="L68" s="188">
        <f t="shared" si="189"/>
        <v>1.5472602577185029E-2</v>
      </c>
      <c r="M68" s="189"/>
      <c r="N68" s="188">
        <f t="shared" si="189"/>
        <v>1.5053580540908319E-2</v>
      </c>
      <c r="O68" s="188">
        <f t="shared" si="189"/>
        <v>1.6657376838314114E-2</v>
      </c>
      <c r="P68" s="188">
        <f t="shared" si="189"/>
        <v>1.3554802510971613E-2</v>
      </c>
      <c r="Q68" s="168">
        <f t="shared" si="189"/>
        <v>1.3604025681068889E-2</v>
      </c>
      <c r="R68" s="189"/>
      <c r="S68" s="188">
        <f t="shared" ref="S68:U68" si="190">S67/S59</f>
        <v>1.3380318545784415E-2</v>
      </c>
      <c r="T68" s="188">
        <f t="shared" si="190"/>
        <v>1.3092898984519897E-2</v>
      </c>
      <c r="U68" s="188">
        <f t="shared" si="190"/>
        <v>1.2627096263039747E-2</v>
      </c>
      <c r="V68" s="190">
        <v>1.2627096263039747E-2</v>
      </c>
      <c r="W68" s="189">
        <f t="shared" ref="W68" si="191">W67/W59</f>
        <v>1.2920660798274709E-2</v>
      </c>
      <c r="X68" s="190">
        <v>1.2627096263039747E-2</v>
      </c>
      <c r="Y68" s="190">
        <v>1.2627096263039747E-2</v>
      </c>
      <c r="Z68" s="190">
        <v>1.2627096263039747E-2</v>
      </c>
      <c r="AA68" s="190">
        <v>1.2627096263039747E-2</v>
      </c>
      <c r="AB68" s="189">
        <f t="shared" ref="AB68" si="192">AB67/AB59</f>
        <v>1.2627096263039749E-2</v>
      </c>
      <c r="AC68" s="190">
        <v>1.2627096263039747E-2</v>
      </c>
      <c r="AD68" s="190">
        <v>1.2627096263039747E-2</v>
      </c>
      <c r="AE68" s="190">
        <v>1.2627096263039747E-2</v>
      </c>
      <c r="AF68" s="190">
        <v>1.2627096263039747E-2</v>
      </c>
      <c r="AG68" s="189">
        <f t="shared" ref="AG68" si="193">AG67/AG59</f>
        <v>1.2627096263039747E-2</v>
      </c>
      <c r="AH68" s="190">
        <v>1.2627096263039747E-2</v>
      </c>
      <c r="AI68" s="190">
        <v>1.2627096263039747E-2</v>
      </c>
      <c r="AJ68" s="190">
        <v>1.2627096263039747E-2</v>
      </c>
      <c r="AK68" s="190">
        <v>1.2627096263039747E-2</v>
      </c>
      <c r="AL68" s="189">
        <f t="shared" ref="AL68" si="194">AL67/AL59</f>
        <v>1.2627096263039747E-2</v>
      </c>
      <c r="AM68" s="190">
        <v>1.2627096263039747E-2</v>
      </c>
      <c r="AN68" s="190">
        <v>1.2627096263039747E-2</v>
      </c>
      <c r="AO68" s="190">
        <v>1.2627096263039747E-2</v>
      </c>
      <c r="AP68" s="190">
        <v>1.2627096263039747E-2</v>
      </c>
      <c r="AQ68" s="189">
        <f t="shared" ref="AQ68" si="195">AQ67/AQ59</f>
        <v>1.2627096263039747E-2</v>
      </c>
      <c r="AR68" s="190">
        <v>1.2627096263039747E-2</v>
      </c>
      <c r="AS68" s="190">
        <v>1.2627096263039747E-2</v>
      </c>
      <c r="AT68" s="190">
        <v>1.2627096263039747E-2</v>
      </c>
      <c r="AU68" s="190">
        <v>1.2627096263039747E-2</v>
      </c>
      <c r="AV68" s="189">
        <f t="shared" ref="AV68" si="196">AV67/AV59</f>
        <v>1.2627096263039745E-2</v>
      </c>
    </row>
    <row r="69" spans="2:48" s="259" customFormat="1" ht="16.2" outlineLevel="1" x14ac:dyDescent="0.85">
      <c r="B69" s="268" t="s">
        <v>42</v>
      </c>
      <c r="C69" s="261"/>
      <c r="D69" s="272">
        <v>22.9</v>
      </c>
      <c r="E69" s="272">
        <v>18.2</v>
      </c>
      <c r="F69" s="272">
        <v>15.1</v>
      </c>
      <c r="G69" s="272">
        <v>0.7</v>
      </c>
      <c r="H69" s="273"/>
      <c r="I69" s="272">
        <v>5.2</v>
      </c>
      <c r="J69" s="272">
        <v>0.5</v>
      </c>
      <c r="K69" s="272">
        <v>56.2</v>
      </c>
      <c r="L69" s="272">
        <v>195.6</v>
      </c>
      <c r="M69" s="274"/>
      <c r="N69" s="272">
        <v>72.2</v>
      </c>
      <c r="O69" s="272">
        <v>23</v>
      </c>
      <c r="P69" s="272">
        <v>19.8</v>
      </c>
      <c r="Q69" s="272">
        <v>40.5</v>
      </c>
      <c r="R69" s="267"/>
      <c r="S69" s="272">
        <v>-7.5</v>
      </c>
      <c r="T69" s="272">
        <v>4.4000000000000004</v>
      </c>
      <c r="U69" s="272">
        <v>12</v>
      </c>
      <c r="V69" s="272">
        <v>12</v>
      </c>
      <c r="W69" s="267">
        <f>SUM(S69:V69)</f>
        <v>20.9</v>
      </c>
      <c r="X69" s="272">
        <v>12</v>
      </c>
      <c r="Y69" s="272">
        <v>12</v>
      </c>
      <c r="Z69" s="272">
        <v>12</v>
      </c>
      <c r="AA69" s="272">
        <v>12</v>
      </c>
      <c r="AB69" s="267">
        <f>SUM(X69:AA69)</f>
        <v>48</v>
      </c>
      <c r="AC69" s="272">
        <v>12</v>
      </c>
      <c r="AD69" s="272">
        <v>12</v>
      </c>
      <c r="AE69" s="272">
        <v>12</v>
      </c>
      <c r="AF69" s="272">
        <v>12</v>
      </c>
      <c r="AG69" s="267">
        <f>SUM(AC69:AF69)</f>
        <v>48</v>
      </c>
      <c r="AH69" s="272">
        <v>12</v>
      </c>
      <c r="AI69" s="272">
        <v>12</v>
      </c>
      <c r="AJ69" s="272">
        <v>12</v>
      </c>
      <c r="AK69" s="272">
        <v>12</v>
      </c>
      <c r="AL69" s="267">
        <f>SUM(AH69:AK69)</f>
        <v>48</v>
      </c>
      <c r="AM69" s="272">
        <v>12</v>
      </c>
      <c r="AN69" s="272">
        <v>12</v>
      </c>
      <c r="AO69" s="272">
        <v>12</v>
      </c>
      <c r="AP69" s="272">
        <v>12</v>
      </c>
      <c r="AQ69" s="267">
        <f>SUM(AM69:AP69)</f>
        <v>48</v>
      </c>
      <c r="AR69" s="272">
        <v>12</v>
      </c>
      <c r="AS69" s="272">
        <v>12</v>
      </c>
      <c r="AT69" s="272">
        <v>12</v>
      </c>
      <c r="AU69" s="272">
        <v>12</v>
      </c>
      <c r="AV69" s="267">
        <f>SUM(AR69:AU69)</f>
        <v>48</v>
      </c>
    </row>
    <row r="70" spans="2:48" outlineLevel="1" x14ac:dyDescent="0.55000000000000004">
      <c r="B70" s="46" t="s">
        <v>184</v>
      </c>
      <c r="C70" s="19"/>
      <c r="D70" s="103">
        <f>+D60+D62+D64+D66+D67+D69</f>
        <v>3643.7999999999997</v>
      </c>
      <c r="E70" s="103">
        <f t="shared" ref="E70:G70" si="197">+E60+E62+E64+E66+E67+E69</f>
        <v>3457.7</v>
      </c>
      <c r="F70" s="103">
        <f t="shared" si="197"/>
        <v>3662.3999999999996</v>
      </c>
      <c r="G70" s="103">
        <f t="shared" si="197"/>
        <v>3712.4999999999995</v>
      </c>
      <c r="H70" s="167">
        <f>+H60+H62+H64+H66+H67+H69</f>
        <v>0</v>
      </c>
      <c r="I70" s="103">
        <f t="shared" ref="I70:L70" si="198">+I60+I62+I64+I66+I67+I69</f>
        <v>3912.1</v>
      </c>
      <c r="J70" s="103">
        <f t="shared" si="198"/>
        <v>3708.8</v>
      </c>
      <c r="K70" s="103">
        <f t="shared" si="198"/>
        <v>3210.3999999999996</v>
      </c>
      <c r="L70" s="50">
        <f t="shared" si="198"/>
        <v>3707.8999999999996</v>
      </c>
      <c r="M70" s="192"/>
      <c r="N70" s="50">
        <f t="shared" ref="N70:Q70" si="199">+N60+N62+N64+N66+N67+N69</f>
        <v>3889.7000000000003</v>
      </c>
      <c r="O70" s="50">
        <f t="shared" si="199"/>
        <v>3759.2999999999997</v>
      </c>
      <c r="P70" s="50">
        <f t="shared" si="199"/>
        <v>4084.6</v>
      </c>
      <c r="Q70" s="103">
        <f t="shared" si="199"/>
        <v>4507.2</v>
      </c>
      <c r="R70" s="192"/>
      <c r="S70" s="50">
        <f>+S60+S62+S64+S66+S67+S69</f>
        <v>4649.2</v>
      </c>
      <c r="T70" s="50">
        <f t="shared" ref="T70:AK70" si="200">+T60+T62+T64+T66+T67+T69</f>
        <v>4514.2</v>
      </c>
      <c r="U70" s="50">
        <f t="shared" si="200"/>
        <v>4728.2999999999993</v>
      </c>
      <c r="V70" s="50">
        <f t="shared" si="200"/>
        <v>4769.2829487003546</v>
      </c>
      <c r="W70" s="192">
        <f>+W60+W62+W64+W66+W67+W69</f>
        <v>18660.982948700355</v>
      </c>
      <c r="X70" s="50">
        <f t="shared" si="200"/>
        <v>4811.6900426872216</v>
      </c>
      <c r="Y70" s="50">
        <f t="shared" si="200"/>
        <v>4854.0971366740905</v>
      </c>
      <c r="Z70" s="50">
        <f t="shared" si="200"/>
        <v>4896.2758163931658</v>
      </c>
      <c r="AA70" s="50">
        <f t="shared" si="200"/>
        <v>4938.6829103800328</v>
      </c>
      <c r="AB70" s="192">
        <f>+AB60+AB62+AB64+AB66+AB67+AB69</f>
        <v>19500.745906134511</v>
      </c>
      <c r="AC70" s="50">
        <f t="shared" si="200"/>
        <v>4981.0823905579746</v>
      </c>
      <c r="AD70" s="50">
        <f t="shared" si="200"/>
        <v>5023.4818707359173</v>
      </c>
      <c r="AE70" s="50">
        <f t="shared" si="200"/>
        <v>5065.7671437799618</v>
      </c>
      <c r="AF70" s="50">
        <f t="shared" si="200"/>
        <v>5108.1666239579017</v>
      </c>
      <c r="AG70" s="192">
        <f>+AG60+AG62+AG64+AG66+AG67+AG69</f>
        <v>20178.498029031754</v>
      </c>
      <c r="AH70" s="50">
        <f t="shared" si="200"/>
        <v>5150.5622972313813</v>
      </c>
      <c r="AI70" s="50">
        <f t="shared" si="200"/>
        <v>5192.95797050486</v>
      </c>
      <c r="AJ70" s="50">
        <f t="shared" si="200"/>
        <v>5235.2965402113896</v>
      </c>
      <c r="AK70" s="50">
        <f t="shared" si="200"/>
        <v>5277.6922134848683</v>
      </c>
      <c r="AL70" s="192">
        <f>+AL60+AL62+AL64+AL66+AL67+AL69</f>
        <v>20856.509021432499</v>
      </c>
      <c r="AM70" s="50">
        <f t="shared" ref="AM70:AP70" si="201">+AM60+AM62+AM64+AM66+AM67+AM69</f>
        <v>5320.0859833061149</v>
      </c>
      <c r="AN70" s="50">
        <f t="shared" si="201"/>
        <v>5362.4797531273616</v>
      </c>
      <c r="AO70" s="50">
        <f t="shared" si="201"/>
        <v>5404.8449711651328</v>
      </c>
      <c r="AP70" s="50">
        <f t="shared" si="201"/>
        <v>5447.2387409863804</v>
      </c>
      <c r="AQ70" s="192">
        <f>+AQ60+AQ62+AQ64+AQ66+AQ67+AQ69</f>
        <v>21534.649448584991</v>
      </c>
      <c r="AR70" s="50">
        <f t="shared" ref="AR70:AU70" si="202">+AR60+AR62+AR64+AR66+AR67+AR69</f>
        <v>5489.631559081512</v>
      </c>
      <c r="AS70" s="50">
        <f t="shared" si="202"/>
        <v>5532.0243771766427</v>
      </c>
      <c r="AT70" s="50">
        <f t="shared" si="202"/>
        <v>5574.4029193800361</v>
      </c>
      <c r="AU70" s="50">
        <f t="shared" si="202"/>
        <v>5616.7957374751677</v>
      </c>
      <c r="AV70" s="192">
        <f>+AV60+AV62+AV64+AV66+AV67+AV69</f>
        <v>22212.854593113363</v>
      </c>
    </row>
    <row r="71" spans="2:48" outlineLevel="1" x14ac:dyDescent="0.55000000000000004">
      <c r="B71" s="46" t="s">
        <v>185</v>
      </c>
      <c r="C71" s="44"/>
      <c r="D71" s="157">
        <f t="shared" ref="D71:G71" si="203">+D59-D70</f>
        <v>968.70000000000027</v>
      </c>
      <c r="E71" s="157">
        <f t="shared" si="203"/>
        <v>856.40000000000055</v>
      </c>
      <c r="F71" s="157">
        <f t="shared" si="203"/>
        <v>1018.6999999999998</v>
      </c>
      <c r="G71" s="157">
        <f t="shared" si="203"/>
        <v>938.90000000000009</v>
      </c>
      <c r="H71" s="133">
        <f>SUM(D71:G71)</f>
        <v>3782.7000000000007</v>
      </c>
      <c r="I71" s="157">
        <f t="shared" ref="I71:L71" si="204">+I59-I70</f>
        <v>1098.7999999999997</v>
      </c>
      <c r="J71" s="157">
        <f t="shared" si="204"/>
        <v>621.19999999999982</v>
      </c>
      <c r="K71" s="157">
        <f t="shared" si="204"/>
        <v>-404.89999999999964</v>
      </c>
      <c r="L71" s="74">
        <f t="shared" si="204"/>
        <v>506.00000000000091</v>
      </c>
      <c r="M71" s="97"/>
      <c r="N71" s="74">
        <f>+N59-N70</f>
        <v>813.49999999999955</v>
      </c>
      <c r="O71" s="74">
        <f t="shared" ref="O71:Q71" si="205">+O59-O70</f>
        <v>905.29999999999973</v>
      </c>
      <c r="P71" s="74">
        <f t="shared" si="205"/>
        <v>1315.7000000000003</v>
      </c>
      <c r="Q71" s="74">
        <f t="shared" si="205"/>
        <v>1255.8000000000002</v>
      </c>
      <c r="R71" s="97"/>
      <c r="S71" s="74">
        <f t="shared" ref="S71:V71" si="206">+S59-S70</f>
        <v>1083.1000000000004</v>
      </c>
      <c r="T71" s="74">
        <f t="shared" si="206"/>
        <v>931.5</v>
      </c>
      <c r="U71" s="74">
        <f t="shared" si="206"/>
        <v>1330.1000000000004</v>
      </c>
      <c r="V71" s="74">
        <f t="shared" si="206"/>
        <v>1342.9070512996459</v>
      </c>
      <c r="W71" s="97">
        <f>SUM(S71:V71)</f>
        <v>4687.6070512996466</v>
      </c>
      <c r="X71" s="74">
        <f t="shared" ref="X71:AA71" si="207">+X59-X70</f>
        <v>1355.6299573127781</v>
      </c>
      <c r="Y71" s="74">
        <f t="shared" si="207"/>
        <v>1368.3528633259102</v>
      </c>
      <c r="Z71" s="74">
        <f t="shared" si="207"/>
        <v>1380.5541836068351</v>
      </c>
      <c r="AA71" s="74">
        <f t="shared" si="207"/>
        <v>1393.2770896199672</v>
      </c>
      <c r="AB71" s="97">
        <f>SUM(X71:AA71)</f>
        <v>5497.8140938654906</v>
      </c>
      <c r="AC71" s="74">
        <f t="shared" ref="AC71:AF71" si="208">+AC59-AC70</f>
        <v>1405.9826094420259</v>
      </c>
      <c r="AD71" s="74">
        <f t="shared" si="208"/>
        <v>1418.6881292640837</v>
      </c>
      <c r="AE71" s="74">
        <f t="shared" si="208"/>
        <v>1431.1328562200388</v>
      </c>
      <c r="AF71" s="74">
        <f t="shared" si="208"/>
        <v>1443.8383760420984</v>
      </c>
      <c r="AG71" s="97">
        <f>SUM(AC71:AF71)</f>
        <v>5699.6419709682468</v>
      </c>
      <c r="AH71" s="74">
        <f t="shared" ref="AH71:AK71" si="209">+AH59-AH70</f>
        <v>1456.5352027686195</v>
      </c>
      <c r="AI71" s="74">
        <f t="shared" si="209"/>
        <v>1469.2320294951405</v>
      </c>
      <c r="AJ71" s="74">
        <f t="shared" si="209"/>
        <v>1481.7984597886107</v>
      </c>
      <c r="AK71" s="74">
        <f t="shared" si="209"/>
        <v>1494.4952865151326</v>
      </c>
      <c r="AL71" s="97">
        <f>SUM(AH71:AK71)</f>
        <v>5902.0609785675033</v>
      </c>
      <c r="AM71" s="74">
        <f t="shared" ref="AM71:AP71" si="210">+AM59-AM70</f>
        <v>1507.1877666938854</v>
      </c>
      <c r="AN71" s="74">
        <f t="shared" si="210"/>
        <v>1519.880246872639</v>
      </c>
      <c r="AO71" s="74">
        <f t="shared" si="210"/>
        <v>1532.5075288348671</v>
      </c>
      <c r="AP71" s="74">
        <f t="shared" si="210"/>
        <v>1545.2000090136207</v>
      </c>
      <c r="AQ71" s="97">
        <f>SUM(AM71:AP71)</f>
        <v>6104.7755514150122</v>
      </c>
      <c r="AR71" s="74">
        <f t="shared" ref="AR71:AU71" si="211">+AR59-AR70</f>
        <v>1557.8903159184883</v>
      </c>
      <c r="AS71" s="74">
        <f t="shared" si="211"/>
        <v>1570.5806228233578</v>
      </c>
      <c r="AT71" s="74">
        <f t="shared" si="211"/>
        <v>1583.2383306199645</v>
      </c>
      <c r="AU71" s="74">
        <f t="shared" si="211"/>
        <v>1595.928637524833</v>
      </c>
      <c r="AV71" s="97">
        <f>SUM(AR71:AU71)</f>
        <v>6307.6379068866436</v>
      </c>
    </row>
    <row r="72" spans="2:48" outlineLevel="1" x14ac:dyDescent="0.55000000000000004">
      <c r="B72" s="46" t="s">
        <v>186</v>
      </c>
      <c r="C72" s="44"/>
      <c r="D72" s="158">
        <f t="shared" ref="D72:G72" si="212">+D71/D59</f>
        <v>0.21001626016260169</v>
      </c>
      <c r="E72" s="158">
        <f t="shared" si="212"/>
        <v>0.19851185647064287</v>
      </c>
      <c r="F72" s="158">
        <f t="shared" si="212"/>
        <v>0.21761979022024736</v>
      </c>
      <c r="G72" s="158">
        <f t="shared" si="212"/>
        <v>0.20185320548652022</v>
      </c>
      <c r="H72" s="134">
        <f>H71/H59</f>
        <v>0.20716793270205</v>
      </c>
      <c r="I72" s="158">
        <f t="shared" ref="I72:L72" si="213">+I71/I59</f>
        <v>0.21928196531561192</v>
      </c>
      <c r="J72" s="158">
        <f t="shared" si="213"/>
        <v>0.14346420323325632</v>
      </c>
      <c r="K72" s="158">
        <f t="shared" si="213"/>
        <v>-0.14432364997326666</v>
      </c>
      <c r="L72" s="75">
        <f t="shared" si="213"/>
        <v>0.12007878687201899</v>
      </c>
      <c r="M72" s="98"/>
      <c r="N72" s="75">
        <f>+N71/N59</f>
        <v>0.17296734138458913</v>
      </c>
      <c r="O72" s="75">
        <f t="shared" ref="O72:Q72" si="214">+O71/O59</f>
        <v>0.19407880632851687</v>
      </c>
      <c r="P72" s="75">
        <f t="shared" si="214"/>
        <v>0.24363461289187641</v>
      </c>
      <c r="Q72" s="75">
        <f t="shared" si="214"/>
        <v>0.21790733992712133</v>
      </c>
      <c r="R72" s="98"/>
      <c r="S72" s="75">
        <f t="shared" ref="S72:V72" si="215">+S71/S59</f>
        <v>0.188946845070914</v>
      </c>
      <c r="T72" s="75">
        <f t="shared" si="215"/>
        <v>0.17105238995905026</v>
      </c>
      <c r="U72" s="75">
        <f t="shared" si="215"/>
        <v>0.21954641489502186</v>
      </c>
      <c r="V72" s="75">
        <f t="shared" si="215"/>
        <v>0.21970963783842548</v>
      </c>
      <c r="W72" s="98">
        <f>W71/W59</f>
        <v>0.20076617265966148</v>
      </c>
      <c r="X72" s="75">
        <f t="shared" ref="X72:AA72" si="216">+X71/X59</f>
        <v>0.21980859713988865</v>
      </c>
      <c r="Y72" s="75">
        <f t="shared" si="216"/>
        <v>0.21990580291137896</v>
      </c>
      <c r="Z72" s="75">
        <f t="shared" si="216"/>
        <v>0.21994449166328145</v>
      </c>
      <c r="AA72" s="75">
        <f t="shared" si="216"/>
        <v>0.22003883309748754</v>
      </c>
      <c r="AB72" s="98">
        <f>AB71/AB59</f>
        <v>0.21992523144795101</v>
      </c>
      <c r="AC72" s="75">
        <f t="shared" ref="AC72:AF72" si="217">+AC71/AC59</f>
        <v>0.22012968545678271</v>
      </c>
      <c r="AD72" s="75">
        <f t="shared" si="217"/>
        <v>0.22021898355120767</v>
      </c>
      <c r="AE72" s="75">
        <f t="shared" si="217"/>
        <v>0.2202793418738227</v>
      </c>
      <c r="AF72" s="75">
        <f t="shared" si="217"/>
        <v>0.2203658843425941</v>
      </c>
      <c r="AG72" s="98">
        <f>AG71/AG59</f>
        <v>0.22024929036508212</v>
      </c>
      <c r="AH72" s="75">
        <f t="shared" ref="AH72:AK72" si="218">+AH71/AH59</f>
        <v>0.22045008458988524</v>
      </c>
      <c r="AI72" s="75">
        <f t="shared" si="218"/>
        <v>0.22053289226142461</v>
      </c>
      <c r="AJ72" s="75">
        <f t="shared" si="218"/>
        <v>0.22060108719448074</v>
      </c>
      <c r="AK72" s="75">
        <f t="shared" si="218"/>
        <v>0.2206813214364092</v>
      </c>
      <c r="AL72" s="98">
        <f>AL71/AL59</f>
        <v>0.22056712965481723</v>
      </c>
      <c r="AM72" s="75">
        <f t="shared" ref="AM72:AP72" si="219">+AM71/AM59</f>
        <v>0.22075982623281881</v>
      </c>
      <c r="AN72" s="75">
        <f t="shared" si="219"/>
        <v>0.22083707432808497</v>
      </c>
      <c r="AO72" s="75">
        <f t="shared" si="219"/>
        <v>0.22090668289305856</v>
      </c>
      <c r="AP72" s="75">
        <f t="shared" si="219"/>
        <v>0.22098155797412175</v>
      </c>
      <c r="AQ72" s="98">
        <f>AQ71/AQ59</f>
        <v>0.22087201710654297</v>
      </c>
      <c r="AR72" s="75">
        <f t="shared" ref="AR72:AU72" si="220">+AR71/AR59</f>
        <v>0.2210550521942847</v>
      </c>
      <c r="AS72" s="75">
        <f t="shared" si="220"/>
        <v>0.22112740646894452</v>
      </c>
      <c r="AT72" s="75">
        <f t="shared" si="220"/>
        <v>0.22119554128533117</v>
      </c>
      <c r="AU72" s="75">
        <f t="shared" si="220"/>
        <v>0.22126571799367181</v>
      </c>
      <c r="AV72" s="98">
        <f>AV71/AV59</f>
        <v>0.22116160535750365</v>
      </c>
    </row>
    <row r="73" spans="2:48" ht="17.100000000000001" x14ac:dyDescent="0.85">
      <c r="B73" s="282" t="s">
        <v>114</v>
      </c>
      <c r="C73" s="283"/>
      <c r="D73" s="14" t="s">
        <v>19</v>
      </c>
      <c r="E73" s="14" t="s">
        <v>81</v>
      </c>
      <c r="F73" s="14" t="s">
        <v>85</v>
      </c>
      <c r="G73" s="14" t="s">
        <v>95</v>
      </c>
      <c r="H73" s="40" t="s">
        <v>96</v>
      </c>
      <c r="I73" s="14" t="s">
        <v>97</v>
      </c>
      <c r="J73" s="14" t="s">
        <v>98</v>
      </c>
      <c r="K73" s="14" t="s">
        <v>99</v>
      </c>
      <c r="L73" s="14" t="s">
        <v>143</v>
      </c>
      <c r="M73" s="40" t="s">
        <v>144</v>
      </c>
      <c r="N73" s="14" t="s">
        <v>150</v>
      </c>
      <c r="O73" s="14" t="s">
        <v>158</v>
      </c>
      <c r="P73" s="14" t="s">
        <v>160</v>
      </c>
      <c r="Q73" s="14" t="s">
        <v>173</v>
      </c>
      <c r="R73" s="40" t="s">
        <v>174</v>
      </c>
      <c r="S73" s="14" t="s">
        <v>189</v>
      </c>
      <c r="T73" s="14" t="s">
        <v>190</v>
      </c>
      <c r="U73" s="14" t="s">
        <v>205</v>
      </c>
      <c r="V73" s="12" t="s">
        <v>25</v>
      </c>
      <c r="W73" s="42" t="s">
        <v>26</v>
      </c>
      <c r="X73" s="12" t="s">
        <v>27</v>
      </c>
      <c r="Y73" s="12" t="s">
        <v>28</v>
      </c>
      <c r="Z73" s="12" t="s">
        <v>29</v>
      </c>
      <c r="AA73" s="12" t="s">
        <v>30</v>
      </c>
      <c r="AB73" s="42" t="s">
        <v>31</v>
      </c>
      <c r="AC73" s="12" t="s">
        <v>90</v>
      </c>
      <c r="AD73" s="12" t="s">
        <v>91</v>
      </c>
      <c r="AE73" s="12" t="s">
        <v>92</v>
      </c>
      <c r="AF73" s="12" t="s">
        <v>93</v>
      </c>
      <c r="AG73" s="42" t="s">
        <v>94</v>
      </c>
      <c r="AH73" s="12" t="s">
        <v>109</v>
      </c>
      <c r="AI73" s="12" t="s">
        <v>110</v>
      </c>
      <c r="AJ73" s="12" t="s">
        <v>111</v>
      </c>
      <c r="AK73" s="12" t="s">
        <v>112</v>
      </c>
      <c r="AL73" s="42" t="s">
        <v>113</v>
      </c>
      <c r="AM73" s="12" t="s">
        <v>165</v>
      </c>
      <c r="AN73" s="12" t="s">
        <v>166</v>
      </c>
      <c r="AO73" s="12" t="s">
        <v>167</v>
      </c>
      <c r="AP73" s="12" t="s">
        <v>168</v>
      </c>
      <c r="AQ73" s="42" t="s">
        <v>169</v>
      </c>
      <c r="AR73" s="12" t="s">
        <v>196</v>
      </c>
      <c r="AS73" s="12" t="s">
        <v>197</v>
      </c>
      <c r="AT73" s="12" t="s">
        <v>198</v>
      </c>
      <c r="AU73" s="12" t="s">
        <v>199</v>
      </c>
      <c r="AV73" s="42" t="s">
        <v>200</v>
      </c>
    </row>
    <row r="74" spans="2:48" s="8" customFormat="1" outlineLevel="1" x14ac:dyDescent="0.55000000000000004">
      <c r="B74" s="300" t="s">
        <v>115</v>
      </c>
      <c r="C74" s="301"/>
      <c r="D74" s="21">
        <v>5839</v>
      </c>
      <c r="E74" s="21">
        <v>5879</v>
      </c>
      <c r="F74" s="116">
        <v>5646</v>
      </c>
      <c r="G74" s="21">
        <v>5860</v>
      </c>
      <c r="H74" s="192">
        <f>G74</f>
        <v>5860</v>
      </c>
      <c r="I74" s="21">
        <v>6059</v>
      </c>
      <c r="J74" s="21">
        <v>6137</v>
      </c>
      <c r="K74" s="21">
        <v>6254</v>
      </c>
      <c r="L74" s="21">
        <v>6528</v>
      </c>
      <c r="M74" s="192">
        <f>L74</f>
        <v>6528</v>
      </c>
      <c r="N74" s="21">
        <v>6713</v>
      </c>
      <c r="O74" s="21">
        <f>+N74+O75</f>
        <v>6836</v>
      </c>
      <c r="P74" s="21">
        <f t="shared" ref="P74:Q74" si="221">+O74+P75</f>
        <v>7013</v>
      </c>
      <c r="Q74" s="21">
        <f t="shared" si="221"/>
        <v>7272</v>
      </c>
      <c r="R74" s="192">
        <f>Q74</f>
        <v>7272</v>
      </c>
      <c r="S74" s="21">
        <f>+Q74+S75</f>
        <v>7485</v>
      </c>
      <c r="T74" s="21">
        <f>+S74+T75</f>
        <v>7587</v>
      </c>
      <c r="U74" s="21">
        <f t="shared" ref="U74:V74" si="222">+T74+U75</f>
        <v>7717</v>
      </c>
      <c r="V74" s="21">
        <f t="shared" si="222"/>
        <v>7847</v>
      </c>
      <c r="W74" s="192">
        <f>V74</f>
        <v>7847</v>
      </c>
      <c r="X74" s="21">
        <f>+V74+X75</f>
        <v>7977</v>
      </c>
      <c r="Y74" s="21">
        <f>+X74+Y75</f>
        <v>8107</v>
      </c>
      <c r="Z74" s="21">
        <f t="shared" ref="Z74:AA74" si="223">+Y74+Z75</f>
        <v>8237</v>
      </c>
      <c r="AA74" s="21">
        <f t="shared" si="223"/>
        <v>8367</v>
      </c>
      <c r="AB74" s="192">
        <f>AA74</f>
        <v>8367</v>
      </c>
      <c r="AC74" s="21">
        <f>+AA74+AC75</f>
        <v>8497</v>
      </c>
      <c r="AD74" s="21">
        <f>+AC74+AD75</f>
        <v>8627</v>
      </c>
      <c r="AE74" s="21">
        <f t="shared" ref="AE74" si="224">+AD74+AE75</f>
        <v>8757</v>
      </c>
      <c r="AF74" s="21">
        <f t="shared" ref="AF74" si="225">+AE74+AF75</f>
        <v>8887</v>
      </c>
      <c r="AG74" s="192">
        <f>AF74</f>
        <v>8887</v>
      </c>
      <c r="AH74" s="21">
        <f>+AF74+AH75</f>
        <v>9017</v>
      </c>
      <c r="AI74" s="21">
        <f>+AH74+AI75</f>
        <v>9147</v>
      </c>
      <c r="AJ74" s="21">
        <f t="shared" ref="AJ74" si="226">+AI74+AJ75</f>
        <v>9277</v>
      </c>
      <c r="AK74" s="21">
        <f t="shared" ref="AK74" si="227">+AJ74+AK75</f>
        <v>9407</v>
      </c>
      <c r="AL74" s="192">
        <f>AK74</f>
        <v>9407</v>
      </c>
      <c r="AM74" s="21">
        <f>+AK74+AM75</f>
        <v>9537</v>
      </c>
      <c r="AN74" s="21">
        <f>+AM74+AN75</f>
        <v>9667</v>
      </c>
      <c r="AO74" s="21">
        <f t="shared" ref="AO74" si="228">+AN74+AO75</f>
        <v>9797</v>
      </c>
      <c r="AP74" s="21">
        <f t="shared" ref="AP74" si="229">+AO74+AP75</f>
        <v>9927</v>
      </c>
      <c r="AQ74" s="192">
        <f>AP74</f>
        <v>9927</v>
      </c>
      <c r="AR74" s="21">
        <f>+AP74+AR75</f>
        <v>10057</v>
      </c>
      <c r="AS74" s="21">
        <f>+AR74+AS75</f>
        <v>10187</v>
      </c>
      <c r="AT74" s="21">
        <f t="shared" ref="AT74" si="230">+AS74+AT75</f>
        <v>10317</v>
      </c>
      <c r="AU74" s="21">
        <f t="shared" ref="AU74" si="231">+AT74+AU75</f>
        <v>10447</v>
      </c>
      <c r="AV74" s="192">
        <f>AU74</f>
        <v>10447</v>
      </c>
    </row>
    <row r="75" spans="2:48" outlineLevel="1" x14ac:dyDescent="0.55000000000000004">
      <c r="B75" s="181" t="s">
        <v>46</v>
      </c>
      <c r="C75" s="210"/>
      <c r="D75" s="101">
        <f>+D74-5651</f>
        <v>188</v>
      </c>
      <c r="E75" s="101">
        <f>+E74-D74</f>
        <v>40</v>
      </c>
      <c r="F75" s="101">
        <f t="shared" ref="F75:G75" si="232">+F74-E74</f>
        <v>-233</v>
      </c>
      <c r="G75" s="101">
        <f t="shared" si="232"/>
        <v>214</v>
      </c>
      <c r="H75" s="26">
        <f>+SUM(D75:G75)</f>
        <v>209</v>
      </c>
      <c r="I75" s="101">
        <f>+I74-G74</f>
        <v>199</v>
      </c>
      <c r="J75" s="101">
        <f t="shared" ref="J75:L75" si="233">+J74-I74</f>
        <v>78</v>
      </c>
      <c r="K75" s="101">
        <f t="shared" si="233"/>
        <v>117</v>
      </c>
      <c r="L75" s="101">
        <f t="shared" si="233"/>
        <v>274</v>
      </c>
      <c r="M75" s="26">
        <f>+SUM(I75:L75)</f>
        <v>668</v>
      </c>
      <c r="N75" s="101">
        <v>185</v>
      </c>
      <c r="O75" s="101">
        <v>123</v>
      </c>
      <c r="P75" s="101">
        <v>177</v>
      </c>
      <c r="Q75" s="101">
        <v>259</v>
      </c>
      <c r="R75" s="26">
        <f>+SUM(N75:Q75)</f>
        <v>744</v>
      </c>
      <c r="S75" s="101">
        <v>213</v>
      </c>
      <c r="T75" s="101">
        <v>102</v>
      </c>
      <c r="U75" s="101">
        <v>130</v>
      </c>
      <c r="V75" s="33">
        <v>130</v>
      </c>
      <c r="W75" s="122">
        <f>+SUM(S75:V75)</f>
        <v>575</v>
      </c>
      <c r="X75" s="33">
        <v>130</v>
      </c>
      <c r="Y75" s="33">
        <v>130</v>
      </c>
      <c r="Z75" s="33">
        <v>130</v>
      </c>
      <c r="AA75" s="33">
        <v>130</v>
      </c>
      <c r="AB75" s="26">
        <f>+SUM(X75:AA75)</f>
        <v>520</v>
      </c>
      <c r="AC75" s="33">
        <v>130</v>
      </c>
      <c r="AD75" s="33">
        <v>130</v>
      </c>
      <c r="AE75" s="33">
        <v>130</v>
      </c>
      <c r="AF75" s="33">
        <v>130</v>
      </c>
      <c r="AG75" s="26">
        <f>+SUM(AC75:AF75)</f>
        <v>520</v>
      </c>
      <c r="AH75" s="33">
        <v>130</v>
      </c>
      <c r="AI75" s="33">
        <v>130</v>
      </c>
      <c r="AJ75" s="33">
        <v>130</v>
      </c>
      <c r="AK75" s="33">
        <v>130</v>
      </c>
      <c r="AL75" s="26">
        <f>+SUM(AH75:AK75)</f>
        <v>520</v>
      </c>
      <c r="AM75" s="33">
        <v>130</v>
      </c>
      <c r="AN75" s="33">
        <v>130</v>
      </c>
      <c r="AO75" s="33">
        <v>130</v>
      </c>
      <c r="AP75" s="33">
        <v>130</v>
      </c>
      <c r="AQ75" s="26">
        <f>+SUM(AM75:AP75)</f>
        <v>520</v>
      </c>
      <c r="AR75" s="33">
        <v>130</v>
      </c>
      <c r="AS75" s="33">
        <v>130</v>
      </c>
      <c r="AT75" s="33">
        <v>130</v>
      </c>
      <c r="AU75" s="33">
        <v>130</v>
      </c>
      <c r="AV75" s="26">
        <f>+SUM(AR75:AU75)</f>
        <v>520</v>
      </c>
    </row>
    <row r="76" spans="2:48" outlineLevel="1" x14ac:dyDescent="0.55000000000000004">
      <c r="B76" s="181" t="s">
        <v>202</v>
      </c>
      <c r="C76" s="210"/>
      <c r="D76" s="101"/>
      <c r="E76" s="101">
        <f>AVERAGE(D74,E74)</f>
        <v>5859</v>
      </c>
      <c r="F76" s="101">
        <f t="shared" ref="F76:G76" si="234">AVERAGE(E74,F74)</f>
        <v>5762.5</v>
      </c>
      <c r="G76" s="101">
        <f t="shared" si="234"/>
        <v>5753</v>
      </c>
      <c r="H76" s="26"/>
      <c r="I76" s="101">
        <f>AVERAGE(G74,I74)</f>
        <v>5959.5</v>
      </c>
      <c r="J76" s="101">
        <f t="shared" ref="J76:L76" si="235">AVERAGE(I74,J74)</f>
        <v>6098</v>
      </c>
      <c r="K76" s="101">
        <f t="shared" si="235"/>
        <v>6195.5</v>
      </c>
      <c r="L76" s="101">
        <f t="shared" si="235"/>
        <v>6391</v>
      </c>
      <c r="M76" s="26"/>
      <c r="N76" s="101">
        <f>AVERAGE(L74,N74)</f>
        <v>6620.5</v>
      </c>
      <c r="O76" s="101">
        <f t="shared" ref="O76:Q76" si="236">AVERAGE(N74,O74)</f>
        <v>6774.5</v>
      </c>
      <c r="P76" s="101">
        <f t="shared" si="236"/>
        <v>6924.5</v>
      </c>
      <c r="Q76" s="101">
        <f t="shared" si="236"/>
        <v>7142.5</v>
      </c>
      <c r="R76" s="26"/>
      <c r="S76" s="101">
        <f>AVERAGE(Q74,S74)</f>
        <v>7378.5</v>
      </c>
      <c r="T76" s="101">
        <f>AVERAGE(S74,T74)</f>
        <v>7536</v>
      </c>
      <c r="U76" s="101">
        <f t="shared" ref="U76:V76" si="237">AVERAGE(T74,U74)</f>
        <v>7652</v>
      </c>
      <c r="V76" s="101">
        <f t="shared" si="237"/>
        <v>7782</v>
      </c>
      <c r="W76" s="122"/>
      <c r="X76" s="101">
        <f>AVERAGE(V74,X74)</f>
        <v>7912</v>
      </c>
      <c r="Y76" s="101">
        <f t="shared" ref="Y76:AA76" si="238">AVERAGE(X74,Y74)</f>
        <v>8042</v>
      </c>
      <c r="Z76" s="101">
        <f t="shared" si="238"/>
        <v>8172</v>
      </c>
      <c r="AA76" s="101">
        <f t="shared" si="238"/>
        <v>8302</v>
      </c>
      <c r="AB76" s="26"/>
      <c r="AC76" s="101">
        <f>AVERAGE(AA74,AC74)</f>
        <v>8432</v>
      </c>
      <c r="AD76" s="101">
        <f t="shared" ref="AD76" si="239">AVERAGE(AC74,AD74)</f>
        <v>8562</v>
      </c>
      <c r="AE76" s="101">
        <f t="shared" ref="AE76" si="240">AVERAGE(AD74,AE74)</f>
        <v>8692</v>
      </c>
      <c r="AF76" s="101">
        <f t="shared" ref="AF76" si="241">AVERAGE(AE74,AF74)</f>
        <v>8822</v>
      </c>
      <c r="AG76" s="26"/>
      <c r="AH76" s="101">
        <f>AVERAGE(AF74,AH74)</f>
        <v>8952</v>
      </c>
      <c r="AI76" s="101">
        <f t="shared" ref="AI76" si="242">AVERAGE(AH74,AI74)</f>
        <v>9082</v>
      </c>
      <c r="AJ76" s="101">
        <f t="shared" ref="AJ76" si="243">AVERAGE(AI74,AJ74)</f>
        <v>9212</v>
      </c>
      <c r="AK76" s="101">
        <f t="shared" ref="AK76" si="244">AVERAGE(AJ74,AK74)</f>
        <v>9342</v>
      </c>
      <c r="AL76" s="26"/>
      <c r="AM76" s="101">
        <f>AVERAGE(AK74,AM74)</f>
        <v>9472</v>
      </c>
      <c r="AN76" s="101">
        <f t="shared" ref="AN76" si="245">AVERAGE(AM74,AN74)</f>
        <v>9602</v>
      </c>
      <c r="AO76" s="101">
        <f t="shared" ref="AO76" si="246">AVERAGE(AN74,AO74)</f>
        <v>9732</v>
      </c>
      <c r="AP76" s="101">
        <f t="shared" ref="AP76" si="247">AVERAGE(AO74,AP74)</f>
        <v>9862</v>
      </c>
      <c r="AQ76" s="26"/>
      <c r="AR76" s="101">
        <f>AVERAGE(AP74,AR74)</f>
        <v>9992</v>
      </c>
      <c r="AS76" s="101">
        <f t="shared" ref="AS76" si="248">AVERAGE(AR74,AS74)</f>
        <v>10122</v>
      </c>
      <c r="AT76" s="101">
        <f t="shared" ref="AT76" si="249">AVERAGE(AS74,AT74)</f>
        <v>10252</v>
      </c>
      <c r="AU76" s="101">
        <f t="shared" ref="AU76" si="250">AVERAGE(AT74,AU74)</f>
        <v>10382</v>
      </c>
      <c r="AV76" s="26"/>
    </row>
    <row r="77" spans="2:48" s="20" customFormat="1" outlineLevel="1" x14ac:dyDescent="0.55000000000000004">
      <c r="B77" s="181" t="s">
        <v>207</v>
      </c>
      <c r="C77" s="215"/>
      <c r="D77" s="43"/>
      <c r="E77" s="43">
        <f>+E78/E76</f>
        <v>0.22348523638846221</v>
      </c>
      <c r="F77" s="114">
        <f>+F78/F76</f>
        <v>0.2347592190889371</v>
      </c>
      <c r="G77" s="43">
        <f>+G78/G76</f>
        <v>0.22873283504258649</v>
      </c>
      <c r="H77" s="97"/>
      <c r="I77" s="43">
        <f>+I78/I76</f>
        <v>0.21976675895628828</v>
      </c>
      <c r="J77" s="43">
        <f>+J78/J76</f>
        <v>0.14798294522794359</v>
      </c>
      <c r="K77" s="43">
        <f>+K78/K76</f>
        <v>0.14131224275683965</v>
      </c>
      <c r="L77" s="43">
        <f>+L78/L76</f>
        <v>0.20314504772336098</v>
      </c>
      <c r="M77" s="97"/>
      <c r="N77" s="43">
        <f>+N78/N76</f>
        <v>0.21776300883619062</v>
      </c>
      <c r="O77" s="43">
        <f>+O78/O76</f>
        <v>0.20439884862351465</v>
      </c>
      <c r="P77" s="43">
        <f>+P78/P76</f>
        <v>0.20698967434471802</v>
      </c>
      <c r="Q77" s="43">
        <f>+Q78/Q76</f>
        <v>0.22541127056352817</v>
      </c>
      <c r="R77" s="97"/>
      <c r="S77" s="43">
        <f>+S78/S76</f>
        <v>0.20441824219014704</v>
      </c>
      <c r="T77" s="43">
        <f>+T78/T76</f>
        <v>0.17786624203821658</v>
      </c>
      <c r="U77" s="43">
        <f>+U78/U76</f>
        <v>0.15189492943021432</v>
      </c>
      <c r="V77" s="62">
        <v>0.152</v>
      </c>
      <c r="W77" s="133"/>
      <c r="X77" s="62">
        <v>0.152</v>
      </c>
      <c r="Y77" s="62">
        <v>0.152</v>
      </c>
      <c r="Z77" s="62">
        <v>0.152</v>
      </c>
      <c r="AA77" s="62">
        <v>0.152</v>
      </c>
      <c r="AB77" s="97"/>
      <c r="AC77" s="62">
        <v>0.152</v>
      </c>
      <c r="AD77" s="62">
        <v>0.152</v>
      </c>
      <c r="AE77" s="62">
        <v>0.152</v>
      </c>
      <c r="AF77" s="62">
        <v>0.152</v>
      </c>
      <c r="AG77" s="97"/>
      <c r="AH77" s="62">
        <v>0.152</v>
      </c>
      <c r="AI77" s="62">
        <v>0.152</v>
      </c>
      <c r="AJ77" s="62">
        <v>0.152</v>
      </c>
      <c r="AK77" s="62">
        <v>0.152</v>
      </c>
      <c r="AL77" s="97"/>
      <c r="AM77" s="62">
        <v>0.152</v>
      </c>
      <c r="AN77" s="62">
        <v>0.152</v>
      </c>
      <c r="AO77" s="62">
        <v>0.152</v>
      </c>
      <c r="AP77" s="62">
        <v>0.152</v>
      </c>
      <c r="AQ77" s="97"/>
      <c r="AR77" s="62">
        <v>0.152</v>
      </c>
      <c r="AS77" s="62">
        <v>0.152</v>
      </c>
      <c r="AT77" s="62">
        <v>0.152</v>
      </c>
      <c r="AU77" s="62">
        <v>0.152</v>
      </c>
      <c r="AV77" s="97"/>
    </row>
    <row r="78" spans="2:48" s="8" customFormat="1" outlineLevel="1" x14ac:dyDescent="0.55000000000000004">
      <c r="B78" s="288" t="s">
        <v>116</v>
      </c>
      <c r="C78" s="289"/>
      <c r="D78" s="50">
        <v>1278.0999999999999</v>
      </c>
      <c r="E78" s="50">
        <v>1309.4000000000001</v>
      </c>
      <c r="F78" s="103">
        <v>1352.8</v>
      </c>
      <c r="G78" s="50">
        <v>1315.9</v>
      </c>
      <c r="H78" s="97">
        <f>SUM(D78:G78)</f>
        <v>5256.2000000000007</v>
      </c>
      <c r="I78" s="50">
        <v>1309.7</v>
      </c>
      <c r="J78" s="50">
        <v>902.4</v>
      </c>
      <c r="K78" s="103">
        <v>875.5</v>
      </c>
      <c r="L78" s="50">
        <v>1298.3</v>
      </c>
      <c r="M78" s="97">
        <f>SUM(I78:L78)</f>
        <v>4385.8999999999996</v>
      </c>
      <c r="N78" s="50">
        <v>1441.7</v>
      </c>
      <c r="O78" s="50">
        <v>1384.7</v>
      </c>
      <c r="P78" s="50">
        <v>1433.3</v>
      </c>
      <c r="Q78" s="103">
        <v>1610</v>
      </c>
      <c r="R78" s="97">
        <f>SUM(N78:Q78)</f>
        <v>5869.7</v>
      </c>
      <c r="S78" s="50">
        <v>1508.3</v>
      </c>
      <c r="T78" s="50">
        <v>1340.4</v>
      </c>
      <c r="U78" s="50">
        <v>1162.3</v>
      </c>
      <c r="V78" s="50">
        <f>V77*V76</f>
        <v>1182.864</v>
      </c>
      <c r="W78" s="133">
        <f>SUM(S78:V78)</f>
        <v>5193.8639999999996</v>
      </c>
      <c r="X78" s="50">
        <f>X77*X76</f>
        <v>1202.624</v>
      </c>
      <c r="Y78" s="50">
        <f>Y77*Y76</f>
        <v>1222.384</v>
      </c>
      <c r="Z78" s="50">
        <f>Z77*Z76</f>
        <v>1242.144</v>
      </c>
      <c r="AA78" s="50">
        <f>AA77*AA76</f>
        <v>1261.904</v>
      </c>
      <c r="AB78" s="97">
        <f>SUM(X78:AA78)</f>
        <v>4929.0560000000005</v>
      </c>
      <c r="AC78" s="50">
        <f>AC77*AC76</f>
        <v>1281.664</v>
      </c>
      <c r="AD78" s="50">
        <f>AD77*AD76</f>
        <v>1301.424</v>
      </c>
      <c r="AE78" s="50">
        <f>AE77*AE76</f>
        <v>1321.184</v>
      </c>
      <c r="AF78" s="50">
        <f>AF77*AF76</f>
        <v>1340.944</v>
      </c>
      <c r="AG78" s="97">
        <f>SUM(AC78:AF78)</f>
        <v>5245.2160000000003</v>
      </c>
      <c r="AH78" s="50">
        <f>AH77*AH76</f>
        <v>1360.704</v>
      </c>
      <c r="AI78" s="50">
        <f>AI77*AI76</f>
        <v>1380.4639999999999</v>
      </c>
      <c r="AJ78" s="50">
        <f>AJ77*AJ76</f>
        <v>1400.2239999999999</v>
      </c>
      <c r="AK78" s="50">
        <f>AK77*AK76</f>
        <v>1419.9839999999999</v>
      </c>
      <c r="AL78" s="97">
        <f>SUM(AH78:AK78)</f>
        <v>5561.3760000000002</v>
      </c>
      <c r="AM78" s="50">
        <f>AM77*AM76</f>
        <v>1439.7439999999999</v>
      </c>
      <c r="AN78" s="50">
        <f>AN77*AN76</f>
        <v>1459.5039999999999</v>
      </c>
      <c r="AO78" s="50">
        <f>AO77*AO76</f>
        <v>1479.2639999999999</v>
      </c>
      <c r="AP78" s="50">
        <f>AP77*AP76</f>
        <v>1499.0239999999999</v>
      </c>
      <c r="AQ78" s="97">
        <f>SUM(AM78:AP78)</f>
        <v>5877.5360000000001</v>
      </c>
      <c r="AR78" s="50">
        <f>AR77*AR76</f>
        <v>1518.7839999999999</v>
      </c>
      <c r="AS78" s="50">
        <f>AS77*AS76</f>
        <v>1538.5439999999999</v>
      </c>
      <c r="AT78" s="50">
        <f>AT77*AT76</f>
        <v>1558.3039999999999</v>
      </c>
      <c r="AU78" s="50">
        <f>AU77*AU76</f>
        <v>1578.0639999999999</v>
      </c>
      <c r="AV78" s="97">
        <f>SUM(AR78:AU78)</f>
        <v>6193.6959999999999</v>
      </c>
    </row>
    <row r="79" spans="2:48" s="8" customFormat="1" outlineLevel="1" x14ac:dyDescent="0.55000000000000004">
      <c r="B79" s="38" t="s">
        <v>201</v>
      </c>
      <c r="C79" s="215"/>
      <c r="D79" s="43"/>
      <c r="E79" s="43"/>
      <c r="F79" s="43"/>
      <c r="G79" s="43"/>
      <c r="H79" s="97"/>
      <c r="I79" s="27">
        <f>I78/D78-1</f>
        <v>2.4724199984351936E-2</v>
      </c>
      <c r="J79" s="27">
        <f>J78/E78-1</f>
        <v>-0.31082938750572786</v>
      </c>
      <c r="K79" s="27">
        <f>K78/F78-1</f>
        <v>-0.35282377291543465</v>
      </c>
      <c r="L79" s="27">
        <f>L78/G78-1</f>
        <v>-1.3374876510373279E-2</v>
      </c>
      <c r="M79" s="97"/>
      <c r="N79" s="27">
        <f>N78/I78-1</f>
        <v>0.10078643964266631</v>
      </c>
      <c r="O79" s="27">
        <f>O78/J78-1</f>
        <v>0.53446365248226968</v>
      </c>
      <c r="P79" s="27">
        <f>P78/K78-1</f>
        <v>0.63712164477441457</v>
      </c>
      <c r="Q79" s="27">
        <f>Q78/L78-1</f>
        <v>0.24008318570438281</v>
      </c>
      <c r="R79" s="97"/>
      <c r="S79" s="27">
        <f>S78/N78-1</f>
        <v>4.6195463688700755E-2</v>
      </c>
      <c r="T79" s="27">
        <f>T78/O78-1</f>
        <v>-3.1992489347873132E-2</v>
      </c>
      <c r="U79" s="27">
        <f>U78/P78-1</f>
        <v>-0.18907416451545389</v>
      </c>
      <c r="V79" s="27">
        <f>V78/Q78-1</f>
        <v>-0.26530186335403727</v>
      </c>
      <c r="W79" s="133"/>
      <c r="X79" s="27">
        <f>X78/S78-1</f>
        <v>-0.20266260027845917</v>
      </c>
      <c r="Y79" s="27">
        <f>Y78/T78-1</f>
        <v>-8.8045359594151051E-2</v>
      </c>
      <c r="Z79" s="27">
        <f>Z78/U78-1</f>
        <v>6.8694829217929909E-2</v>
      </c>
      <c r="AA79" s="27">
        <f>AA78/V78-1</f>
        <v>6.6820868671292777E-2</v>
      </c>
      <c r="AB79" s="97"/>
      <c r="AC79" s="27">
        <f>AC78/X78-1</f>
        <v>6.5722952477249796E-2</v>
      </c>
      <c r="AD79" s="27">
        <f>AD78/Y78-1</f>
        <v>6.466053220591883E-2</v>
      </c>
      <c r="AE79" s="27">
        <f>AE78/Z78-1</f>
        <v>6.3631913852178146E-2</v>
      </c>
      <c r="AF79" s="27">
        <f>AF78/AA78-1</f>
        <v>6.2635509515779342E-2</v>
      </c>
      <c r="AG79" s="97"/>
      <c r="AH79" s="27">
        <f>AH78/AC78-1</f>
        <v>6.1669829222011252E-2</v>
      </c>
      <c r="AI79" s="27">
        <f>AI78/AD78-1</f>
        <v>6.0733473487502909E-2</v>
      </c>
      <c r="AJ79" s="27">
        <f>AJ78/AE78-1</f>
        <v>5.9825126553152197E-2</v>
      </c>
      <c r="AK79" s="27">
        <f>AK78/AF78-1</f>
        <v>5.8943550215370566E-2</v>
      </c>
      <c r="AL79" s="97"/>
      <c r="AM79" s="27">
        <f>AM78/AH78-1</f>
        <v>5.8087578194816691E-2</v>
      </c>
      <c r="AN79" s="27">
        <f>AN78/AI78-1</f>
        <v>5.7256110988769038E-2</v>
      </c>
      <c r="AO79" s="27">
        <f>AO78/AJ78-1</f>
        <v>5.6448111159357328E-2</v>
      </c>
      <c r="AP79" s="27">
        <f>AP78/AK78-1</f>
        <v>5.5662599015200209E-2</v>
      </c>
      <c r="AQ79" s="97"/>
      <c r="AR79" s="27">
        <f>AR78/AM78-1</f>
        <v>5.4898648648648685E-2</v>
      </c>
      <c r="AS79" s="27">
        <f>AS78/AN78-1</f>
        <v>5.4155384294938491E-2</v>
      </c>
      <c r="AT79" s="27">
        <f>AT78/AO78-1</f>
        <v>5.3431976983148388E-2</v>
      </c>
      <c r="AU79" s="27">
        <f>AU78/AP78-1</f>
        <v>5.2727641452038121E-2</v>
      </c>
      <c r="AV79" s="97"/>
    </row>
    <row r="80" spans="2:48" outlineLevel="1" x14ac:dyDescent="0.55000000000000004">
      <c r="B80" s="247" t="s">
        <v>44</v>
      </c>
      <c r="C80" s="232"/>
      <c r="D80" s="233">
        <v>0.01</v>
      </c>
      <c r="E80" s="233">
        <v>0</v>
      </c>
      <c r="F80" s="233">
        <v>0.01</v>
      </c>
      <c r="G80" s="233">
        <v>0.01</v>
      </c>
      <c r="H80" s="234"/>
      <c r="I80" s="233">
        <v>-0.01</v>
      </c>
      <c r="J80" s="233">
        <v>-0.32</v>
      </c>
      <c r="K80" s="233">
        <v>-0.44</v>
      </c>
      <c r="L80" s="235">
        <v>-0.15</v>
      </c>
      <c r="M80" s="234"/>
      <c r="N80" s="233">
        <v>-0.03</v>
      </c>
      <c r="O80" s="233">
        <v>0.26</v>
      </c>
      <c r="P80" s="233">
        <v>0.55000000000000004</v>
      </c>
      <c r="Q80" s="233">
        <v>0.06</v>
      </c>
      <c r="R80" s="236"/>
      <c r="S80" s="235">
        <v>0.02</v>
      </c>
      <c r="T80" s="235">
        <v>-0.03</v>
      </c>
      <c r="U80" s="235">
        <v>-0.18</v>
      </c>
      <c r="V80" s="235"/>
      <c r="W80" s="234"/>
      <c r="X80" s="235"/>
      <c r="Y80" s="235"/>
      <c r="Z80" s="235"/>
      <c r="AA80" s="235"/>
      <c r="AB80" s="236"/>
      <c r="AC80" s="235"/>
      <c r="AD80" s="235"/>
      <c r="AE80" s="235"/>
      <c r="AF80" s="235"/>
      <c r="AG80" s="236"/>
      <c r="AH80" s="235"/>
      <c r="AI80" s="235"/>
      <c r="AJ80" s="235"/>
      <c r="AK80" s="235"/>
      <c r="AL80" s="236"/>
      <c r="AM80" s="235"/>
      <c r="AN80" s="235"/>
      <c r="AO80" s="235"/>
      <c r="AP80" s="235"/>
      <c r="AQ80" s="236"/>
      <c r="AR80" s="235"/>
      <c r="AS80" s="235"/>
      <c r="AT80" s="235"/>
      <c r="AU80" s="235"/>
      <c r="AV80" s="236"/>
    </row>
    <row r="81" spans="1:48" outlineLevel="1" x14ac:dyDescent="0.55000000000000004">
      <c r="B81" s="181" t="s">
        <v>43</v>
      </c>
      <c r="C81" s="216"/>
      <c r="D81" s="152">
        <v>0.01</v>
      </c>
      <c r="E81" s="152">
        <v>0.02</v>
      </c>
      <c r="F81" s="152">
        <v>0.03</v>
      </c>
      <c r="G81" s="152">
        <v>0.03</v>
      </c>
      <c r="H81" s="60"/>
      <c r="I81" s="152">
        <v>0.02</v>
      </c>
      <c r="J81" s="152">
        <v>0.01</v>
      </c>
      <c r="K81" s="152">
        <v>0.13</v>
      </c>
      <c r="L81" s="59">
        <v>7.0000000000000007E-2</v>
      </c>
      <c r="M81" s="60"/>
      <c r="N81" s="152">
        <v>-0.1</v>
      </c>
      <c r="O81" s="59">
        <v>7.0000000000000007E-2</v>
      </c>
      <c r="P81" s="59">
        <v>-0.09</v>
      </c>
      <c r="Q81" s="152">
        <v>-0.02</v>
      </c>
      <c r="R81" s="60"/>
      <c r="S81" s="59">
        <v>-0.05</v>
      </c>
      <c r="T81" s="59">
        <v>-0.05</v>
      </c>
      <c r="U81" s="59">
        <v>-0.15</v>
      </c>
      <c r="V81" s="59"/>
      <c r="W81" s="149"/>
      <c r="X81" s="59"/>
      <c r="Y81" s="59"/>
      <c r="Z81" s="59"/>
      <c r="AA81" s="59"/>
      <c r="AB81" s="60"/>
      <c r="AC81" s="59"/>
      <c r="AD81" s="59"/>
      <c r="AE81" s="59"/>
      <c r="AF81" s="59"/>
      <c r="AG81" s="60"/>
      <c r="AH81" s="59"/>
      <c r="AI81" s="59"/>
      <c r="AJ81" s="59"/>
      <c r="AK81" s="59"/>
      <c r="AL81" s="60"/>
      <c r="AM81" s="59"/>
      <c r="AN81" s="59"/>
      <c r="AO81" s="59"/>
      <c r="AP81" s="59"/>
      <c r="AQ81" s="60"/>
      <c r="AR81" s="59"/>
      <c r="AS81" s="59"/>
      <c r="AT81" s="59"/>
      <c r="AU81" s="59"/>
      <c r="AV81" s="60"/>
    </row>
    <row r="82" spans="1:48" s="8" customFormat="1" outlineLevel="1" x14ac:dyDescent="0.55000000000000004">
      <c r="B82" s="217" t="s">
        <v>45</v>
      </c>
      <c r="C82" s="215"/>
      <c r="D82" s="153">
        <v>0.02</v>
      </c>
      <c r="E82" s="153">
        <v>0.02</v>
      </c>
      <c r="F82" s="153">
        <v>0.05</v>
      </c>
      <c r="G82" s="153">
        <v>0.03</v>
      </c>
      <c r="H82" s="61"/>
      <c r="I82" s="153">
        <v>0.01</v>
      </c>
      <c r="J82" s="153">
        <v>-0.31</v>
      </c>
      <c r="K82" s="153">
        <v>-0.37</v>
      </c>
      <c r="L82" s="158">
        <v>-0.1</v>
      </c>
      <c r="M82" s="61"/>
      <c r="N82" s="153">
        <v>0.08</v>
      </c>
      <c r="O82" s="153">
        <v>0.35</v>
      </c>
      <c r="P82" s="153">
        <v>0.41</v>
      </c>
      <c r="Q82" s="153">
        <v>0.03</v>
      </c>
      <c r="R82" s="61"/>
      <c r="S82" s="153">
        <v>-0.03</v>
      </c>
      <c r="T82" s="153">
        <v>-0.08</v>
      </c>
      <c r="U82" s="153">
        <v>-0.04</v>
      </c>
      <c r="V82" s="153"/>
      <c r="W82" s="135"/>
      <c r="X82" s="158"/>
      <c r="Y82" s="158"/>
      <c r="Z82" s="158"/>
      <c r="AA82" s="158">
        <v>0.04</v>
      </c>
      <c r="AB82" s="61"/>
      <c r="AC82" s="158"/>
      <c r="AD82" s="158"/>
      <c r="AE82" s="158"/>
      <c r="AF82" s="158">
        <v>0.04</v>
      </c>
      <c r="AG82" s="61"/>
      <c r="AH82" s="158"/>
      <c r="AI82" s="158"/>
      <c r="AJ82" s="158"/>
      <c r="AK82" s="158">
        <v>0.04</v>
      </c>
      <c r="AL82" s="61"/>
      <c r="AM82" s="158"/>
      <c r="AN82" s="158"/>
      <c r="AO82" s="158"/>
      <c r="AP82" s="158">
        <v>0.04</v>
      </c>
      <c r="AQ82" s="135"/>
      <c r="AR82" s="158"/>
      <c r="AS82" s="158"/>
      <c r="AT82" s="158"/>
      <c r="AU82" s="158">
        <v>0.04</v>
      </c>
      <c r="AV82" s="61"/>
    </row>
    <row r="83" spans="1:48" s="8" customFormat="1" outlineLevel="1" x14ac:dyDescent="0.55000000000000004">
      <c r="B83" s="304" t="s">
        <v>117</v>
      </c>
      <c r="C83" s="305"/>
      <c r="D83" s="117">
        <v>6373</v>
      </c>
      <c r="E83" s="117">
        <v>6586</v>
      </c>
      <c r="F83" s="117">
        <v>7127</v>
      </c>
      <c r="G83" s="117">
        <v>7329</v>
      </c>
      <c r="H83" s="193">
        <f>G83</f>
        <v>7329</v>
      </c>
      <c r="I83" s="117">
        <v>7533</v>
      </c>
      <c r="J83" s="117">
        <v>7642</v>
      </c>
      <c r="K83" s="117">
        <v>7691</v>
      </c>
      <c r="L83" s="117">
        <v>9735</v>
      </c>
      <c r="M83" s="193">
        <f>L83</f>
        <v>9735</v>
      </c>
      <c r="N83" s="117">
        <v>7917</v>
      </c>
      <c r="O83" s="67">
        <f>+N83+O84</f>
        <v>7987</v>
      </c>
      <c r="P83" s="67">
        <f t="shared" ref="P83" si="251">+O83+P84</f>
        <v>8107</v>
      </c>
      <c r="Q83" s="67">
        <v>9735</v>
      </c>
      <c r="R83" s="193">
        <f>Q83</f>
        <v>9735</v>
      </c>
      <c r="S83" s="67">
        <f>+Q83+S84</f>
        <v>9944</v>
      </c>
      <c r="T83" s="67">
        <f>+S83+T84</f>
        <v>10117</v>
      </c>
      <c r="U83" s="67">
        <f t="shared" ref="U83:V83" si="252">+T83+U84</f>
        <v>10181</v>
      </c>
      <c r="V83" s="67">
        <f t="shared" si="252"/>
        <v>10245</v>
      </c>
      <c r="W83" s="275">
        <f>V83</f>
        <v>10245</v>
      </c>
      <c r="X83" s="67">
        <f>+V83+X84</f>
        <v>10309</v>
      </c>
      <c r="Y83" s="67">
        <f>+X83+Y84</f>
        <v>10373</v>
      </c>
      <c r="Z83" s="67">
        <f t="shared" ref="Z83:AA83" si="253">+Y83+Z84</f>
        <v>10437</v>
      </c>
      <c r="AA83" s="67">
        <f t="shared" si="253"/>
        <v>10501</v>
      </c>
      <c r="AB83" s="193">
        <f>AA83</f>
        <v>10501</v>
      </c>
      <c r="AC83" s="67">
        <f>+AA83+AC84</f>
        <v>10565</v>
      </c>
      <c r="AD83" s="67">
        <f>+AC83+AD84</f>
        <v>10629</v>
      </c>
      <c r="AE83" s="67">
        <f t="shared" ref="AE83" si="254">+AD83+AE84</f>
        <v>10693</v>
      </c>
      <c r="AF83" s="67">
        <f t="shared" ref="AF83" si="255">+AE83+AF84</f>
        <v>10757</v>
      </c>
      <c r="AG83" s="193">
        <f>AF83</f>
        <v>10757</v>
      </c>
      <c r="AH83" s="67">
        <f>+AF83+AH84</f>
        <v>10821</v>
      </c>
      <c r="AI83" s="67">
        <f>+AH83+AI84</f>
        <v>10885</v>
      </c>
      <c r="AJ83" s="67">
        <f t="shared" ref="AJ83" si="256">+AI83+AJ84</f>
        <v>10949</v>
      </c>
      <c r="AK83" s="67">
        <f t="shared" ref="AK83" si="257">+AJ83+AK84</f>
        <v>11013</v>
      </c>
      <c r="AL83" s="193">
        <f>AK83</f>
        <v>11013</v>
      </c>
      <c r="AM83" s="67">
        <f>+AK83+AM84</f>
        <v>11077</v>
      </c>
      <c r="AN83" s="67">
        <f>+AM83+AN84</f>
        <v>11141</v>
      </c>
      <c r="AO83" s="67">
        <f t="shared" ref="AO83" si="258">+AN83+AO84</f>
        <v>11205</v>
      </c>
      <c r="AP83" s="67">
        <f t="shared" ref="AP83" si="259">+AO83+AP84</f>
        <v>11269</v>
      </c>
      <c r="AQ83" s="193">
        <f>AP83</f>
        <v>11269</v>
      </c>
      <c r="AR83" s="67">
        <f>+AP83+AR84</f>
        <v>11333</v>
      </c>
      <c r="AS83" s="67">
        <f>+AR83+AS84</f>
        <v>11397</v>
      </c>
      <c r="AT83" s="67">
        <f t="shared" ref="AT83" si="260">+AS83+AT84</f>
        <v>11461</v>
      </c>
      <c r="AU83" s="67">
        <f t="shared" ref="AU83" si="261">+AT83+AU84</f>
        <v>11525</v>
      </c>
      <c r="AV83" s="193">
        <f>AU83</f>
        <v>11525</v>
      </c>
    </row>
    <row r="84" spans="1:48" outlineLevel="1" x14ac:dyDescent="0.55000000000000004">
      <c r="B84" s="181" t="s">
        <v>47</v>
      </c>
      <c r="C84" s="210"/>
      <c r="D84" s="101">
        <f>+D83-6201</f>
        <v>172</v>
      </c>
      <c r="E84" s="101">
        <f>+E83-D83</f>
        <v>213</v>
      </c>
      <c r="F84" s="101">
        <f t="shared" ref="F84:G84" si="262">+F83-E83</f>
        <v>541</v>
      </c>
      <c r="G84" s="101">
        <f t="shared" si="262"/>
        <v>202</v>
      </c>
      <c r="H84" s="122">
        <f>+SUM(D84:G84)</f>
        <v>1128</v>
      </c>
      <c r="I84" s="101">
        <f>+I83-G83</f>
        <v>204</v>
      </c>
      <c r="J84" s="101">
        <f t="shared" ref="J84:K84" si="263">+J83-I83</f>
        <v>109</v>
      </c>
      <c r="K84" s="101">
        <f t="shared" si="263"/>
        <v>49</v>
      </c>
      <c r="L84" s="101">
        <v>82</v>
      </c>
      <c r="M84" s="122">
        <f>+SUM(I84:L84)</f>
        <v>444</v>
      </c>
      <c r="N84" s="101">
        <v>139</v>
      </c>
      <c r="O84" s="101">
        <v>70</v>
      </c>
      <c r="P84" s="101">
        <v>120</v>
      </c>
      <c r="Q84" s="101">
        <v>205</v>
      </c>
      <c r="R84" s="122">
        <f>+SUM(N84:Q84)</f>
        <v>534</v>
      </c>
      <c r="S84" s="101">
        <v>209</v>
      </c>
      <c r="T84" s="101">
        <v>173</v>
      </c>
      <c r="U84" s="101">
        <v>64</v>
      </c>
      <c r="V84" s="33">
        <v>64</v>
      </c>
      <c r="W84" s="122">
        <f>+SUM(S84:V84)</f>
        <v>510</v>
      </c>
      <c r="X84" s="33">
        <v>64</v>
      </c>
      <c r="Y84" s="33">
        <v>64</v>
      </c>
      <c r="Z84" s="33">
        <v>64</v>
      </c>
      <c r="AA84" s="33">
        <v>64</v>
      </c>
      <c r="AB84" s="122">
        <f>+SUM(X84:AA84)</f>
        <v>256</v>
      </c>
      <c r="AC84" s="33">
        <v>64</v>
      </c>
      <c r="AD84" s="33">
        <v>64</v>
      </c>
      <c r="AE84" s="33">
        <v>64</v>
      </c>
      <c r="AF84" s="33">
        <v>64</v>
      </c>
      <c r="AG84" s="122">
        <f>+SUM(AC84:AF84)</f>
        <v>256</v>
      </c>
      <c r="AH84" s="33">
        <v>64</v>
      </c>
      <c r="AI84" s="33">
        <v>64</v>
      </c>
      <c r="AJ84" s="33">
        <v>64</v>
      </c>
      <c r="AK84" s="33">
        <v>64</v>
      </c>
      <c r="AL84" s="122">
        <f>+SUM(AH84:AK84)</f>
        <v>256</v>
      </c>
      <c r="AM84" s="33">
        <v>64</v>
      </c>
      <c r="AN84" s="33">
        <v>64</v>
      </c>
      <c r="AO84" s="33">
        <v>64</v>
      </c>
      <c r="AP84" s="33">
        <v>64</v>
      </c>
      <c r="AQ84" s="122">
        <f>+SUM(AM84:AP84)</f>
        <v>256</v>
      </c>
      <c r="AR84" s="33">
        <v>64</v>
      </c>
      <c r="AS84" s="33">
        <v>64</v>
      </c>
      <c r="AT84" s="33">
        <v>64</v>
      </c>
      <c r="AU84" s="33">
        <v>64</v>
      </c>
      <c r="AV84" s="122">
        <f>+SUM(AR84:AU84)</f>
        <v>256</v>
      </c>
    </row>
    <row r="85" spans="1:48" outlineLevel="1" x14ac:dyDescent="0.55000000000000004">
      <c r="B85" s="181" t="s">
        <v>49</v>
      </c>
      <c r="C85" s="210"/>
      <c r="D85" s="16">
        <f>AVERAGE(D83,6201)</f>
        <v>6287</v>
      </c>
      <c r="E85" s="16">
        <f>AVERAGE(E83,D83)</f>
        <v>6479.5</v>
      </c>
      <c r="F85" s="16">
        <f t="shared" ref="F85:G85" si="264">AVERAGE(F83,E83)</f>
        <v>6856.5</v>
      </c>
      <c r="G85" s="16">
        <f t="shared" si="264"/>
        <v>7228</v>
      </c>
      <c r="H85" s="26"/>
      <c r="I85" s="16">
        <f>AVERAGE(I83,G83)</f>
        <v>7431</v>
      </c>
      <c r="J85" s="16">
        <f>AVERAGE(J83,I83)</f>
        <v>7587.5</v>
      </c>
      <c r="K85" s="16">
        <f t="shared" ref="K85:L85" si="265">AVERAGE(K83,J83)</f>
        <v>7666.5</v>
      </c>
      <c r="L85" s="16">
        <f t="shared" si="265"/>
        <v>8713</v>
      </c>
      <c r="M85" s="6"/>
      <c r="N85" s="16">
        <f>AVERAGE(N83,L83)</f>
        <v>8826</v>
      </c>
      <c r="O85" s="16">
        <f>AVERAGE(O83,N83)</f>
        <v>7952</v>
      </c>
      <c r="P85" s="16">
        <f t="shared" ref="P85:Q85" si="266">AVERAGE(P83,O83)</f>
        <v>8047</v>
      </c>
      <c r="Q85" s="16">
        <f t="shared" si="266"/>
        <v>8921</v>
      </c>
      <c r="R85" s="6"/>
      <c r="S85" s="16">
        <f>AVERAGE(S83,Q83)</f>
        <v>9839.5</v>
      </c>
      <c r="T85" s="16">
        <f>AVERAGE(T83,S83)</f>
        <v>10030.5</v>
      </c>
      <c r="U85" s="16">
        <f t="shared" ref="U85:V85" si="267">AVERAGE(U83,T83)</f>
        <v>10149</v>
      </c>
      <c r="V85" s="16">
        <f t="shared" si="267"/>
        <v>10213</v>
      </c>
      <c r="W85" s="131"/>
      <c r="X85" s="16">
        <f>AVERAGE(X83,V83)</f>
        <v>10277</v>
      </c>
      <c r="Y85" s="16">
        <f>AVERAGE(Y83,X83)</f>
        <v>10341</v>
      </c>
      <c r="Z85" s="16">
        <f t="shared" ref="Z85:AA85" si="268">AVERAGE(Z83,Y83)</f>
        <v>10405</v>
      </c>
      <c r="AA85" s="16">
        <f t="shared" si="268"/>
        <v>10469</v>
      </c>
      <c r="AB85" s="6"/>
      <c r="AC85" s="16">
        <f>AVERAGE(AC83,AA83)</f>
        <v>10533</v>
      </c>
      <c r="AD85" s="16">
        <f>AVERAGE(AD83,AC83)</f>
        <v>10597</v>
      </c>
      <c r="AE85" s="16">
        <f t="shared" ref="AE85" si="269">AVERAGE(AE83,AD83)</f>
        <v>10661</v>
      </c>
      <c r="AF85" s="16">
        <f t="shared" ref="AF85" si="270">AVERAGE(AF83,AE83)</f>
        <v>10725</v>
      </c>
      <c r="AG85" s="6"/>
      <c r="AH85" s="16">
        <f>AVERAGE(AH83,AF83)</f>
        <v>10789</v>
      </c>
      <c r="AI85" s="16">
        <f>AVERAGE(AI83,AH83)</f>
        <v>10853</v>
      </c>
      <c r="AJ85" s="16">
        <f t="shared" ref="AJ85" si="271">AVERAGE(AJ83,AI83)</f>
        <v>10917</v>
      </c>
      <c r="AK85" s="16">
        <f t="shared" ref="AK85" si="272">AVERAGE(AK83,AJ83)</f>
        <v>10981</v>
      </c>
      <c r="AL85" s="6"/>
      <c r="AM85" s="16">
        <f>AVERAGE(AM83,AK83)</f>
        <v>11045</v>
      </c>
      <c r="AN85" s="16">
        <f>AVERAGE(AN83,AM83)</f>
        <v>11109</v>
      </c>
      <c r="AO85" s="16">
        <f t="shared" ref="AO85" si="273">AVERAGE(AO83,AN83)</f>
        <v>11173</v>
      </c>
      <c r="AP85" s="16">
        <f t="shared" ref="AP85" si="274">AVERAGE(AP83,AO83)</f>
        <v>11237</v>
      </c>
      <c r="AQ85" s="6"/>
      <c r="AR85" s="16">
        <f>AVERAGE(AR83,AP83)</f>
        <v>11301</v>
      </c>
      <c r="AS85" s="16">
        <f>AVERAGE(AS83,AR83)</f>
        <v>11365</v>
      </c>
      <c r="AT85" s="16">
        <f t="shared" ref="AT85" si="275">AVERAGE(AT83,AS83)</f>
        <v>11429</v>
      </c>
      <c r="AU85" s="16">
        <f t="shared" ref="AU85" si="276">AVERAGE(AU83,AT83)</f>
        <v>11493</v>
      </c>
      <c r="AV85" s="6"/>
    </row>
    <row r="86" spans="1:48" outlineLevel="1" x14ac:dyDescent="0.55000000000000004">
      <c r="B86" s="181" t="s">
        <v>48</v>
      </c>
      <c r="C86" s="210"/>
      <c r="D86" s="43">
        <f>+D87/D85</f>
        <v>3.5390488309209482E-2</v>
      </c>
      <c r="E86" s="114">
        <f>+E87/E85</f>
        <v>3.3197005941816495E-2</v>
      </c>
      <c r="F86" s="114">
        <f>+F87/F85</f>
        <v>3.335521038430686E-2</v>
      </c>
      <c r="G86" s="114">
        <f>+G87/G85</f>
        <v>3.468456004427227E-2</v>
      </c>
      <c r="H86" s="26"/>
      <c r="I86" s="114">
        <f t="shared" ref="I86:S86" si="277">+I87/I85</f>
        <v>3.4275333064190554E-2</v>
      </c>
      <c r="J86" s="114">
        <f t="shared" si="277"/>
        <v>2.97331136738056E-2</v>
      </c>
      <c r="K86" s="114">
        <f t="shared" si="277"/>
        <v>8.4784451835909474E-3</v>
      </c>
      <c r="L86" s="114">
        <f t="shared" si="277"/>
        <v>2.3837943303110294E-2</v>
      </c>
      <c r="M86" s="6"/>
      <c r="N86" s="114">
        <f t="shared" si="277"/>
        <v>2.2388397915250397E-2</v>
      </c>
      <c r="O86" s="114">
        <f t="shared" si="277"/>
        <v>2.5251509054325959E-2</v>
      </c>
      <c r="P86" s="114">
        <f t="shared" si="277"/>
        <v>2.6307940847520812E-2</v>
      </c>
      <c r="Q86" s="114">
        <f t="shared" si="277"/>
        <v>3.228337630310503E-2</v>
      </c>
      <c r="R86" s="6"/>
      <c r="S86" s="114">
        <f t="shared" si="277"/>
        <v>3.4036282331419275E-2</v>
      </c>
      <c r="T86" s="114">
        <f>+T87/T85</f>
        <v>3.4145855141817456E-2</v>
      </c>
      <c r="U86" s="114">
        <f>+U87/U85</f>
        <v>4.065425165040891E-2</v>
      </c>
      <c r="V86" s="62">
        <v>4.1000000000000002E-2</v>
      </c>
      <c r="W86" s="131"/>
      <c r="X86" s="62">
        <v>4.1000000000000002E-2</v>
      </c>
      <c r="Y86" s="62">
        <v>4.1000000000000002E-2</v>
      </c>
      <c r="Z86" s="62">
        <v>4.1000000000000002E-2</v>
      </c>
      <c r="AA86" s="62">
        <v>4.1000000000000002E-2</v>
      </c>
      <c r="AB86" s="6"/>
      <c r="AC86" s="62">
        <v>4.1000000000000002E-2</v>
      </c>
      <c r="AD86" s="62">
        <v>4.1000000000000002E-2</v>
      </c>
      <c r="AE86" s="62">
        <v>4.1000000000000002E-2</v>
      </c>
      <c r="AF86" s="62">
        <v>4.1000000000000002E-2</v>
      </c>
      <c r="AG86" s="6"/>
      <c r="AH86" s="62">
        <v>4.1000000000000002E-2</v>
      </c>
      <c r="AI86" s="62">
        <v>4.1000000000000002E-2</v>
      </c>
      <c r="AJ86" s="62">
        <v>4.1000000000000002E-2</v>
      </c>
      <c r="AK86" s="62">
        <v>4.1000000000000002E-2</v>
      </c>
      <c r="AL86" s="6"/>
      <c r="AM86" s="62">
        <v>4.1000000000000002E-2</v>
      </c>
      <c r="AN86" s="62">
        <v>4.1000000000000002E-2</v>
      </c>
      <c r="AO86" s="62">
        <v>4.1000000000000002E-2</v>
      </c>
      <c r="AP86" s="62">
        <v>4.1000000000000002E-2</v>
      </c>
      <c r="AQ86" s="6"/>
      <c r="AR86" s="62">
        <v>4.1000000000000002E-2</v>
      </c>
      <c r="AS86" s="62">
        <v>4.1000000000000002E-2</v>
      </c>
      <c r="AT86" s="62">
        <v>4.1000000000000002E-2</v>
      </c>
      <c r="AU86" s="62">
        <v>4.1000000000000002E-2</v>
      </c>
      <c r="AV86" s="6"/>
    </row>
    <row r="87" spans="1:48" s="8" customFormat="1" outlineLevel="1" x14ac:dyDescent="0.55000000000000004">
      <c r="B87" s="306" t="s">
        <v>118</v>
      </c>
      <c r="C87" s="307"/>
      <c r="D87" s="115">
        <v>222.5</v>
      </c>
      <c r="E87" s="115">
        <v>215.1</v>
      </c>
      <c r="F87" s="115">
        <v>228.7</v>
      </c>
      <c r="G87" s="115">
        <v>250.7</v>
      </c>
      <c r="H87" s="73">
        <f>SUM(D87:G87)</f>
        <v>917</v>
      </c>
      <c r="I87" s="115">
        <v>254.7</v>
      </c>
      <c r="J87" s="115">
        <v>225.6</v>
      </c>
      <c r="K87" s="115">
        <v>65</v>
      </c>
      <c r="L87" s="72">
        <v>207.7</v>
      </c>
      <c r="M87" s="73">
        <f>SUM(I87:L87)</f>
        <v>753</v>
      </c>
      <c r="N87" s="72">
        <v>197.6</v>
      </c>
      <c r="O87" s="72">
        <v>200.8</v>
      </c>
      <c r="P87" s="72">
        <v>211.7</v>
      </c>
      <c r="Q87" s="115">
        <v>288</v>
      </c>
      <c r="R87" s="73">
        <f>SUM(N87:Q87)</f>
        <v>898.09999999999991</v>
      </c>
      <c r="S87" s="72">
        <v>334.9</v>
      </c>
      <c r="T87" s="72">
        <v>342.5</v>
      </c>
      <c r="U87" s="72">
        <v>412.6</v>
      </c>
      <c r="V87" s="72">
        <f t="shared" ref="V87" si="278">+V85*V86</f>
        <v>418.733</v>
      </c>
      <c r="W87" s="222">
        <f>SUM(S87:V87)</f>
        <v>1508.7329999999999</v>
      </c>
      <c r="X87" s="72">
        <f>+X85*X86</f>
        <v>421.35700000000003</v>
      </c>
      <c r="Y87" s="72">
        <f>+Y85*Y86</f>
        <v>423.98099999999999</v>
      </c>
      <c r="Z87" s="72">
        <f t="shared" ref="Z87:AA87" si="279">+Z85*Z86</f>
        <v>426.60500000000002</v>
      </c>
      <c r="AA87" s="72">
        <f t="shared" si="279"/>
        <v>429.22900000000004</v>
      </c>
      <c r="AB87" s="73">
        <f>SUM(X87:AA87)</f>
        <v>1701.172</v>
      </c>
      <c r="AC87" s="72">
        <f>+AC85*AC86</f>
        <v>431.85300000000001</v>
      </c>
      <c r="AD87" s="72">
        <f>+AD85*AD86</f>
        <v>434.47700000000003</v>
      </c>
      <c r="AE87" s="72">
        <f t="shared" ref="AE87:AF87" si="280">+AE85*AE86</f>
        <v>437.101</v>
      </c>
      <c r="AF87" s="72">
        <f t="shared" si="280"/>
        <v>439.72500000000002</v>
      </c>
      <c r="AG87" s="73">
        <f>SUM(AC87:AF87)</f>
        <v>1743.1559999999999</v>
      </c>
      <c r="AH87" s="72">
        <f>+AH85*AH86</f>
        <v>442.34900000000005</v>
      </c>
      <c r="AI87" s="72">
        <f>+AI85*AI86</f>
        <v>444.97300000000001</v>
      </c>
      <c r="AJ87" s="72">
        <f t="shared" ref="AJ87:AK87" si="281">+AJ85*AJ86</f>
        <v>447.59700000000004</v>
      </c>
      <c r="AK87" s="72">
        <f t="shared" si="281"/>
        <v>450.221</v>
      </c>
      <c r="AL87" s="73">
        <f>SUM(AH87:AK87)</f>
        <v>1785.14</v>
      </c>
      <c r="AM87" s="72">
        <f>+AM85*AM86</f>
        <v>452.84500000000003</v>
      </c>
      <c r="AN87" s="72">
        <f>+AN85*AN86</f>
        <v>455.46899999999999</v>
      </c>
      <c r="AO87" s="72">
        <f t="shared" ref="AO87:AP87" si="282">+AO85*AO86</f>
        <v>458.09300000000002</v>
      </c>
      <c r="AP87" s="72">
        <f t="shared" si="282"/>
        <v>460.71700000000004</v>
      </c>
      <c r="AQ87" s="73">
        <f>SUM(AM87:AP87)</f>
        <v>1827.1240000000003</v>
      </c>
      <c r="AR87" s="72">
        <f>+AR85*AR86</f>
        <v>463.34100000000001</v>
      </c>
      <c r="AS87" s="72">
        <f>+AS85*AS86</f>
        <v>465.96500000000003</v>
      </c>
      <c r="AT87" s="72">
        <f t="shared" ref="AT87:AU87" si="283">+AT85*AT86</f>
        <v>468.589</v>
      </c>
      <c r="AU87" s="72">
        <f t="shared" si="283"/>
        <v>471.21300000000002</v>
      </c>
      <c r="AV87" s="73">
        <f>SUM(AR87:AU87)</f>
        <v>1869.1079999999999</v>
      </c>
    </row>
    <row r="88" spans="1:48" s="8" customFormat="1" outlineLevel="1" x14ac:dyDescent="0.55000000000000004">
      <c r="B88" s="288" t="s">
        <v>119</v>
      </c>
      <c r="C88" s="289"/>
      <c r="D88" s="103">
        <v>3.4</v>
      </c>
      <c r="E88" s="103">
        <v>4.9000000000000004</v>
      </c>
      <c r="F88" s="103">
        <v>3.8</v>
      </c>
      <c r="G88" s="103">
        <v>5.5</v>
      </c>
      <c r="H88" s="97">
        <f>SUM(D88:G88)</f>
        <v>17.600000000000001</v>
      </c>
      <c r="I88" s="103">
        <v>6.7</v>
      </c>
      <c r="J88" s="103">
        <v>6.6</v>
      </c>
      <c r="K88" s="103">
        <v>9.1</v>
      </c>
      <c r="L88" s="50">
        <v>5.3</v>
      </c>
      <c r="M88" s="97">
        <f>SUM(I88:L88)</f>
        <v>27.7</v>
      </c>
      <c r="N88" s="50">
        <v>15</v>
      </c>
      <c r="O88" s="50">
        <v>25.4</v>
      </c>
      <c r="P88" s="50">
        <v>13.4</v>
      </c>
      <c r="Q88" s="103">
        <v>16.600000000000001</v>
      </c>
      <c r="R88" s="97">
        <f>SUM(N88:Q88)</f>
        <v>70.400000000000006</v>
      </c>
      <c r="S88" s="50">
        <v>32.700000000000003</v>
      </c>
      <c r="T88" s="50">
        <v>19.5</v>
      </c>
      <c r="U88" s="50">
        <v>9.8000000000000007</v>
      </c>
      <c r="V88" s="50">
        <f t="shared" ref="V88" si="284">+Q88*(1+V89)</f>
        <v>12.118</v>
      </c>
      <c r="W88" s="133">
        <f>SUM(S88:V88)</f>
        <v>74.117999999999995</v>
      </c>
      <c r="X88" s="50">
        <f>+S88*(1+X89)</f>
        <v>23.871000000000002</v>
      </c>
      <c r="Y88" s="50">
        <f>+T88*(1+Y89)</f>
        <v>14.234999999999999</v>
      </c>
      <c r="Z88" s="50">
        <f>+U88*(1+Z89)</f>
        <v>7.1539999999999999</v>
      </c>
      <c r="AA88" s="50">
        <f t="shared" ref="AA88" si="285">+V88*(1+AA89)</f>
        <v>8.8461400000000001</v>
      </c>
      <c r="AB88" s="97">
        <f>SUM(X88:AA88)</f>
        <v>54.106140000000003</v>
      </c>
      <c r="AC88" s="50">
        <f>+X88*(1+AC89)</f>
        <v>17.425830000000001</v>
      </c>
      <c r="AD88" s="50">
        <f>+Y88*(1+AD89)</f>
        <v>10.391549999999999</v>
      </c>
      <c r="AE88" s="50">
        <f>+Z88*(1+AE89)</f>
        <v>5.2224199999999996</v>
      </c>
      <c r="AF88" s="50">
        <f t="shared" ref="AF88" si="286">+AA88*(1+AF89)</f>
        <v>6.4576821999999998</v>
      </c>
      <c r="AG88" s="97">
        <f>SUM(AC88:AF88)</f>
        <v>39.4974822</v>
      </c>
      <c r="AH88" s="50">
        <f>+AC88*(1+AH89)</f>
        <v>12.7208559</v>
      </c>
      <c r="AI88" s="50">
        <f>+AD88*(1+AI89)</f>
        <v>7.5858314999999985</v>
      </c>
      <c r="AJ88" s="50">
        <f>+AE88*(1+AJ89)</f>
        <v>3.8123665999999998</v>
      </c>
      <c r="AK88" s="50">
        <f t="shared" ref="AK88" si="287">+AF88*(1+AK89)</f>
        <v>4.714108006</v>
      </c>
      <c r="AL88" s="97">
        <f>SUM(AH88:AK88)</f>
        <v>28.833162005999998</v>
      </c>
      <c r="AM88" s="50">
        <f>+AH88*(1+AM89)</f>
        <v>9.286224807</v>
      </c>
      <c r="AN88" s="50">
        <f>+AI88*(1+AN89)</f>
        <v>5.537656994999999</v>
      </c>
      <c r="AO88" s="50">
        <f>+AJ88*(1+AO89)</f>
        <v>2.7830276179999998</v>
      </c>
      <c r="AP88" s="50">
        <f t="shared" ref="AP88" si="288">+AK88*(1+AP89)</f>
        <v>3.4412988443799999</v>
      </c>
      <c r="AQ88" s="97">
        <f>SUM(AM88:AP88)</f>
        <v>21.048208264379998</v>
      </c>
      <c r="AR88" s="50">
        <f>+AM88*(1+AR89)</f>
        <v>6.7789441091100002</v>
      </c>
      <c r="AS88" s="50">
        <f>+AN88*(1+AS89)</f>
        <v>4.0424896063499993</v>
      </c>
      <c r="AT88" s="50">
        <f>+AO88*(1+AT89)</f>
        <v>2.0316101611399997</v>
      </c>
      <c r="AU88" s="50">
        <f t="shared" ref="AU88" si="289">+AP88*(1+AU89)</f>
        <v>2.5121481563973997</v>
      </c>
      <c r="AV88" s="97">
        <f>SUM(AR88:AU88)</f>
        <v>15.365192032997399</v>
      </c>
    </row>
    <row r="89" spans="1:48" outlineLevel="1" x14ac:dyDescent="0.55000000000000004">
      <c r="B89" s="69" t="s">
        <v>50</v>
      </c>
      <c r="C89" s="70"/>
      <c r="D89" s="120"/>
      <c r="E89" s="120"/>
      <c r="F89" s="120"/>
      <c r="G89" s="120"/>
      <c r="H89" s="58"/>
      <c r="I89" s="120">
        <f>I88/D88-1</f>
        <v>0.97058823529411775</v>
      </c>
      <c r="J89" s="120">
        <f t="shared" ref="J89:L89" si="290">J88/E88-1</f>
        <v>0.3469387755102038</v>
      </c>
      <c r="K89" s="120">
        <f t="shared" si="290"/>
        <v>1.3947368421052633</v>
      </c>
      <c r="L89" s="120">
        <f t="shared" si="290"/>
        <v>-3.6363636363636376E-2</v>
      </c>
      <c r="M89" s="58"/>
      <c r="N89" s="120">
        <f>N88/I88-1</f>
        <v>1.2388059701492535</v>
      </c>
      <c r="O89" s="120">
        <f t="shared" ref="O89:Q89" si="291">O88/J88-1</f>
        <v>2.8484848484848486</v>
      </c>
      <c r="P89" s="120">
        <f t="shared" si="291"/>
        <v>0.47252747252747263</v>
      </c>
      <c r="Q89" s="120">
        <f t="shared" si="291"/>
        <v>2.1320754716981134</v>
      </c>
      <c r="R89" s="58"/>
      <c r="S89" s="120">
        <f>S88/N88-1</f>
        <v>1.1800000000000002</v>
      </c>
      <c r="T89" s="120">
        <f t="shared" ref="T89:U89" si="292">T88/O88-1</f>
        <v>-0.23228346456692905</v>
      </c>
      <c r="U89" s="120">
        <f t="shared" si="292"/>
        <v>-0.26865671641791045</v>
      </c>
      <c r="V89" s="71">
        <v>-0.27</v>
      </c>
      <c r="W89" s="156"/>
      <c r="X89" s="71">
        <v>-0.27</v>
      </c>
      <c r="Y89" s="71">
        <v>-0.27</v>
      </c>
      <c r="Z89" s="71">
        <v>-0.27</v>
      </c>
      <c r="AA89" s="71">
        <v>-0.27</v>
      </c>
      <c r="AB89" s="58"/>
      <c r="AC89" s="71">
        <v>-0.27</v>
      </c>
      <c r="AD89" s="71">
        <v>-0.27</v>
      </c>
      <c r="AE89" s="71">
        <v>-0.27</v>
      </c>
      <c r="AF89" s="71">
        <v>-0.27</v>
      </c>
      <c r="AG89" s="58"/>
      <c r="AH89" s="71">
        <v>-0.27</v>
      </c>
      <c r="AI89" s="71">
        <v>-0.27</v>
      </c>
      <c r="AJ89" s="71">
        <v>-0.27</v>
      </c>
      <c r="AK89" s="71">
        <v>-0.27</v>
      </c>
      <c r="AL89" s="58"/>
      <c r="AM89" s="71">
        <v>-0.27</v>
      </c>
      <c r="AN89" s="71">
        <v>-0.27</v>
      </c>
      <c r="AO89" s="71">
        <v>-0.27</v>
      </c>
      <c r="AP89" s="71">
        <v>-0.27</v>
      </c>
      <c r="AQ89" s="58"/>
      <c r="AR89" s="71">
        <v>-0.27</v>
      </c>
      <c r="AS89" s="71">
        <v>-0.27</v>
      </c>
      <c r="AT89" s="71">
        <v>-0.27</v>
      </c>
      <c r="AU89" s="71">
        <v>-0.27</v>
      </c>
      <c r="AV89" s="58"/>
    </row>
    <row r="90" spans="1:48" outlineLevel="1" x14ac:dyDescent="0.55000000000000004">
      <c r="B90" s="181" t="s">
        <v>120</v>
      </c>
      <c r="C90" s="216"/>
      <c r="D90" s="101">
        <f t="shared" ref="D90:G91" si="293">+D83+D74</f>
        <v>12212</v>
      </c>
      <c r="E90" s="101">
        <f t="shared" si="293"/>
        <v>12465</v>
      </c>
      <c r="F90" s="101">
        <f t="shared" si="293"/>
        <v>12773</v>
      </c>
      <c r="G90" s="101">
        <f t="shared" si="293"/>
        <v>13189</v>
      </c>
      <c r="H90" s="6"/>
      <c r="I90" s="101">
        <f t="shared" ref="I90:L91" si="294">+I83+I74</f>
        <v>13592</v>
      </c>
      <c r="J90" s="101">
        <f t="shared" si="294"/>
        <v>13779</v>
      </c>
      <c r="K90" s="101">
        <f t="shared" si="294"/>
        <v>13945</v>
      </c>
      <c r="L90" s="16">
        <f t="shared" si="294"/>
        <v>16263</v>
      </c>
      <c r="M90" s="6"/>
      <c r="N90" s="16">
        <f t="shared" ref="N90:Q91" si="295">+N83+N74</f>
        <v>14630</v>
      </c>
      <c r="O90" s="16">
        <f t="shared" si="295"/>
        <v>14823</v>
      </c>
      <c r="P90" s="16">
        <f t="shared" si="295"/>
        <v>15120</v>
      </c>
      <c r="Q90" s="16">
        <f t="shared" si="295"/>
        <v>17007</v>
      </c>
      <c r="R90" s="6"/>
      <c r="S90" s="16">
        <f t="shared" ref="S90:V91" si="296">+S83+S74</f>
        <v>17429</v>
      </c>
      <c r="T90" s="16">
        <f t="shared" si="296"/>
        <v>17704</v>
      </c>
      <c r="U90" s="16">
        <f t="shared" si="296"/>
        <v>17898</v>
      </c>
      <c r="V90" s="16">
        <f t="shared" si="296"/>
        <v>18092</v>
      </c>
      <c r="W90" s="276">
        <f>W91/Q90</f>
        <v>6.3797259951784563E-2</v>
      </c>
      <c r="X90" s="16">
        <f t="shared" ref="X90:AA91" si="297">+X83+X74</f>
        <v>18286</v>
      </c>
      <c r="Y90" s="16">
        <f t="shared" si="297"/>
        <v>18480</v>
      </c>
      <c r="Z90" s="16">
        <f t="shared" si="297"/>
        <v>18674</v>
      </c>
      <c r="AA90" s="16">
        <f t="shared" si="297"/>
        <v>18868</v>
      </c>
      <c r="AB90" s="276">
        <f>AB91/V90</f>
        <v>4.2891885916427147E-2</v>
      </c>
      <c r="AC90" s="16">
        <f t="shared" ref="AC90:AF90" si="298">+AC83+AC74</f>
        <v>19062</v>
      </c>
      <c r="AD90" s="16">
        <f t="shared" si="298"/>
        <v>19256</v>
      </c>
      <c r="AE90" s="16">
        <f t="shared" si="298"/>
        <v>19450</v>
      </c>
      <c r="AF90" s="16">
        <f t="shared" si="298"/>
        <v>19644</v>
      </c>
      <c r="AG90" s="276">
        <f>AG91/AA90</f>
        <v>4.1127835488658046E-2</v>
      </c>
      <c r="AH90" s="16">
        <f t="shared" ref="AH90:AK90" si="299">+AH83+AH74</f>
        <v>19838</v>
      </c>
      <c r="AI90" s="16">
        <f t="shared" si="299"/>
        <v>20032</v>
      </c>
      <c r="AJ90" s="16">
        <f t="shared" si="299"/>
        <v>20226</v>
      </c>
      <c r="AK90" s="16">
        <f t="shared" si="299"/>
        <v>20420</v>
      </c>
      <c r="AL90" s="276">
        <f>AL91/AF90</f>
        <v>3.9503156180004072E-2</v>
      </c>
      <c r="AM90" s="16">
        <f t="shared" ref="AM90:AP90" si="300">+AM83+AM74</f>
        <v>20614</v>
      </c>
      <c r="AN90" s="16">
        <f t="shared" si="300"/>
        <v>20808</v>
      </c>
      <c r="AO90" s="16">
        <f t="shared" si="300"/>
        <v>21002</v>
      </c>
      <c r="AP90" s="16">
        <f t="shared" si="300"/>
        <v>21196</v>
      </c>
      <c r="AQ90" s="276">
        <f>AQ91/AK90</f>
        <v>3.8001958863858959E-2</v>
      </c>
      <c r="AR90" s="16">
        <f t="shared" ref="AR90:AU90" si="301">+AR83+AR74</f>
        <v>21390</v>
      </c>
      <c r="AS90" s="16">
        <f t="shared" si="301"/>
        <v>21584</v>
      </c>
      <c r="AT90" s="16">
        <f t="shared" si="301"/>
        <v>21778</v>
      </c>
      <c r="AU90" s="16">
        <f t="shared" si="301"/>
        <v>21972</v>
      </c>
      <c r="AV90" s="276">
        <f>AV91/AP90</f>
        <v>3.6610681260615209E-2</v>
      </c>
    </row>
    <row r="91" spans="1:48" outlineLevel="1" x14ac:dyDescent="0.55000000000000004">
      <c r="B91" s="181" t="s">
        <v>121</v>
      </c>
      <c r="C91" s="216"/>
      <c r="D91" s="101">
        <f t="shared" si="293"/>
        <v>360</v>
      </c>
      <c r="E91" s="101">
        <f t="shared" si="293"/>
        <v>253</v>
      </c>
      <c r="F91" s="101">
        <f t="shared" si="293"/>
        <v>308</v>
      </c>
      <c r="G91" s="101">
        <f t="shared" si="293"/>
        <v>416</v>
      </c>
      <c r="H91" s="122">
        <f>+H84+H75</f>
        <v>1337</v>
      </c>
      <c r="I91" s="101">
        <f t="shared" si="294"/>
        <v>403</v>
      </c>
      <c r="J91" s="101">
        <f t="shared" si="294"/>
        <v>187</v>
      </c>
      <c r="K91" s="101">
        <f t="shared" si="294"/>
        <v>166</v>
      </c>
      <c r="L91" s="101">
        <f t="shared" si="294"/>
        <v>356</v>
      </c>
      <c r="M91" s="122">
        <f>+M84+M75</f>
        <v>1112</v>
      </c>
      <c r="N91" s="101">
        <f t="shared" si="295"/>
        <v>324</v>
      </c>
      <c r="O91" s="101">
        <f t="shared" si="295"/>
        <v>193</v>
      </c>
      <c r="P91" s="101">
        <f t="shared" si="295"/>
        <v>297</v>
      </c>
      <c r="Q91" s="101">
        <f t="shared" si="295"/>
        <v>464</v>
      </c>
      <c r="R91" s="122">
        <f>+R84+R75</f>
        <v>1278</v>
      </c>
      <c r="S91" s="16">
        <f t="shared" si="296"/>
        <v>422</v>
      </c>
      <c r="T91" s="16">
        <f t="shared" si="296"/>
        <v>275</v>
      </c>
      <c r="U91" s="16">
        <f t="shared" si="296"/>
        <v>194</v>
      </c>
      <c r="V91" s="16">
        <f t="shared" si="296"/>
        <v>194</v>
      </c>
      <c r="W91" s="122">
        <f>+W84+W75</f>
        <v>1085</v>
      </c>
      <c r="X91" s="16">
        <f t="shared" si="297"/>
        <v>194</v>
      </c>
      <c r="Y91" s="16">
        <f t="shared" si="297"/>
        <v>194</v>
      </c>
      <c r="Z91" s="16">
        <f t="shared" si="297"/>
        <v>194</v>
      </c>
      <c r="AA91" s="16">
        <f t="shared" si="297"/>
        <v>194</v>
      </c>
      <c r="AB91" s="26">
        <f>+AB84+AB75</f>
        <v>776</v>
      </c>
      <c r="AC91" s="16">
        <f t="shared" ref="AC91:AF91" si="302">+AC84+AC75</f>
        <v>194</v>
      </c>
      <c r="AD91" s="16">
        <f t="shared" si="302"/>
        <v>194</v>
      </c>
      <c r="AE91" s="16">
        <f t="shared" si="302"/>
        <v>194</v>
      </c>
      <c r="AF91" s="16">
        <f t="shared" si="302"/>
        <v>194</v>
      </c>
      <c r="AG91" s="26">
        <f>+AG84+AG75</f>
        <v>776</v>
      </c>
      <c r="AH91" s="16">
        <f t="shared" ref="AH91:AK91" si="303">+AH84+AH75</f>
        <v>194</v>
      </c>
      <c r="AI91" s="16">
        <f t="shared" si="303"/>
        <v>194</v>
      </c>
      <c r="AJ91" s="16">
        <f t="shared" si="303"/>
        <v>194</v>
      </c>
      <c r="AK91" s="16">
        <f t="shared" si="303"/>
        <v>194</v>
      </c>
      <c r="AL91" s="26">
        <f>+AL84+AL75</f>
        <v>776</v>
      </c>
      <c r="AM91" s="16">
        <f t="shared" ref="AM91:AP91" si="304">+AM84+AM75</f>
        <v>194</v>
      </c>
      <c r="AN91" s="16">
        <f t="shared" si="304"/>
        <v>194</v>
      </c>
      <c r="AO91" s="16">
        <f t="shared" si="304"/>
        <v>194</v>
      </c>
      <c r="AP91" s="16">
        <f t="shared" si="304"/>
        <v>194</v>
      </c>
      <c r="AQ91" s="26">
        <f>+AQ84+AQ75</f>
        <v>776</v>
      </c>
      <c r="AR91" s="16">
        <f t="shared" ref="AR91:AU91" si="305">+AR84+AR75</f>
        <v>194</v>
      </c>
      <c r="AS91" s="16">
        <f t="shared" si="305"/>
        <v>194</v>
      </c>
      <c r="AT91" s="16">
        <f t="shared" si="305"/>
        <v>194</v>
      </c>
      <c r="AU91" s="16">
        <f t="shared" si="305"/>
        <v>194</v>
      </c>
      <c r="AV91" s="26">
        <f>+AV84+AV75</f>
        <v>776</v>
      </c>
    </row>
    <row r="92" spans="1:48" outlineLevel="1" x14ac:dyDescent="0.55000000000000004">
      <c r="B92" s="302" t="s">
        <v>122</v>
      </c>
      <c r="C92" s="303"/>
      <c r="D92" s="115">
        <f>+D88+D87+D78</f>
        <v>1504</v>
      </c>
      <c r="E92" s="115">
        <f>+E88+E87+E78</f>
        <v>1529.4</v>
      </c>
      <c r="F92" s="115">
        <f>+F88+F87+F78</f>
        <v>1585.3</v>
      </c>
      <c r="G92" s="115">
        <f>+G88+G87+G78</f>
        <v>1572.1000000000001</v>
      </c>
      <c r="H92" s="222">
        <f>SUM(D92:G92)</f>
        <v>6190.8</v>
      </c>
      <c r="I92" s="115">
        <f>+I88+I87+I78</f>
        <v>1571.1</v>
      </c>
      <c r="J92" s="115">
        <f>+J88+J87+J78</f>
        <v>1134.5999999999999</v>
      </c>
      <c r="K92" s="115">
        <f>+K88+K87+K78</f>
        <v>949.6</v>
      </c>
      <c r="L92" s="115">
        <f>+L88+L87+L78</f>
        <v>1511.3</v>
      </c>
      <c r="M92" s="222">
        <f>SUM(I92:L92)</f>
        <v>5166.5999999999995</v>
      </c>
      <c r="N92" s="115">
        <f>+N88+N87+N78</f>
        <v>1654.3</v>
      </c>
      <c r="O92" s="115">
        <f>+O88+O87+O78</f>
        <v>1610.9</v>
      </c>
      <c r="P92" s="115">
        <f>+P88+P87+P78</f>
        <v>1658.3999999999999</v>
      </c>
      <c r="Q92" s="115">
        <f>+Q88+Q87+Q78</f>
        <v>1914.6</v>
      </c>
      <c r="R92" s="73">
        <f>SUM(N92:Q92)</f>
        <v>6838.1999999999989</v>
      </c>
      <c r="S92" s="72">
        <f>+S88+S87+S78</f>
        <v>1875.8999999999999</v>
      </c>
      <c r="T92" s="72">
        <f>+T88+T87+T78</f>
        <v>1702.4</v>
      </c>
      <c r="U92" s="72">
        <f>+U88+U87+U78</f>
        <v>1584.7</v>
      </c>
      <c r="V92" s="72">
        <f>+V88+V87+V78</f>
        <v>1613.7150000000001</v>
      </c>
      <c r="W92" s="222">
        <f>SUM(S92:V92)</f>
        <v>6776.7150000000001</v>
      </c>
      <c r="X92" s="72">
        <f>+X88+X87+X78</f>
        <v>1647.8520000000001</v>
      </c>
      <c r="Y92" s="72">
        <f>+Y88+Y87+Y78</f>
        <v>1660.6</v>
      </c>
      <c r="Z92" s="72">
        <f>+Z88+Z87+Z78</f>
        <v>1675.903</v>
      </c>
      <c r="AA92" s="72">
        <f>+AA88+AA87+AA78</f>
        <v>1699.9791399999999</v>
      </c>
      <c r="AB92" s="73">
        <f>SUM(X92:AA92)</f>
        <v>6684.3341400000008</v>
      </c>
      <c r="AC92" s="72">
        <f>+AC88+AC87+AC78</f>
        <v>1730.94283</v>
      </c>
      <c r="AD92" s="72">
        <f>+AD88+AD87+AD78</f>
        <v>1746.2925500000001</v>
      </c>
      <c r="AE92" s="72">
        <f>+AE88+AE87+AE78</f>
        <v>1763.5074199999999</v>
      </c>
      <c r="AF92" s="72">
        <f>+AF88+AF87+AF78</f>
        <v>1787.1266822</v>
      </c>
      <c r="AG92" s="73">
        <f>SUM(AC92:AF92)</f>
        <v>7027.8694821999998</v>
      </c>
      <c r="AH92" s="72">
        <f>+AH88+AH87+AH78</f>
        <v>1815.7738558999999</v>
      </c>
      <c r="AI92" s="72">
        <f>+AI88+AI87+AI78</f>
        <v>1833.0228314999999</v>
      </c>
      <c r="AJ92" s="72">
        <f>+AJ88+AJ87+AJ78</f>
        <v>1851.6333666</v>
      </c>
      <c r="AK92" s="72">
        <f>+AK88+AK87+AK78</f>
        <v>1874.919108006</v>
      </c>
      <c r="AL92" s="73">
        <f>SUM(AH92:AK92)</f>
        <v>7375.3491620060004</v>
      </c>
      <c r="AM92" s="72">
        <f>+AM88+AM87+AM78</f>
        <v>1901.875224807</v>
      </c>
      <c r="AN92" s="72">
        <f>+AN88+AN87+AN78</f>
        <v>1920.5106569949999</v>
      </c>
      <c r="AO92" s="72">
        <f>+AO88+AO87+AO78</f>
        <v>1940.140027618</v>
      </c>
      <c r="AP92" s="72">
        <f>+AP88+AP87+AP78</f>
        <v>1963.1822988443801</v>
      </c>
      <c r="AQ92" s="73">
        <f>SUM(AM92:AP92)</f>
        <v>7725.7082082643801</v>
      </c>
      <c r="AR92" s="72">
        <f>+AR88+AR87+AR78</f>
        <v>1988.9039441091099</v>
      </c>
      <c r="AS92" s="72">
        <f>+AS88+AS87+AS78</f>
        <v>2008.5514896063498</v>
      </c>
      <c r="AT92" s="72">
        <f>+AT88+AT87+AT78</f>
        <v>2028.9246101611398</v>
      </c>
      <c r="AU92" s="72">
        <f>+AU88+AU87+AU78</f>
        <v>2051.7891481563975</v>
      </c>
      <c r="AV92" s="73">
        <f>SUM(AR92:AU92)</f>
        <v>8078.1691920329968</v>
      </c>
    </row>
    <row r="93" spans="1:48" outlineLevel="1" x14ac:dyDescent="0.55000000000000004">
      <c r="B93" s="308" t="s">
        <v>100</v>
      </c>
      <c r="C93" s="309"/>
      <c r="D93" s="105">
        <v>462.7</v>
      </c>
      <c r="E93" s="105">
        <v>470.2</v>
      </c>
      <c r="F93" s="105">
        <v>476.1</v>
      </c>
      <c r="G93" s="105">
        <v>486.1</v>
      </c>
      <c r="H93" s="130">
        <f>SUM(D93:G93)</f>
        <v>1895.1</v>
      </c>
      <c r="I93" s="105">
        <v>488.5</v>
      </c>
      <c r="J93" s="105">
        <v>387.7</v>
      </c>
      <c r="K93" s="105">
        <v>337.7</v>
      </c>
      <c r="L93" s="105">
        <v>479.2</v>
      </c>
      <c r="M93" s="130">
        <f>SUM(I93:L93)</f>
        <v>1693.1000000000001</v>
      </c>
      <c r="N93" s="105">
        <v>520.4</v>
      </c>
      <c r="O93" s="105">
        <v>513.5</v>
      </c>
      <c r="P93" s="105">
        <v>501.7</v>
      </c>
      <c r="Q93" s="105">
        <v>605.1</v>
      </c>
      <c r="R93" s="76">
        <f>SUM(N93:Q93)</f>
        <v>2140.7000000000003</v>
      </c>
      <c r="S93" s="48">
        <v>615.79999999999995</v>
      </c>
      <c r="T93" s="48">
        <v>580.5</v>
      </c>
      <c r="U93" s="48">
        <v>550.29999999999995</v>
      </c>
      <c r="V93" s="48">
        <f t="shared" ref="V93" si="306">V94*V92</f>
        <v>560.37569539976016</v>
      </c>
      <c r="W93" s="76">
        <f>SUM(S93:V93)</f>
        <v>2306.9756953997603</v>
      </c>
      <c r="X93" s="48">
        <f>X94*X92</f>
        <v>572.23004707515611</v>
      </c>
      <c r="Y93" s="48">
        <f>Y94*Y92</f>
        <v>576.65689404934676</v>
      </c>
      <c r="Z93" s="48">
        <f t="shared" ref="Z93:AA93" si="307">Z94*Z92</f>
        <v>581.97098561241864</v>
      </c>
      <c r="AA93" s="48">
        <f t="shared" si="307"/>
        <v>590.33162159525443</v>
      </c>
      <c r="AB93" s="76">
        <f>SUM(X93:AA93)</f>
        <v>2321.1895483321759</v>
      </c>
      <c r="AC93" s="48">
        <f>AC94*AC92</f>
        <v>601.08401549126006</v>
      </c>
      <c r="AD93" s="48">
        <f>AD94*AD92</f>
        <v>606.41433095538582</v>
      </c>
      <c r="AE93" s="48">
        <f t="shared" ref="AE93:AF93" si="308">AE94*AE92</f>
        <v>612.39233496939471</v>
      </c>
      <c r="AF93" s="48">
        <f t="shared" si="308"/>
        <v>620.59431640983144</v>
      </c>
      <c r="AG93" s="76">
        <f>SUM(AC93:AF93)</f>
        <v>2440.4849978258717</v>
      </c>
      <c r="AH93" s="48">
        <f>AH94*AH92</f>
        <v>630.5422811268819</v>
      </c>
      <c r="AI93" s="48">
        <f>AI94*AI92</f>
        <v>636.53212858866016</v>
      </c>
      <c r="AJ93" s="48">
        <f t="shared" ref="AJ93:AK93" si="309">AJ94*AJ92</f>
        <v>642.99478869185327</v>
      </c>
      <c r="AK93" s="48">
        <f t="shared" si="309"/>
        <v>651.08095231633854</v>
      </c>
      <c r="AL93" s="76">
        <f>SUM(AH93:AK93)</f>
        <v>2561.150150723734</v>
      </c>
      <c r="AM93" s="48">
        <f>AM94*AM92</f>
        <v>660.44168373275193</v>
      </c>
      <c r="AN93" s="48">
        <f>AN94*AN92</f>
        <v>666.9129895528165</v>
      </c>
      <c r="AO93" s="48">
        <f t="shared" ref="AO93:AP93" si="310">AO94*AO92</f>
        <v>673.72944860111386</v>
      </c>
      <c r="AP93" s="48">
        <f t="shared" si="310"/>
        <v>681.73106521995464</v>
      </c>
      <c r="AQ93" s="76">
        <f>SUM(AM93:AP93)</f>
        <v>2682.8151871066366</v>
      </c>
      <c r="AR93" s="48">
        <f>AR94*AR92</f>
        <v>690.66311632690292</v>
      </c>
      <c r="AS93" s="48">
        <f>AS94*AS92</f>
        <v>697.48588674851646</v>
      </c>
      <c r="AT93" s="48">
        <f t="shared" ref="AT93:AU93" si="311">AT94*AT92</f>
        <v>704.56061902674003</v>
      </c>
      <c r="AU93" s="48">
        <f t="shared" si="311"/>
        <v>712.5005163314604</v>
      </c>
      <c r="AV93" s="76">
        <f>SUM(AR93:AU93)</f>
        <v>2805.2101384336197</v>
      </c>
    </row>
    <row r="94" spans="1:48" s="184" customFormat="1" outlineLevel="1" x14ac:dyDescent="0.55000000000000004">
      <c r="A94" s="249"/>
      <c r="B94" s="182" t="s">
        <v>152</v>
      </c>
      <c r="C94" s="183"/>
      <c r="D94" s="168">
        <f>D93/D92</f>
        <v>0.30764627659574467</v>
      </c>
      <c r="E94" s="168">
        <f t="shared" ref="E94:U94" si="312">E93/E92</f>
        <v>0.30744082646789589</v>
      </c>
      <c r="F94" s="168">
        <f t="shared" si="312"/>
        <v>0.30032170567085098</v>
      </c>
      <c r="G94" s="168">
        <f t="shared" si="312"/>
        <v>0.30920424909356908</v>
      </c>
      <c r="H94" s="187">
        <f>H93/H92</f>
        <v>0.30611552626477995</v>
      </c>
      <c r="I94" s="168">
        <f t="shared" si="312"/>
        <v>0.31092864871745912</v>
      </c>
      <c r="J94" s="168">
        <f t="shared" si="312"/>
        <v>0.34170632822139962</v>
      </c>
      <c r="K94" s="168">
        <f t="shared" si="312"/>
        <v>0.35562342038753159</v>
      </c>
      <c r="L94" s="168">
        <f t="shared" si="312"/>
        <v>0.31707801230728511</v>
      </c>
      <c r="M94" s="187">
        <f>M93/M92</f>
        <v>0.32770100259358192</v>
      </c>
      <c r="N94" s="168">
        <f t="shared" si="312"/>
        <v>0.31457414011968809</v>
      </c>
      <c r="O94" s="168">
        <f t="shared" si="312"/>
        <v>0.31876590725681292</v>
      </c>
      <c r="P94" s="168">
        <f t="shared" si="312"/>
        <v>0.30252050168837435</v>
      </c>
      <c r="Q94" s="168">
        <f t="shared" si="312"/>
        <v>0.31604512691946102</v>
      </c>
      <c r="R94" s="189">
        <f>R93/R92</f>
        <v>0.31305021789359783</v>
      </c>
      <c r="S94" s="168">
        <f t="shared" si="312"/>
        <v>0.32826909749986671</v>
      </c>
      <c r="T94" s="168">
        <f t="shared" si="312"/>
        <v>0.34098919172932329</v>
      </c>
      <c r="U94" s="168">
        <f t="shared" si="312"/>
        <v>0.34725815611787714</v>
      </c>
      <c r="V94" s="190">
        <v>0.34725815611787714</v>
      </c>
      <c r="W94" s="189">
        <f>W93/W92</f>
        <v>0.34042684330088552</v>
      </c>
      <c r="X94" s="190">
        <v>0.34725815611787714</v>
      </c>
      <c r="Y94" s="190">
        <v>0.34725815611787714</v>
      </c>
      <c r="Z94" s="190">
        <v>0.34725815611787714</v>
      </c>
      <c r="AA94" s="190">
        <v>0.34725815611787714</v>
      </c>
      <c r="AB94" s="189">
        <f>AB93/AB92</f>
        <v>0.34725815611787708</v>
      </c>
      <c r="AC94" s="190">
        <v>0.34725815611787714</v>
      </c>
      <c r="AD94" s="190">
        <v>0.34725815611787714</v>
      </c>
      <c r="AE94" s="190">
        <v>0.34725815611787714</v>
      </c>
      <c r="AF94" s="190">
        <v>0.34725815611787714</v>
      </c>
      <c r="AG94" s="189">
        <f>AG93/AG92</f>
        <v>0.34725815611787714</v>
      </c>
      <c r="AH94" s="190">
        <v>0.34725815611787714</v>
      </c>
      <c r="AI94" s="190">
        <v>0.34725815611787714</v>
      </c>
      <c r="AJ94" s="190">
        <v>0.34725815611787714</v>
      </c>
      <c r="AK94" s="190">
        <v>0.34725815611787714</v>
      </c>
      <c r="AL94" s="189">
        <f>AL93/AL92</f>
        <v>0.34725815611787714</v>
      </c>
      <c r="AM94" s="190">
        <v>0.34725815611787714</v>
      </c>
      <c r="AN94" s="190">
        <v>0.34725815611787714</v>
      </c>
      <c r="AO94" s="190">
        <v>0.34725815611787714</v>
      </c>
      <c r="AP94" s="190">
        <v>0.34725815611787714</v>
      </c>
      <c r="AQ94" s="189">
        <f>AQ93/AQ92</f>
        <v>0.34725815611787708</v>
      </c>
      <c r="AR94" s="190">
        <v>0.34725815611787714</v>
      </c>
      <c r="AS94" s="190">
        <v>0.34725815611787714</v>
      </c>
      <c r="AT94" s="190">
        <v>0.34725815611787714</v>
      </c>
      <c r="AU94" s="190">
        <v>0.34725815611787714</v>
      </c>
      <c r="AV94" s="189">
        <f>AV93/AV92</f>
        <v>0.34725815611787714</v>
      </c>
    </row>
    <row r="95" spans="1:48" outlineLevel="1" x14ac:dyDescent="0.55000000000000004">
      <c r="B95" s="181" t="s">
        <v>32</v>
      </c>
      <c r="C95" s="18"/>
      <c r="D95" s="105">
        <v>603.70000000000005</v>
      </c>
      <c r="E95" s="105">
        <v>618.4</v>
      </c>
      <c r="F95" s="105">
        <v>609.20000000000005</v>
      </c>
      <c r="G95" s="105">
        <v>597.29999999999995</v>
      </c>
      <c r="H95" s="171">
        <f>SUM(D95:G95)</f>
        <v>2428.6</v>
      </c>
      <c r="I95" s="105">
        <v>607.1</v>
      </c>
      <c r="J95" s="105">
        <v>562.79999999999995</v>
      </c>
      <c r="K95" s="105">
        <v>483.4</v>
      </c>
      <c r="L95" s="105">
        <v>622.70000000000005</v>
      </c>
      <c r="M95" s="171">
        <f>SUM(I95:L95)</f>
        <v>2276</v>
      </c>
      <c r="N95" s="105">
        <v>628.5</v>
      </c>
      <c r="O95" s="105">
        <v>620.20000000000005</v>
      </c>
      <c r="P95" s="105">
        <v>620.1</v>
      </c>
      <c r="Q95" s="105">
        <v>702.6</v>
      </c>
      <c r="R95" s="49">
        <f>SUM(N95:Q95)</f>
        <v>2571.4</v>
      </c>
      <c r="S95" s="48">
        <v>697.6</v>
      </c>
      <c r="T95" s="48">
        <v>689.3</v>
      </c>
      <c r="U95" s="48">
        <v>632.5</v>
      </c>
      <c r="V95" s="48">
        <f>V96*V78</f>
        <v>643.69051019530252</v>
      </c>
      <c r="W95" s="49">
        <f>SUM(S95:V95)</f>
        <v>2663.0905101953026</v>
      </c>
      <c r="X95" s="48">
        <f>X96*X78</f>
        <v>654.4434999569819</v>
      </c>
      <c r="Y95" s="48">
        <f>Y96*Y78</f>
        <v>665.19648971866138</v>
      </c>
      <c r="Z95" s="48">
        <f>Z96*Z78</f>
        <v>675.94947948034076</v>
      </c>
      <c r="AA95" s="48">
        <f>AA96*AA78</f>
        <v>686.70246924202024</v>
      </c>
      <c r="AB95" s="49">
        <f>SUM(X95:AA95)</f>
        <v>2682.2919383980043</v>
      </c>
      <c r="AC95" s="48">
        <f>AC96*AC78</f>
        <v>697.45545900369962</v>
      </c>
      <c r="AD95" s="48">
        <f>AD96*AD78</f>
        <v>708.2084487653791</v>
      </c>
      <c r="AE95" s="48">
        <f>AE96*AE78</f>
        <v>718.96143852705848</v>
      </c>
      <c r="AF95" s="48">
        <f>AF96*AF78</f>
        <v>729.71442828873796</v>
      </c>
      <c r="AG95" s="49">
        <f>SUM(AC95:AF95)</f>
        <v>2854.3397745848752</v>
      </c>
      <c r="AH95" s="48">
        <f>AH96*AH78</f>
        <v>740.46741805041734</v>
      </c>
      <c r="AI95" s="48">
        <f>AI96*AI78</f>
        <v>751.22040781209671</v>
      </c>
      <c r="AJ95" s="48">
        <f>AJ96*AJ78</f>
        <v>761.9733975737762</v>
      </c>
      <c r="AK95" s="48">
        <f>AK96*AK78</f>
        <v>772.72638733545557</v>
      </c>
      <c r="AL95" s="49">
        <f>SUM(AH95:AK95)</f>
        <v>3026.3876107717456</v>
      </c>
      <c r="AM95" s="48">
        <f>AM96*AM78</f>
        <v>783.47937709713506</v>
      </c>
      <c r="AN95" s="48">
        <f>AN96*AN78</f>
        <v>794.23236685881443</v>
      </c>
      <c r="AO95" s="48">
        <f>AO96*AO78</f>
        <v>804.98535662049392</v>
      </c>
      <c r="AP95" s="48">
        <f>AP96*AP78</f>
        <v>815.73834638217329</v>
      </c>
      <c r="AQ95" s="49">
        <f>SUM(AM95:AP95)</f>
        <v>3198.4354469586169</v>
      </c>
      <c r="AR95" s="48">
        <f>AR96*AR78</f>
        <v>826.49133614385278</v>
      </c>
      <c r="AS95" s="48">
        <f>AS96*AS78</f>
        <v>837.24432590553215</v>
      </c>
      <c r="AT95" s="48">
        <f>AT96*AT78</f>
        <v>847.99731566721164</v>
      </c>
      <c r="AU95" s="48">
        <f>AU96*AU78</f>
        <v>858.75030542889101</v>
      </c>
      <c r="AV95" s="49">
        <f>SUM(AR95:AU95)</f>
        <v>3370.4832831454873</v>
      </c>
    </row>
    <row r="96" spans="1:48" s="185" customFormat="1" outlineLevel="1" x14ac:dyDescent="0.55000000000000004">
      <c r="B96" s="182" t="s">
        <v>151</v>
      </c>
      <c r="C96" s="191"/>
      <c r="D96" s="168">
        <f t="shared" ref="D96:U96" si="313">D95/D78</f>
        <v>0.47234175729598632</v>
      </c>
      <c r="E96" s="168">
        <f t="shared" si="313"/>
        <v>0.4722773789521918</v>
      </c>
      <c r="F96" s="168">
        <f t="shared" si="313"/>
        <v>0.45032525133057366</v>
      </c>
      <c r="G96" s="168">
        <f t="shared" si="313"/>
        <v>0.45390987157078799</v>
      </c>
      <c r="H96" s="187">
        <f t="shared" si="313"/>
        <v>0.46204482325634483</v>
      </c>
      <c r="I96" s="168">
        <f t="shared" si="313"/>
        <v>0.46354126899289916</v>
      </c>
      <c r="J96" s="168">
        <f t="shared" si="313"/>
        <v>0.62367021276595747</v>
      </c>
      <c r="K96" s="168">
        <f t="shared" si="313"/>
        <v>0.5521416333523701</v>
      </c>
      <c r="L96" s="168">
        <f t="shared" si="313"/>
        <v>0.47962720480628518</v>
      </c>
      <c r="M96" s="187">
        <f t="shared" si="313"/>
        <v>0.51893568024806769</v>
      </c>
      <c r="N96" s="168">
        <f t="shared" si="313"/>
        <v>0.43594367760282998</v>
      </c>
      <c r="O96" s="168">
        <f t="shared" si="313"/>
        <v>0.44789485087022463</v>
      </c>
      <c r="P96" s="168">
        <f t="shared" si="313"/>
        <v>0.4326379683248448</v>
      </c>
      <c r="Q96" s="168">
        <f t="shared" si="313"/>
        <v>0.43639751552795031</v>
      </c>
      <c r="R96" s="189">
        <f t="shared" si="313"/>
        <v>0.43808031074841985</v>
      </c>
      <c r="S96" s="168">
        <f t="shared" si="313"/>
        <v>0.46250745872836974</v>
      </c>
      <c r="T96" s="168">
        <f t="shared" si="313"/>
        <v>0.51424947776783048</v>
      </c>
      <c r="U96" s="168">
        <f t="shared" si="313"/>
        <v>0.54417964380968775</v>
      </c>
      <c r="V96" s="190">
        <v>0.54417964380968775</v>
      </c>
      <c r="W96" s="189">
        <f>W95/W78</f>
        <v>0.51273782105101384</v>
      </c>
      <c r="X96" s="190">
        <v>0.54417964380968775</v>
      </c>
      <c r="Y96" s="190">
        <v>0.54417964380968775</v>
      </c>
      <c r="Z96" s="190">
        <v>0.54417964380968775</v>
      </c>
      <c r="AA96" s="190">
        <v>0.54417964380968775</v>
      </c>
      <c r="AB96" s="189">
        <f>AB95/AB78</f>
        <v>0.54417964380968775</v>
      </c>
      <c r="AC96" s="190">
        <v>0.54417964380968775</v>
      </c>
      <c r="AD96" s="190">
        <v>0.54417964380968775</v>
      </c>
      <c r="AE96" s="190">
        <v>0.54417964380968775</v>
      </c>
      <c r="AF96" s="190">
        <v>0.54417964380968775</v>
      </c>
      <c r="AG96" s="189">
        <f>AG95/AG78</f>
        <v>0.54417964380968775</v>
      </c>
      <c r="AH96" s="190">
        <v>0.54417964380968775</v>
      </c>
      <c r="AI96" s="190">
        <v>0.54417964380968775</v>
      </c>
      <c r="AJ96" s="190">
        <v>0.54417964380968775</v>
      </c>
      <c r="AK96" s="190">
        <v>0.54417964380968775</v>
      </c>
      <c r="AL96" s="189">
        <f>AL95/AL78</f>
        <v>0.54417964380968764</v>
      </c>
      <c r="AM96" s="190">
        <v>0.54417964380968775</v>
      </c>
      <c r="AN96" s="190">
        <v>0.54417964380968775</v>
      </c>
      <c r="AO96" s="190">
        <v>0.54417964380968775</v>
      </c>
      <c r="AP96" s="190">
        <v>0.54417964380968775</v>
      </c>
      <c r="AQ96" s="189">
        <f>AQ95/AQ78</f>
        <v>0.54417964380968775</v>
      </c>
      <c r="AR96" s="190">
        <v>0.54417964380968775</v>
      </c>
      <c r="AS96" s="190">
        <v>0.54417964380968775</v>
      </c>
      <c r="AT96" s="190">
        <v>0.54417964380968775</v>
      </c>
      <c r="AU96" s="190">
        <v>0.54417964380968775</v>
      </c>
      <c r="AV96" s="189">
        <f>AV95/AV78</f>
        <v>0.54417964380968764</v>
      </c>
    </row>
    <row r="97" spans="1:48" outlineLevel="1" x14ac:dyDescent="0.55000000000000004">
      <c r="B97" s="181" t="s">
        <v>33</v>
      </c>
      <c r="C97" s="18"/>
      <c r="D97" s="105">
        <v>31.3</v>
      </c>
      <c r="E97" s="105">
        <v>26.3</v>
      </c>
      <c r="F97" s="105">
        <v>26.7</v>
      </c>
      <c r="G97" s="105">
        <v>31.9</v>
      </c>
      <c r="H97" s="171">
        <f>SUM(D97:G97)</f>
        <v>116.19999999999999</v>
      </c>
      <c r="I97" s="105">
        <v>35.9</v>
      </c>
      <c r="J97" s="105">
        <v>31.8</v>
      </c>
      <c r="K97" s="105">
        <v>37.5</v>
      </c>
      <c r="L97" s="105">
        <v>39.9</v>
      </c>
      <c r="M97" s="171">
        <f>SUM(I97:L97)</f>
        <v>145.1</v>
      </c>
      <c r="N97" s="105">
        <v>34.299999999999997</v>
      </c>
      <c r="O97" s="105">
        <v>29.3</v>
      </c>
      <c r="P97" s="105">
        <v>38.299999999999997</v>
      </c>
      <c r="Q97" s="105">
        <v>39.799999999999997</v>
      </c>
      <c r="R97" s="49">
        <f>SUM(N97:Q97)</f>
        <v>141.69999999999999</v>
      </c>
      <c r="S97" s="48">
        <v>39.200000000000003</v>
      </c>
      <c r="T97" s="48">
        <v>39.5</v>
      </c>
      <c r="U97" s="48">
        <v>60.2</v>
      </c>
      <c r="V97" s="48">
        <f t="shared" ref="V97" si="314">V98*V92</f>
        <v>61.302229444058817</v>
      </c>
      <c r="W97" s="49">
        <f>SUM(S97:V97)</f>
        <v>200.20222944405882</v>
      </c>
      <c r="X97" s="48">
        <f>X98*X92</f>
        <v>62.599034769988016</v>
      </c>
      <c r="Y97" s="48">
        <f>Y98*Y92</f>
        <v>63.083309143686499</v>
      </c>
      <c r="Z97" s="48">
        <f t="shared" ref="Z97:AA97" si="315">Z98*Z92</f>
        <v>63.664643528743611</v>
      </c>
      <c r="AA97" s="48">
        <f t="shared" si="315"/>
        <v>64.579254261374388</v>
      </c>
      <c r="AB97" s="49">
        <f>SUM(X97:AA97)</f>
        <v>253.92624170379253</v>
      </c>
      <c r="AC97" s="48">
        <f>AC98*AC92</f>
        <v>65.755511053196187</v>
      </c>
      <c r="AD97" s="48">
        <f>AD98*AD92</f>
        <v>66.338620249889573</v>
      </c>
      <c r="AE97" s="48">
        <f t="shared" ref="AE97:AF97" si="316">AE98*AE92</f>
        <v>66.992583254874745</v>
      </c>
      <c r="AF97" s="48">
        <f t="shared" si="316"/>
        <v>67.889837993588699</v>
      </c>
      <c r="AG97" s="49">
        <f>SUM(AC97:AF97)</f>
        <v>266.97655255154922</v>
      </c>
      <c r="AH97" s="48">
        <f>AH98*AH92</f>
        <v>68.978094355512084</v>
      </c>
      <c r="AI97" s="48">
        <f>AI98*AI92</f>
        <v>69.63335297299173</v>
      </c>
      <c r="AJ97" s="48">
        <f t="shared" ref="AJ97:AK97" si="317">AJ98*AJ92</f>
        <v>70.340334870524387</v>
      </c>
      <c r="AK97" s="48">
        <f t="shared" si="317"/>
        <v>71.224919733679059</v>
      </c>
      <c r="AL97" s="49">
        <f>SUM(AH97:AK97)</f>
        <v>280.17670193270726</v>
      </c>
      <c r="AM97" s="48">
        <f>AM98*AM92</f>
        <v>72.248935781776609</v>
      </c>
      <c r="AN97" s="48">
        <f>AN98*AN92</f>
        <v>72.956863476430229</v>
      </c>
      <c r="AO97" s="48">
        <f t="shared" ref="AO97:AP97" si="318">AO98*AO92</f>
        <v>73.702549165522555</v>
      </c>
      <c r="AP97" s="48">
        <f t="shared" si="318"/>
        <v>74.577885019518945</v>
      </c>
      <c r="AQ97" s="49">
        <f>SUM(AM97:AP97)</f>
        <v>293.48623344324835</v>
      </c>
      <c r="AR97" s="48">
        <f>AR98*AR92</f>
        <v>75.555005638523653</v>
      </c>
      <c r="AS97" s="48">
        <f>AS98*AS92</f>
        <v>76.301381759514271</v>
      </c>
      <c r="AT97" s="48">
        <f t="shared" ref="AT97:AU97" si="319">AT98*AT92</f>
        <v>77.075321216445147</v>
      </c>
      <c r="AU97" s="48">
        <f t="shared" si="319"/>
        <v>77.943905293756004</v>
      </c>
      <c r="AV97" s="49">
        <f>SUM(AR97:AU97)</f>
        <v>306.87561390823907</v>
      </c>
    </row>
    <row r="98" spans="1:48" s="185" customFormat="1" outlineLevel="1" x14ac:dyDescent="0.55000000000000004">
      <c r="B98" s="182" t="s">
        <v>153</v>
      </c>
      <c r="C98" s="191"/>
      <c r="D98" s="168">
        <f>D97/D92</f>
        <v>2.0811170212765958E-2</v>
      </c>
      <c r="E98" s="168">
        <f t="shared" ref="E98:U98" si="320">E97/E92</f>
        <v>1.7196286125277887E-2</v>
      </c>
      <c r="F98" s="168">
        <f t="shared" si="320"/>
        <v>1.6842238062196431E-2</v>
      </c>
      <c r="G98" s="168">
        <f t="shared" si="320"/>
        <v>2.0291330068061827E-2</v>
      </c>
      <c r="H98" s="187">
        <f t="shared" si="320"/>
        <v>1.8769787426503842E-2</v>
      </c>
      <c r="I98" s="168">
        <f t="shared" si="320"/>
        <v>2.2850232321303544E-2</v>
      </c>
      <c r="J98" s="168">
        <f t="shared" si="320"/>
        <v>2.8027498677948178E-2</v>
      </c>
      <c r="K98" s="168">
        <f t="shared" si="320"/>
        <v>3.9490311710193765E-2</v>
      </c>
      <c r="L98" s="168">
        <f t="shared" si="320"/>
        <v>2.6401111625752663E-2</v>
      </c>
      <c r="M98" s="187">
        <f t="shared" si="320"/>
        <v>2.8084233344946388E-2</v>
      </c>
      <c r="N98" s="168">
        <f t="shared" si="320"/>
        <v>2.0733845130871061E-2</v>
      </c>
      <c r="O98" s="168">
        <f t="shared" si="320"/>
        <v>1.8188590229064498E-2</v>
      </c>
      <c r="P98" s="168">
        <f t="shared" si="320"/>
        <v>2.3094548962855763E-2</v>
      </c>
      <c r="Q98" s="168">
        <f t="shared" si="320"/>
        <v>2.0787631881332914E-2</v>
      </c>
      <c r="R98" s="189">
        <f t="shared" ref="R98" si="321">R97/R92</f>
        <v>2.0721827381474659E-2</v>
      </c>
      <c r="S98" s="168">
        <f t="shared" si="320"/>
        <v>2.0896636281251667E-2</v>
      </c>
      <c r="T98" s="168">
        <f t="shared" si="320"/>
        <v>2.3202537593984961E-2</v>
      </c>
      <c r="U98" s="168">
        <f t="shared" si="320"/>
        <v>3.7988262762668014E-2</v>
      </c>
      <c r="V98" s="190">
        <v>3.7988262762668014E-2</v>
      </c>
      <c r="W98" s="189">
        <f t="shared" ref="W98" si="322">W97/W92</f>
        <v>2.9542666239329649E-2</v>
      </c>
      <c r="X98" s="190">
        <v>3.7988262762668014E-2</v>
      </c>
      <c r="Y98" s="190">
        <v>3.7988262762668014E-2</v>
      </c>
      <c r="Z98" s="190">
        <v>3.7988262762668014E-2</v>
      </c>
      <c r="AA98" s="190">
        <v>3.7988262762668014E-2</v>
      </c>
      <c r="AB98" s="189">
        <f t="shared" ref="AB98" si="323">AB97/AB92</f>
        <v>3.7988262762668007E-2</v>
      </c>
      <c r="AC98" s="190">
        <v>3.7988262762668014E-2</v>
      </c>
      <c r="AD98" s="190">
        <v>3.7988262762668014E-2</v>
      </c>
      <c r="AE98" s="190">
        <v>3.7988262762668014E-2</v>
      </c>
      <c r="AF98" s="190">
        <v>3.7988262762668014E-2</v>
      </c>
      <c r="AG98" s="189">
        <f t="shared" ref="AG98" si="324">AG97/AG92</f>
        <v>3.7988262762668021E-2</v>
      </c>
      <c r="AH98" s="190">
        <v>3.7988262762668014E-2</v>
      </c>
      <c r="AI98" s="190">
        <v>3.7988262762668014E-2</v>
      </c>
      <c r="AJ98" s="190">
        <v>3.7988262762668014E-2</v>
      </c>
      <c r="AK98" s="190">
        <v>3.7988262762668014E-2</v>
      </c>
      <c r="AL98" s="189">
        <f t="shared" ref="AL98" si="325">AL97/AL92</f>
        <v>3.7988262762668014E-2</v>
      </c>
      <c r="AM98" s="190">
        <v>3.7988262762668014E-2</v>
      </c>
      <c r="AN98" s="190">
        <v>3.7988262762668014E-2</v>
      </c>
      <c r="AO98" s="190">
        <v>3.7988262762668014E-2</v>
      </c>
      <c r="AP98" s="190">
        <v>3.7988262762668014E-2</v>
      </c>
      <c r="AQ98" s="189">
        <f t="shared" ref="AQ98" si="326">AQ97/AQ92</f>
        <v>3.7988262762668014E-2</v>
      </c>
      <c r="AR98" s="190">
        <v>3.7988262762668014E-2</v>
      </c>
      <c r="AS98" s="190">
        <v>3.7988262762668014E-2</v>
      </c>
      <c r="AT98" s="190">
        <v>3.7988262762668014E-2</v>
      </c>
      <c r="AU98" s="190">
        <v>3.7988262762668014E-2</v>
      </c>
      <c r="AV98" s="189">
        <f t="shared" ref="AV98" si="327">AV97/AV92</f>
        <v>3.7988262762668014E-2</v>
      </c>
    </row>
    <row r="99" spans="1:48" s="259" customFormat="1" outlineLevel="1" x14ac:dyDescent="0.55000000000000004">
      <c r="B99" s="268" t="s">
        <v>34</v>
      </c>
      <c r="C99" s="261"/>
      <c r="D99" s="269">
        <v>127</v>
      </c>
      <c r="E99" s="269">
        <v>130.4</v>
      </c>
      <c r="F99" s="269">
        <v>127.7</v>
      </c>
      <c r="G99" s="269">
        <v>126.5</v>
      </c>
      <c r="H99" s="277">
        <f>SUM(D99:G99)</f>
        <v>511.59999999999997</v>
      </c>
      <c r="I99" s="269">
        <v>126.6</v>
      </c>
      <c r="J99" s="269">
        <v>130</v>
      </c>
      <c r="K99" s="269">
        <v>128.5</v>
      </c>
      <c r="L99" s="269">
        <v>133.1</v>
      </c>
      <c r="M99" s="277">
        <f>SUM(I99:L99)</f>
        <v>518.20000000000005</v>
      </c>
      <c r="N99" s="269">
        <v>140</v>
      </c>
      <c r="O99" s="269">
        <v>143.4</v>
      </c>
      <c r="P99" s="269">
        <v>129.69999999999999</v>
      </c>
      <c r="Q99" s="269">
        <v>131.6</v>
      </c>
      <c r="R99" s="277">
        <f>SUM(N99:Q99)</f>
        <v>544.69999999999993</v>
      </c>
      <c r="S99" s="269">
        <v>133.1</v>
      </c>
      <c r="T99" s="269">
        <v>133.4</v>
      </c>
      <c r="U99" s="269">
        <v>125</v>
      </c>
      <c r="V99" s="269">
        <v>136.14147802171857</v>
      </c>
      <c r="W99" s="277">
        <f>SUM(S99:V99)</f>
        <v>527.64147802171851</v>
      </c>
      <c r="X99" s="269">
        <v>136.14147802171857</v>
      </c>
      <c r="Y99" s="269">
        <v>136.14147802171857</v>
      </c>
      <c r="Z99" s="269">
        <v>136.14147802171857</v>
      </c>
      <c r="AA99" s="269">
        <v>136.14147802171857</v>
      </c>
      <c r="AB99" s="277">
        <f>SUM(X99:AA99)</f>
        <v>544.56591208687428</v>
      </c>
      <c r="AC99" s="269">
        <v>136.14147802171857</v>
      </c>
      <c r="AD99" s="269">
        <v>136.14147802171857</v>
      </c>
      <c r="AE99" s="269">
        <v>136.14147802171857</v>
      </c>
      <c r="AF99" s="269">
        <v>136.14147802171857</v>
      </c>
      <c r="AG99" s="277">
        <f>SUM(AC99:AF99)</f>
        <v>544.56591208687428</v>
      </c>
      <c r="AH99" s="269">
        <v>136.14147802171857</v>
      </c>
      <c r="AI99" s="269">
        <v>136.14147802171857</v>
      </c>
      <c r="AJ99" s="269">
        <v>136.14147802171857</v>
      </c>
      <c r="AK99" s="269">
        <v>136.14147802171857</v>
      </c>
      <c r="AL99" s="277">
        <f>SUM(AH99:AK99)</f>
        <v>544.56591208687428</v>
      </c>
      <c r="AM99" s="269">
        <v>136.14147802171857</v>
      </c>
      <c r="AN99" s="269">
        <v>136.14147802171857</v>
      </c>
      <c r="AO99" s="269">
        <v>136.14147802171857</v>
      </c>
      <c r="AP99" s="269">
        <v>136.14147802171857</v>
      </c>
      <c r="AQ99" s="277">
        <f>SUM(AM99:AP99)</f>
        <v>544.56591208687428</v>
      </c>
      <c r="AR99" s="269">
        <v>136.14147802171857</v>
      </c>
      <c r="AS99" s="269">
        <v>136.14147802171857</v>
      </c>
      <c r="AT99" s="269">
        <v>136.14147802171857</v>
      </c>
      <c r="AU99" s="269">
        <v>136.14147802171857</v>
      </c>
      <c r="AV99" s="277">
        <f>SUM(AR99:AU99)</f>
        <v>544.56591208687428</v>
      </c>
    </row>
    <row r="100" spans="1:48" outlineLevel="1" x14ac:dyDescent="0.55000000000000004">
      <c r="B100" s="181" t="s">
        <v>35</v>
      </c>
      <c r="C100" s="18"/>
      <c r="D100" s="105">
        <v>69.3</v>
      </c>
      <c r="E100" s="105">
        <v>80.2</v>
      </c>
      <c r="F100" s="105">
        <v>86</v>
      </c>
      <c r="G100" s="105">
        <v>82.4</v>
      </c>
      <c r="H100" s="171">
        <f>SUM(D100:G100)</f>
        <v>317.89999999999998</v>
      </c>
      <c r="I100" s="105">
        <v>67.2</v>
      </c>
      <c r="J100" s="105">
        <v>63.7</v>
      </c>
      <c r="K100" s="105">
        <v>66.099999999999994</v>
      </c>
      <c r="L100" s="105">
        <v>84.5</v>
      </c>
      <c r="M100" s="171">
        <f>SUM(I100:L100)</f>
        <v>281.5</v>
      </c>
      <c r="N100" s="105">
        <v>82.6</v>
      </c>
      <c r="O100" s="105">
        <v>79.8</v>
      </c>
      <c r="P100" s="105">
        <v>92.3</v>
      </c>
      <c r="Q100" s="105">
        <v>98.4</v>
      </c>
      <c r="R100" s="49">
        <f>SUM(N100:Q100)</f>
        <v>353.1</v>
      </c>
      <c r="S100" s="48">
        <v>91.3</v>
      </c>
      <c r="T100" s="48">
        <v>79.599999999999994</v>
      </c>
      <c r="U100" s="48">
        <v>81.8</v>
      </c>
      <c r="V100" s="48">
        <f t="shared" ref="V100" si="328">V101*V92</f>
        <v>83.297713762857327</v>
      </c>
      <c r="W100" s="49">
        <f>SUM(S100:V100)</f>
        <v>335.9977137628573</v>
      </c>
      <c r="X100" s="48">
        <f>X101*X92</f>
        <v>85.059818009717929</v>
      </c>
      <c r="Y100" s="48">
        <f>Y101*Y92</f>
        <v>85.717851959361383</v>
      </c>
      <c r="Z100" s="48">
        <f t="shared" ref="Z100:AA100" si="329">Z101*Z92</f>
        <v>86.507771439389145</v>
      </c>
      <c r="AA100" s="48">
        <f t="shared" si="329"/>
        <v>87.750548149176481</v>
      </c>
      <c r="AB100" s="49">
        <f>SUM(X100:AA100)</f>
        <v>345.03598955764494</v>
      </c>
      <c r="AC100" s="48">
        <f>AC101*AC92</f>
        <v>89.348850567299792</v>
      </c>
      <c r="AD100" s="48">
        <f>AD101*AD92</f>
        <v>90.141181668454593</v>
      </c>
      <c r="AE100" s="48">
        <f t="shared" ref="AE100:AF100" si="330">AE101*AE92</f>
        <v>91.029789206789914</v>
      </c>
      <c r="AF100" s="48">
        <f t="shared" si="330"/>
        <v>92.248982522849744</v>
      </c>
      <c r="AG100" s="49">
        <f>SUM(AC100:AF100)</f>
        <v>362.76880396539406</v>
      </c>
      <c r="AH100" s="48">
        <f>AH101*AH92</f>
        <v>93.727709605994818</v>
      </c>
      <c r="AI100" s="48">
        <f>AI101*AI92</f>
        <v>94.618077627752868</v>
      </c>
      <c r="AJ100" s="48">
        <f t="shared" ref="AJ100:AK100" si="331">AJ101*AJ92</f>
        <v>95.578727448652728</v>
      </c>
      <c r="AK100" s="48">
        <f t="shared" si="331"/>
        <v>96.780704887291463</v>
      </c>
      <c r="AL100" s="49">
        <f>SUM(AH100:AK100)</f>
        <v>380.70521956969185</v>
      </c>
      <c r="AM100" s="48">
        <f>AM101*AM92</f>
        <v>98.172141975902434</v>
      </c>
      <c r="AN100" s="48">
        <f>AN101*AN92</f>
        <v>99.134076949700869</v>
      </c>
      <c r="AO100" s="48">
        <f t="shared" ref="AO100:AP100" si="332">AO101*AO92</f>
        <v>100.14731763687284</v>
      </c>
      <c r="AP100" s="48">
        <f t="shared" si="332"/>
        <v>101.33672748499417</v>
      </c>
      <c r="AQ100" s="49">
        <f>SUM(AM100:AP100)</f>
        <v>398.79026404747032</v>
      </c>
      <c r="AR100" s="48">
        <f>AR101*AR92</f>
        <v>102.66444287759523</v>
      </c>
      <c r="AS100" s="48">
        <f>AS101*AS92</f>
        <v>103.67862172638317</v>
      </c>
      <c r="AT100" s="48">
        <f t="shared" ref="AT100:AU100" si="333">AT101*AT92</f>
        <v>104.73025374593375</v>
      </c>
      <c r="AU100" s="48">
        <f t="shared" si="333"/>
        <v>105.9104892529774</v>
      </c>
      <c r="AV100" s="49">
        <f>SUM(AR100:AU100)</f>
        <v>416.98380760288956</v>
      </c>
    </row>
    <row r="101" spans="1:48" s="185" customFormat="1" outlineLevel="1" x14ac:dyDescent="0.55000000000000004">
      <c r="B101" s="182" t="s">
        <v>154</v>
      </c>
      <c r="C101" s="191"/>
      <c r="D101" s="168">
        <f>D100/D92</f>
        <v>4.6077127659574467E-2</v>
      </c>
      <c r="E101" s="168">
        <f t="shared" ref="E101:Q101" si="334">E100/E92</f>
        <v>5.2438864914345497E-2</v>
      </c>
      <c r="F101" s="168">
        <f t="shared" si="334"/>
        <v>5.4248407241531571E-2</v>
      </c>
      <c r="G101" s="168">
        <f t="shared" si="334"/>
        <v>5.2413968577062528E-2</v>
      </c>
      <c r="H101" s="187">
        <f t="shared" si="334"/>
        <v>5.1350390902629703E-2</v>
      </c>
      <c r="I101" s="168">
        <f t="shared" si="334"/>
        <v>4.277257972121444E-2</v>
      </c>
      <c r="J101" s="168">
        <f t="shared" si="334"/>
        <v>5.6143134144191795E-2</v>
      </c>
      <c r="K101" s="168">
        <f t="shared" si="334"/>
        <v>6.9608256107834873E-2</v>
      </c>
      <c r="L101" s="168">
        <f t="shared" si="334"/>
        <v>5.5912128630979954E-2</v>
      </c>
      <c r="M101" s="187">
        <f t="shared" si="334"/>
        <v>5.4484573994503162E-2</v>
      </c>
      <c r="N101" s="168">
        <f t="shared" si="334"/>
        <v>4.9930484192709908E-2</v>
      </c>
      <c r="O101" s="168">
        <f t="shared" si="334"/>
        <v>4.9537525606803648E-2</v>
      </c>
      <c r="P101" s="168">
        <f t="shared" si="334"/>
        <v>5.5656054027978775E-2</v>
      </c>
      <c r="Q101" s="168">
        <f t="shared" si="334"/>
        <v>5.139454716389847E-2</v>
      </c>
      <c r="R101" s="189">
        <f t="shared" ref="R101:U101" si="335">R100/R92</f>
        <v>5.1636395542686682E-2</v>
      </c>
      <c r="S101" s="168">
        <f t="shared" si="335"/>
        <v>4.8669971746894823E-2</v>
      </c>
      <c r="T101" s="168">
        <f t="shared" si="335"/>
        <v>4.6757518796992477E-2</v>
      </c>
      <c r="U101" s="168">
        <f t="shared" si="335"/>
        <v>5.1618602890136929E-2</v>
      </c>
      <c r="V101" s="190">
        <v>5.1618602890136929E-2</v>
      </c>
      <c r="W101" s="189">
        <f t="shared" ref="W101" si="336">W100/W92</f>
        <v>4.9581207674051116E-2</v>
      </c>
      <c r="X101" s="190">
        <v>5.1618602890136929E-2</v>
      </c>
      <c r="Y101" s="190">
        <v>5.1618602890136929E-2</v>
      </c>
      <c r="Z101" s="190">
        <v>5.1618602890136929E-2</v>
      </c>
      <c r="AA101" s="190">
        <v>5.1618602890136929E-2</v>
      </c>
      <c r="AB101" s="189">
        <f t="shared" ref="AB101" si="337">AB100/AB92</f>
        <v>5.1618602890136922E-2</v>
      </c>
      <c r="AC101" s="190">
        <v>5.1618602890136929E-2</v>
      </c>
      <c r="AD101" s="190">
        <v>5.1618602890136929E-2</v>
      </c>
      <c r="AE101" s="190">
        <v>5.1618602890136929E-2</v>
      </c>
      <c r="AF101" s="190">
        <v>5.1618602890136929E-2</v>
      </c>
      <c r="AG101" s="189">
        <f t="shared" ref="AG101" si="338">AG100/AG92</f>
        <v>5.1618602890136936E-2</v>
      </c>
      <c r="AH101" s="190">
        <v>5.1618602890136929E-2</v>
      </c>
      <c r="AI101" s="190">
        <v>5.1618602890136929E-2</v>
      </c>
      <c r="AJ101" s="190">
        <v>5.1618602890136929E-2</v>
      </c>
      <c r="AK101" s="190">
        <v>5.1618602890136929E-2</v>
      </c>
      <c r="AL101" s="189">
        <f t="shared" ref="AL101" si="339">AL100/AL92</f>
        <v>5.1618602890136922E-2</v>
      </c>
      <c r="AM101" s="190">
        <v>5.1618602890136929E-2</v>
      </c>
      <c r="AN101" s="190">
        <v>5.1618602890136929E-2</v>
      </c>
      <c r="AO101" s="190">
        <v>5.1618602890136929E-2</v>
      </c>
      <c r="AP101" s="190">
        <v>5.1618602890136929E-2</v>
      </c>
      <c r="AQ101" s="189">
        <f t="shared" ref="AQ101" si="340">AQ100/AQ92</f>
        <v>5.1618602890136929E-2</v>
      </c>
      <c r="AR101" s="190">
        <v>5.1618602890136929E-2</v>
      </c>
      <c r="AS101" s="190">
        <v>5.1618602890136929E-2</v>
      </c>
      <c r="AT101" s="190">
        <v>5.1618602890136929E-2</v>
      </c>
      <c r="AU101" s="190">
        <v>5.1618602890136929E-2</v>
      </c>
      <c r="AV101" s="189">
        <f t="shared" ref="AV101" si="341">AV100/AV92</f>
        <v>5.1618602890136929E-2</v>
      </c>
    </row>
    <row r="102" spans="1:48" s="259" customFormat="1" ht="16.2" outlineLevel="1" x14ac:dyDescent="0.85">
      <c r="B102" s="268" t="s">
        <v>42</v>
      </c>
      <c r="C102" s="261"/>
      <c r="D102" s="272">
        <v>6.4</v>
      </c>
      <c r="E102" s="272">
        <v>24.2</v>
      </c>
      <c r="F102" s="272">
        <v>16.600000000000001</v>
      </c>
      <c r="G102" s="272">
        <v>12</v>
      </c>
      <c r="H102" s="273">
        <f>SUM(D102:G102)</f>
        <v>59.2</v>
      </c>
      <c r="I102" s="272">
        <v>0.8</v>
      </c>
      <c r="J102" s="272">
        <v>-1.2</v>
      </c>
      <c r="K102" s="272">
        <v>-0.2</v>
      </c>
      <c r="L102" s="272">
        <v>-0.6</v>
      </c>
      <c r="M102" s="273">
        <f>SUM(I102:L102)</f>
        <v>-1.1999999999999997</v>
      </c>
      <c r="N102" s="272">
        <v>0</v>
      </c>
      <c r="O102" s="272">
        <v>0</v>
      </c>
      <c r="P102" s="272">
        <v>0</v>
      </c>
      <c r="Q102" s="272">
        <v>0</v>
      </c>
      <c r="R102" s="273">
        <f>SUM(N102:Q102)</f>
        <v>0</v>
      </c>
      <c r="S102" s="272">
        <v>0</v>
      </c>
      <c r="T102" s="272">
        <v>0</v>
      </c>
      <c r="U102" s="272">
        <v>0</v>
      </c>
      <c r="V102" s="272">
        <v>0</v>
      </c>
      <c r="W102" s="273">
        <f>SUM(S102:V102)</f>
        <v>0</v>
      </c>
      <c r="X102" s="272">
        <v>0</v>
      </c>
      <c r="Y102" s="272">
        <v>0</v>
      </c>
      <c r="Z102" s="272">
        <v>0</v>
      </c>
      <c r="AA102" s="272">
        <v>0</v>
      </c>
      <c r="AB102" s="273">
        <f>SUM(X102:AA102)</f>
        <v>0</v>
      </c>
      <c r="AC102" s="272">
        <v>0</v>
      </c>
      <c r="AD102" s="272">
        <v>0</v>
      </c>
      <c r="AE102" s="272">
        <v>0</v>
      </c>
      <c r="AF102" s="272">
        <v>0</v>
      </c>
      <c r="AG102" s="273">
        <f>SUM(AC102:AF102)</f>
        <v>0</v>
      </c>
      <c r="AH102" s="272">
        <v>0</v>
      </c>
      <c r="AI102" s="272">
        <v>0</v>
      </c>
      <c r="AJ102" s="272">
        <v>0</v>
      </c>
      <c r="AK102" s="272">
        <v>0</v>
      </c>
      <c r="AL102" s="273">
        <f>SUM(AH102:AK102)</f>
        <v>0</v>
      </c>
      <c r="AM102" s="272">
        <v>0</v>
      </c>
      <c r="AN102" s="272">
        <v>0</v>
      </c>
      <c r="AO102" s="272">
        <v>0</v>
      </c>
      <c r="AP102" s="272">
        <v>0</v>
      </c>
      <c r="AQ102" s="273">
        <f>SUM(AM102:AP102)</f>
        <v>0</v>
      </c>
      <c r="AR102" s="272">
        <v>0</v>
      </c>
      <c r="AS102" s="272">
        <v>0</v>
      </c>
      <c r="AT102" s="272">
        <v>0</v>
      </c>
      <c r="AU102" s="272">
        <v>0</v>
      </c>
      <c r="AV102" s="273">
        <f>SUM(AR102:AU102)</f>
        <v>0</v>
      </c>
    </row>
    <row r="103" spans="1:48" outlineLevel="1" x14ac:dyDescent="0.55000000000000004">
      <c r="B103" s="46" t="s">
        <v>123</v>
      </c>
      <c r="C103" s="19"/>
      <c r="D103" s="103">
        <f>D93+D95+D97+D99+D100+D102</f>
        <v>1300.4000000000001</v>
      </c>
      <c r="E103" s="103">
        <f t="shared" ref="E103:G103" si="342">E93+E95+E97+E99+E100+E102</f>
        <v>1349.7</v>
      </c>
      <c r="F103" s="103">
        <f t="shared" si="342"/>
        <v>1342.3000000000002</v>
      </c>
      <c r="G103" s="103">
        <f t="shared" si="342"/>
        <v>1336.2000000000003</v>
      </c>
      <c r="H103" s="172">
        <f>H93+H95+H97+H99+H100+H102</f>
        <v>5328.5999999999995</v>
      </c>
      <c r="I103" s="103">
        <f>I93+I95+I97+I99+I100+I102</f>
        <v>1326.1</v>
      </c>
      <c r="J103" s="103">
        <f t="shared" ref="J103:L103" si="343">J93+J95+J97+J99+J100+J102</f>
        <v>1174.8</v>
      </c>
      <c r="K103" s="103">
        <f t="shared" si="343"/>
        <v>1052.9999999999998</v>
      </c>
      <c r="L103" s="103">
        <f t="shared" si="343"/>
        <v>1358.8000000000002</v>
      </c>
      <c r="M103" s="172">
        <f>M93+M95+M97+M99+M100+M102</f>
        <v>4912.7000000000007</v>
      </c>
      <c r="N103" s="103">
        <f>N93+N95+N97+N99+N100+N102</f>
        <v>1405.8</v>
      </c>
      <c r="O103" s="103">
        <f t="shared" ref="O103:P103" si="344">O93+O95+O97+O99+O100+O102</f>
        <v>1386.2</v>
      </c>
      <c r="P103" s="103">
        <f t="shared" si="344"/>
        <v>1382.1</v>
      </c>
      <c r="Q103" s="103">
        <f>Q93+Q95+Q97+Q99+Q100+Q102</f>
        <v>1577.5</v>
      </c>
      <c r="R103" s="172">
        <f>R93+R95+R97+R99+R100+R102</f>
        <v>5751.6</v>
      </c>
      <c r="S103" s="103">
        <f>S93+S95+S97+S99+S100+S102</f>
        <v>1577</v>
      </c>
      <c r="T103" s="103">
        <f t="shared" ref="T103:V103" si="345">T93+T95+T97+T99+T100+T102</f>
        <v>1522.3</v>
      </c>
      <c r="U103" s="103">
        <f t="shared" si="345"/>
        <v>1449.8</v>
      </c>
      <c r="V103" s="103">
        <f t="shared" si="345"/>
        <v>1484.8076268236973</v>
      </c>
      <c r="W103" s="172">
        <f>W93+W95+W97+W99+W100+W102</f>
        <v>6033.9076268236977</v>
      </c>
      <c r="X103" s="103">
        <f>X93+X95+X97+X99+X100+X102</f>
        <v>1510.4738778335625</v>
      </c>
      <c r="Y103" s="103">
        <f t="shared" ref="Y103:AA103" si="346">Y93+Y95+Y97+Y99+Y100+Y102</f>
        <v>1526.7960228927745</v>
      </c>
      <c r="Z103" s="103">
        <f t="shared" si="346"/>
        <v>1544.2343580826109</v>
      </c>
      <c r="AA103" s="103">
        <f t="shared" si="346"/>
        <v>1565.505371269544</v>
      </c>
      <c r="AB103" s="172">
        <f>AB93+AB95+AB97+AB99+AB100+AB102</f>
        <v>6147.0096300784917</v>
      </c>
      <c r="AC103" s="103">
        <f>AC93+AC95+AC97+AC99+AC100+AC102</f>
        <v>1589.7853141371743</v>
      </c>
      <c r="AD103" s="103">
        <f t="shared" ref="AD103:AF103" si="347">AD93+AD95+AD97+AD99+AD100+AD102</f>
        <v>1607.2440596608276</v>
      </c>
      <c r="AE103" s="103">
        <f t="shared" si="347"/>
        <v>1625.5176239798363</v>
      </c>
      <c r="AF103" s="103">
        <f t="shared" si="347"/>
        <v>1646.5890432367264</v>
      </c>
      <c r="AG103" s="172">
        <f>AG93+AG95+AG97+AG99+AG100+AG102</f>
        <v>6469.1360410145644</v>
      </c>
      <c r="AH103" s="103">
        <f>AH93+AH95+AH97+AH99+AH100+AH102</f>
        <v>1669.8569811605246</v>
      </c>
      <c r="AI103" s="103">
        <f t="shared" ref="AI103:AK103" si="348">AI93+AI95+AI97+AI99+AI100+AI102</f>
        <v>1688.1454450232202</v>
      </c>
      <c r="AJ103" s="103">
        <f t="shared" si="348"/>
        <v>1707.028726606525</v>
      </c>
      <c r="AK103" s="103">
        <f t="shared" si="348"/>
        <v>1727.9544422944832</v>
      </c>
      <c r="AL103" s="172">
        <f>AL93+AL95+AL97+AL99+AL100+AL102</f>
        <v>6792.9855950847523</v>
      </c>
      <c r="AM103" s="103">
        <f>AM93+AM95+AM97+AM99+AM100+AM102</f>
        <v>1750.4836166092846</v>
      </c>
      <c r="AN103" s="103">
        <f t="shared" ref="AN103:AP103" si="349">AN93+AN95+AN97+AN99+AN100+AN102</f>
        <v>1769.3777748594805</v>
      </c>
      <c r="AO103" s="103">
        <f t="shared" si="349"/>
        <v>1788.7061500457216</v>
      </c>
      <c r="AP103" s="103">
        <f t="shared" si="349"/>
        <v>1809.5255021283594</v>
      </c>
      <c r="AQ103" s="172">
        <f>AQ93+AQ95+AQ97+AQ99+AQ100+AQ102</f>
        <v>7118.0930436428462</v>
      </c>
      <c r="AR103" s="103">
        <f>AR93+AR95+AR97+AR99+AR100+AR102</f>
        <v>1831.5153790085931</v>
      </c>
      <c r="AS103" s="103">
        <f t="shared" ref="AS103:AU103" si="350">AS93+AS95+AS97+AS99+AS100+AS102</f>
        <v>1850.8516941616645</v>
      </c>
      <c r="AT103" s="103">
        <f t="shared" si="350"/>
        <v>1870.5049876780492</v>
      </c>
      <c r="AU103" s="103">
        <f t="shared" si="350"/>
        <v>1891.2466943288032</v>
      </c>
      <c r="AV103" s="172">
        <f>AV93+AV95+AV97+AV99+AV100+AV102</f>
        <v>7444.1187551771091</v>
      </c>
    </row>
    <row r="104" spans="1:48" ht="16.2" outlineLevel="1" x14ac:dyDescent="0.85">
      <c r="B104" s="181" t="s">
        <v>36</v>
      </c>
      <c r="C104" s="18"/>
      <c r="D104" s="119">
        <v>26.4</v>
      </c>
      <c r="E104" s="104">
        <v>22.1</v>
      </c>
      <c r="F104" s="104">
        <v>27.2</v>
      </c>
      <c r="G104" s="104">
        <v>26.8</v>
      </c>
      <c r="H104" s="223">
        <f>SUM(D104:G104)</f>
        <v>102.5</v>
      </c>
      <c r="I104" s="104">
        <v>30.9</v>
      </c>
      <c r="J104" s="104">
        <v>24.8</v>
      </c>
      <c r="K104" s="104">
        <v>17.399999999999999</v>
      </c>
      <c r="L104" s="104">
        <v>29.2</v>
      </c>
      <c r="M104" s="223">
        <f>SUM(I104:L104)</f>
        <v>102.3</v>
      </c>
      <c r="N104" s="104">
        <v>26.3</v>
      </c>
      <c r="O104" s="104">
        <v>26.8</v>
      </c>
      <c r="P104" s="104">
        <v>42</v>
      </c>
      <c r="Q104" s="104">
        <v>40.299999999999997</v>
      </c>
      <c r="R104" s="194">
        <f>SUM(N104:Q104)</f>
        <v>135.39999999999998</v>
      </c>
      <c r="S104" s="104">
        <v>0.7</v>
      </c>
      <c r="T104" s="104">
        <v>0.6</v>
      </c>
      <c r="U104" s="104">
        <v>0.4</v>
      </c>
      <c r="V104" s="56">
        <v>0.4</v>
      </c>
      <c r="W104" s="194">
        <f>SUM(S104:V104)</f>
        <v>2.0999999999999996</v>
      </c>
      <c r="X104" s="56">
        <v>0.4</v>
      </c>
      <c r="Y104" s="56">
        <v>0.4</v>
      </c>
      <c r="Z104" s="56">
        <v>0.4</v>
      </c>
      <c r="AA104" s="56">
        <v>0.4</v>
      </c>
      <c r="AB104" s="194">
        <f>SUM(X104:AA104)</f>
        <v>1.6</v>
      </c>
      <c r="AC104" s="56">
        <v>0.4</v>
      </c>
      <c r="AD104" s="56">
        <v>0.4</v>
      </c>
      <c r="AE104" s="56">
        <v>0.4</v>
      </c>
      <c r="AF104" s="56">
        <v>0.4</v>
      </c>
      <c r="AG104" s="194">
        <f>SUM(AC104:AF104)</f>
        <v>1.6</v>
      </c>
      <c r="AH104" s="56">
        <v>0.4</v>
      </c>
      <c r="AI104" s="56">
        <v>0.4</v>
      </c>
      <c r="AJ104" s="56">
        <v>0.4</v>
      </c>
      <c r="AK104" s="56">
        <v>0.4</v>
      </c>
      <c r="AL104" s="194">
        <f>SUM(AH104:AK104)</f>
        <v>1.6</v>
      </c>
      <c r="AM104" s="56">
        <v>0.4</v>
      </c>
      <c r="AN104" s="56">
        <v>0.4</v>
      </c>
      <c r="AO104" s="56">
        <v>0.4</v>
      </c>
      <c r="AP104" s="56">
        <v>0.4</v>
      </c>
      <c r="AQ104" s="194">
        <f>SUM(AM104:AP104)</f>
        <v>1.6</v>
      </c>
      <c r="AR104" s="56">
        <v>0.4</v>
      </c>
      <c r="AS104" s="56">
        <v>0.4</v>
      </c>
      <c r="AT104" s="56">
        <v>0.4</v>
      </c>
      <c r="AU104" s="56">
        <v>0.4</v>
      </c>
      <c r="AV104" s="194">
        <f>SUM(AR104:AU104)</f>
        <v>1.6</v>
      </c>
    </row>
    <row r="105" spans="1:48" outlineLevel="1" x14ac:dyDescent="0.55000000000000004">
      <c r="B105" s="46" t="s">
        <v>124</v>
      </c>
      <c r="C105" s="44"/>
      <c r="D105" s="157">
        <f>+D92-D103+D104</f>
        <v>229.99999999999991</v>
      </c>
      <c r="E105" s="157">
        <f t="shared" ref="E105:V105" si="351">+E92-E103+E104</f>
        <v>201.80000000000004</v>
      </c>
      <c r="F105" s="157">
        <f t="shared" si="351"/>
        <v>270.19999999999976</v>
      </c>
      <c r="G105" s="157">
        <f t="shared" si="351"/>
        <v>262.69999999999987</v>
      </c>
      <c r="H105" s="133">
        <f>SUM(D105:G105)</f>
        <v>964.69999999999959</v>
      </c>
      <c r="I105" s="157">
        <f t="shared" si="351"/>
        <v>275.89999999999998</v>
      </c>
      <c r="J105" s="157">
        <f t="shared" si="351"/>
        <v>-15.400000000000045</v>
      </c>
      <c r="K105" s="157">
        <f>+K92-K103+K104</f>
        <v>-85.999999999999744</v>
      </c>
      <c r="L105" s="157">
        <f t="shared" si="351"/>
        <v>181.69999999999976</v>
      </c>
      <c r="M105" s="133">
        <f>SUM(I105:L105)</f>
        <v>356.19999999999993</v>
      </c>
      <c r="N105" s="157">
        <f t="shared" si="351"/>
        <v>274.8</v>
      </c>
      <c r="O105" s="157">
        <f t="shared" si="351"/>
        <v>251.50000000000006</v>
      </c>
      <c r="P105" s="157">
        <f t="shared" si="351"/>
        <v>318.29999999999995</v>
      </c>
      <c r="Q105" s="157">
        <f t="shared" si="351"/>
        <v>377.39999999999992</v>
      </c>
      <c r="R105" s="97">
        <f>SUM(N105:Q105)</f>
        <v>1222</v>
      </c>
      <c r="S105" s="74">
        <f t="shared" si="351"/>
        <v>299.59999999999985</v>
      </c>
      <c r="T105" s="74">
        <f t="shared" si="351"/>
        <v>180.70000000000013</v>
      </c>
      <c r="U105" s="74">
        <f t="shared" si="351"/>
        <v>135.3000000000001</v>
      </c>
      <c r="V105" s="74">
        <f t="shared" si="351"/>
        <v>129.30737317630283</v>
      </c>
      <c r="W105" s="97">
        <f>SUM(S105:V105)</f>
        <v>744.90737317630283</v>
      </c>
      <c r="X105" s="74">
        <f t="shared" ref="X105:AA105" si="352">+X92-X103+X104</f>
        <v>137.77812216643761</v>
      </c>
      <c r="Y105" s="74">
        <f t="shared" si="352"/>
        <v>134.20397710722537</v>
      </c>
      <c r="Z105" s="74">
        <f t="shared" si="352"/>
        <v>132.0686419173891</v>
      </c>
      <c r="AA105" s="74">
        <f t="shared" si="352"/>
        <v>134.87376873045596</v>
      </c>
      <c r="AB105" s="97">
        <f>SUM(X105:AA105)</f>
        <v>538.92450992150805</v>
      </c>
      <c r="AC105" s="74">
        <f t="shared" ref="AC105:AF105" si="353">+AC92-AC103+AC104</f>
        <v>141.55751586282568</v>
      </c>
      <c r="AD105" s="74">
        <f t="shared" si="353"/>
        <v>139.44849033917254</v>
      </c>
      <c r="AE105" s="74">
        <f t="shared" si="353"/>
        <v>138.38979602016357</v>
      </c>
      <c r="AF105" s="74">
        <f t="shared" si="353"/>
        <v>140.9376389632736</v>
      </c>
      <c r="AG105" s="97">
        <f>SUM(AC105:AF105)</f>
        <v>560.33344118543539</v>
      </c>
      <c r="AH105" s="74">
        <f t="shared" ref="AH105:AK105" si="354">+AH92-AH103+AH104</f>
        <v>146.31687473947537</v>
      </c>
      <c r="AI105" s="74">
        <f t="shared" si="354"/>
        <v>145.27738647677975</v>
      </c>
      <c r="AJ105" s="74">
        <f t="shared" si="354"/>
        <v>145.00463999347508</v>
      </c>
      <c r="AK105" s="74">
        <f t="shared" si="354"/>
        <v>147.36466571151678</v>
      </c>
      <c r="AL105" s="97">
        <f>SUM(AH105:AK105)</f>
        <v>583.96356692124698</v>
      </c>
      <c r="AM105" s="74">
        <f t="shared" ref="AM105:AP105" si="355">+AM92-AM103+AM104</f>
        <v>151.79160819771542</v>
      </c>
      <c r="AN105" s="74">
        <f t="shared" si="355"/>
        <v>151.53288213551937</v>
      </c>
      <c r="AO105" s="74">
        <f t="shared" si="355"/>
        <v>151.83387757227834</v>
      </c>
      <c r="AP105" s="74">
        <f t="shared" si="355"/>
        <v>154.05679671602061</v>
      </c>
      <c r="AQ105" s="97">
        <f>SUM(AM105:AP105)</f>
        <v>609.21516462153375</v>
      </c>
      <c r="AR105" s="74">
        <f t="shared" ref="AR105:AU105" si="356">+AR92-AR103+AR104</f>
        <v>157.78856510051688</v>
      </c>
      <c r="AS105" s="74">
        <f t="shared" si="356"/>
        <v>158.09979544468538</v>
      </c>
      <c r="AT105" s="74">
        <f t="shared" si="356"/>
        <v>158.81962248309051</v>
      </c>
      <c r="AU105" s="74">
        <f t="shared" si="356"/>
        <v>160.94245382759428</v>
      </c>
      <c r="AV105" s="97">
        <f>SUM(AR105:AU105)</f>
        <v>635.65043685588705</v>
      </c>
    </row>
    <row r="106" spans="1:48" outlineLevel="1" x14ac:dyDescent="0.55000000000000004">
      <c r="B106" s="46" t="s">
        <v>125</v>
      </c>
      <c r="C106" s="44"/>
      <c r="D106" s="158">
        <f t="shared" ref="D106:G106" si="357">+D105/D92</f>
        <v>0.15292553191489355</v>
      </c>
      <c r="E106" s="158">
        <f t="shared" si="357"/>
        <v>0.1319471688243756</v>
      </c>
      <c r="F106" s="158">
        <f t="shared" si="357"/>
        <v>0.17044092600769556</v>
      </c>
      <c r="G106" s="158">
        <f t="shared" si="357"/>
        <v>0.16710132943196987</v>
      </c>
      <c r="H106" s="134">
        <f>H105/H92</f>
        <v>0.15582800284292814</v>
      </c>
      <c r="I106" s="158">
        <f t="shared" ref="I106:L106" si="358">+I105/I92</f>
        <v>0.17560944561135511</v>
      </c>
      <c r="J106" s="158">
        <f t="shared" si="358"/>
        <v>-1.3573065397496956E-2</v>
      </c>
      <c r="K106" s="158">
        <f t="shared" si="358"/>
        <v>-9.0564448188710761E-2</v>
      </c>
      <c r="L106" s="158">
        <f t="shared" si="358"/>
        <v>0.12022761860649757</v>
      </c>
      <c r="M106" s="134">
        <f>M105/M92</f>
        <v>6.8942825068710564E-2</v>
      </c>
      <c r="N106" s="158">
        <f t="shared" ref="N106:Q106" si="359">+N105/N92</f>
        <v>0.16611255515928189</v>
      </c>
      <c r="O106" s="158">
        <f t="shared" si="359"/>
        <v>0.1561239058911168</v>
      </c>
      <c r="P106" s="158">
        <f t="shared" si="359"/>
        <v>0.19193198263386396</v>
      </c>
      <c r="Q106" s="158">
        <f t="shared" si="359"/>
        <v>0.19711689125665932</v>
      </c>
      <c r="R106" s="98">
        <f>R105/R92</f>
        <v>0.17870199760170807</v>
      </c>
      <c r="S106" s="75">
        <f t="shared" ref="S106:V106" si="360">+S105/S92</f>
        <v>0.15971000586385195</v>
      </c>
      <c r="T106" s="75">
        <f t="shared" si="360"/>
        <v>0.1061442669172933</v>
      </c>
      <c r="U106" s="75">
        <f t="shared" si="360"/>
        <v>8.5378936076228998E-2</v>
      </c>
      <c r="V106" s="75">
        <f t="shared" si="360"/>
        <v>8.0130241818600442E-2</v>
      </c>
      <c r="W106" s="98">
        <f>W105/W92</f>
        <v>0.10992160260189529</v>
      </c>
      <c r="X106" s="75">
        <f t="shared" ref="X106:AA106" si="361">+X105/X92</f>
        <v>8.3610738201269047E-2</v>
      </c>
      <c r="Y106" s="75">
        <f t="shared" si="361"/>
        <v>8.0816558537411404E-2</v>
      </c>
      <c r="Z106" s="75">
        <f t="shared" si="361"/>
        <v>7.8804466557664196E-2</v>
      </c>
      <c r="AA106" s="75">
        <f t="shared" si="361"/>
        <v>7.9338484547790369E-2</v>
      </c>
      <c r="AB106" s="98">
        <f>AB105/AB92</f>
        <v>8.0625010454894466E-2</v>
      </c>
      <c r="AC106" s="75">
        <f t="shared" ref="AC106:AF106" si="362">+AC105/AC92</f>
        <v>8.1780584204982493E-2</v>
      </c>
      <c r="AD106" s="75">
        <f t="shared" si="362"/>
        <v>7.9854025798353503E-2</v>
      </c>
      <c r="AE106" s="75">
        <f t="shared" si="362"/>
        <v>7.8474178475621936E-2</v>
      </c>
      <c r="AF106" s="75">
        <f t="shared" si="362"/>
        <v>7.8862701993669335E-2</v>
      </c>
      <c r="AG106" s="98">
        <f>AG105/AG92</f>
        <v>7.9730200255515984E-2</v>
      </c>
      <c r="AH106" s="75">
        <f t="shared" ref="AH106:AK106" si="363">+AH105/AH92</f>
        <v>8.058100091266733E-2</v>
      </c>
      <c r="AI106" s="75">
        <f t="shared" si="363"/>
        <v>7.925563390713268E-2</v>
      </c>
      <c r="AJ106" s="75">
        <f t="shared" si="363"/>
        <v>7.8311744975591471E-2</v>
      </c>
      <c r="AK106" s="75">
        <f t="shared" si="363"/>
        <v>7.8597879280371166E-2</v>
      </c>
      <c r="AL106" s="98">
        <f>AL105/AL92</f>
        <v>7.9177752007935628E-2</v>
      </c>
      <c r="AM106" s="75">
        <f t="shared" ref="AM106:AP106" si="364">+AM105/AM92</f>
        <v>7.9811549263500731E-2</v>
      </c>
      <c r="AN106" s="75">
        <f t="shared" si="364"/>
        <v>7.890239066552282E-2</v>
      </c>
      <c r="AO106" s="75">
        <f t="shared" si="364"/>
        <v>7.8259236658650796E-2</v>
      </c>
      <c r="AP106" s="75">
        <f t="shared" si="364"/>
        <v>7.8472996016063085E-2</v>
      </c>
      <c r="AQ106" s="98">
        <f>AQ105/AQ92</f>
        <v>7.8855575204075309E-2</v>
      </c>
      <c r="AR106" s="75">
        <f t="shared" ref="AR106:AU106" si="365">+AR105/AR92</f>
        <v>7.9334432197124091E-2</v>
      </c>
      <c r="AS106" s="75">
        <f t="shared" si="365"/>
        <v>7.8713339569736848E-2</v>
      </c>
      <c r="AT106" s="75">
        <f t="shared" si="365"/>
        <v>7.8277734760424073E-2</v>
      </c>
      <c r="AU106" s="75">
        <f t="shared" si="365"/>
        <v>7.8440055096405281E-2</v>
      </c>
      <c r="AV106" s="98">
        <f>AV105/AV92</f>
        <v>7.8687437926255627E-2</v>
      </c>
    </row>
    <row r="107" spans="1:48" ht="17.100000000000001" x14ac:dyDescent="0.85">
      <c r="B107" s="282" t="s">
        <v>51</v>
      </c>
      <c r="C107" s="283"/>
      <c r="D107" s="14" t="s">
        <v>19</v>
      </c>
      <c r="E107" s="14" t="s">
        <v>81</v>
      </c>
      <c r="F107" s="14" t="s">
        <v>85</v>
      </c>
      <c r="G107" s="14" t="s">
        <v>95</v>
      </c>
      <c r="H107" s="40" t="s">
        <v>96</v>
      </c>
      <c r="I107" s="14" t="s">
        <v>97</v>
      </c>
      <c r="J107" s="14" t="s">
        <v>98</v>
      </c>
      <c r="K107" s="14" t="s">
        <v>99</v>
      </c>
      <c r="L107" s="14" t="s">
        <v>143</v>
      </c>
      <c r="M107" s="40" t="s">
        <v>144</v>
      </c>
      <c r="N107" s="14" t="s">
        <v>150</v>
      </c>
      <c r="O107" s="14" t="s">
        <v>158</v>
      </c>
      <c r="P107" s="14" t="s">
        <v>160</v>
      </c>
      <c r="Q107" s="14" t="s">
        <v>173</v>
      </c>
      <c r="R107" s="40" t="s">
        <v>174</v>
      </c>
      <c r="S107" s="14" t="s">
        <v>189</v>
      </c>
      <c r="T107" s="14" t="s">
        <v>190</v>
      </c>
      <c r="U107" s="14" t="s">
        <v>205</v>
      </c>
      <c r="V107" s="12" t="s">
        <v>25</v>
      </c>
      <c r="W107" s="42" t="s">
        <v>26</v>
      </c>
      <c r="X107" s="12" t="s">
        <v>27</v>
      </c>
      <c r="Y107" s="12" t="s">
        <v>28</v>
      </c>
      <c r="Z107" s="12" t="s">
        <v>29</v>
      </c>
      <c r="AA107" s="12" t="s">
        <v>30</v>
      </c>
      <c r="AB107" s="42" t="s">
        <v>31</v>
      </c>
      <c r="AC107" s="12" t="s">
        <v>90</v>
      </c>
      <c r="AD107" s="12" t="s">
        <v>91</v>
      </c>
      <c r="AE107" s="12" t="s">
        <v>92</v>
      </c>
      <c r="AF107" s="12" t="s">
        <v>93</v>
      </c>
      <c r="AG107" s="42" t="s">
        <v>94</v>
      </c>
      <c r="AH107" s="12" t="s">
        <v>109</v>
      </c>
      <c r="AI107" s="12" t="s">
        <v>110</v>
      </c>
      <c r="AJ107" s="12" t="s">
        <v>111</v>
      </c>
      <c r="AK107" s="12" t="s">
        <v>112</v>
      </c>
      <c r="AL107" s="42" t="s">
        <v>113</v>
      </c>
      <c r="AM107" s="12" t="s">
        <v>165</v>
      </c>
      <c r="AN107" s="12" t="s">
        <v>166</v>
      </c>
      <c r="AO107" s="12" t="s">
        <v>167</v>
      </c>
      <c r="AP107" s="12" t="s">
        <v>168</v>
      </c>
      <c r="AQ107" s="42" t="s">
        <v>169</v>
      </c>
      <c r="AR107" s="12" t="s">
        <v>196</v>
      </c>
      <c r="AS107" s="12" t="s">
        <v>197</v>
      </c>
      <c r="AT107" s="12" t="s">
        <v>198</v>
      </c>
      <c r="AU107" s="12" t="s">
        <v>199</v>
      </c>
      <c r="AV107" s="42" t="s">
        <v>200</v>
      </c>
    </row>
    <row r="108" spans="1:48" s="8" customFormat="1" outlineLevel="1" x14ac:dyDescent="0.55000000000000004">
      <c r="B108" s="288" t="s">
        <v>126</v>
      </c>
      <c r="C108" s="289"/>
      <c r="D108" s="50">
        <v>504.6</v>
      </c>
      <c r="E108" s="50">
        <v>446.6</v>
      </c>
      <c r="F108" s="103">
        <v>533.29999999999995</v>
      </c>
      <c r="G108" s="50">
        <v>508.1</v>
      </c>
      <c r="H108" s="31">
        <f>SUM(D108:G108)</f>
        <v>1992.6</v>
      </c>
      <c r="I108" s="50">
        <v>494.6</v>
      </c>
      <c r="J108" s="50">
        <v>519.1</v>
      </c>
      <c r="K108" s="50">
        <v>447.3</v>
      </c>
      <c r="L108" s="50">
        <v>464</v>
      </c>
      <c r="M108" s="31">
        <f>SUM(I108:L108)</f>
        <v>1925</v>
      </c>
      <c r="N108" s="50">
        <v>371.4</v>
      </c>
      <c r="O108" s="50">
        <v>369.9</v>
      </c>
      <c r="P108" s="50">
        <v>414</v>
      </c>
      <c r="Q108" s="103">
        <v>438.3</v>
      </c>
      <c r="R108" s="127">
        <f>SUM(N108:Q108)</f>
        <v>1593.6</v>
      </c>
      <c r="S108" s="50">
        <v>417.1</v>
      </c>
      <c r="T108" s="50">
        <v>463.1</v>
      </c>
      <c r="U108" s="50">
        <v>479.7</v>
      </c>
      <c r="V108" s="50">
        <f t="shared" ref="V108" si="366">+Q108*(1+V109)</f>
        <v>508.428</v>
      </c>
      <c r="W108" s="31">
        <f>SUM(S108:V108)</f>
        <v>1868.328</v>
      </c>
      <c r="X108" s="50">
        <f>+S108*(1+X109)</f>
        <v>483.83600000000001</v>
      </c>
      <c r="Y108" s="50">
        <f>+T108*(1+Y109)</f>
        <v>537.19600000000003</v>
      </c>
      <c r="Z108" s="50">
        <f>+U108*(1+Z109)</f>
        <v>556.452</v>
      </c>
      <c r="AA108" s="50">
        <f t="shared" ref="AA108" si="367">+V108*(1+AA109)</f>
        <v>589.77647999999999</v>
      </c>
      <c r="AB108" s="31">
        <f>SUM(X108:AA108)</f>
        <v>2167.2604799999999</v>
      </c>
      <c r="AC108" s="50">
        <f>+X108*(1+AC109)</f>
        <v>561.24975999999992</v>
      </c>
      <c r="AD108" s="50">
        <f>+Y108*(1+AD109)</f>
        <v>623.14735999999994</v>
      </c>
      <c r="AE108" s="50">
        <f>+Z108*(1+AE109)</f>
        <v>645.48431999999991</v>
      </c>
      <c r="AF108" s="50">
        <f t="shared" ref="AF108" si="368">+AA108*(1+AF109)</f>
        <v>684.14071679999995</v>
      </c>
      <c r="AG108" s="31">
        <f>SUM(AC108:AF108)</f>
        <v>2514.0221567999997</v>
      </c>
      <c r="AH108" s="50">
        <f>+AC108*(1+AH109)</f>
        <v>651.04972159999988</v>
      </c>
      <c r="AI108" s="50">
        <f>+AD108*(1+AI109)</f>
        <v>722.85093759999984</v>
      </c>
      <c r="AJ108" s="50">
        <f>+AE108*(1+AJ109)</f>
        <v>748.7618111999999</v>
      </c>
      <c r="AK108" s="50">
        <f t="shared" ref="AK108" si="369">+AF108*(1+AK109)</f>
        <v>793.60323148799989</v>
      </c>
      <c r="AL108" s="31">
        <f>SUM(AH108:AK108)</f>
        <v>2916.2657018879995</v>
      </c>
      <c r="AM108" s="50">
        <f>+AH108*(1+AM109)</f>
        <v>755.21767705599984</v>
      </c>
      <c r="AN108" s="50">
        <f>+AI108*(1+AN109)</f>
        <v>838.50708761599981</v>
      </c>
      <c r="AO108" s="50">
        <f>+AJ108*(1+AO109)</f>
        <v>868.56370099199978</v>
      </c>
      <c r="AP108" s="50">
        <f t="shared" ref="AP108" si="370">+AK108*(1+AP109)</f>
        <v>920.57974852607981</v>
      </c>
      <c r="AQ108" s="31">
        <f>SUM(AM108:AP108)</f>
        <v>3382.868214190079</v>
      </c>
      <c r="AR108" s="50">
        <f>+AM108*(1+AR109)</f>
        <v>876.05250538495977</v>
      </c>
      <c r="AS108" s="50">
        <f>+AN108*(1+AS109)</f>
        <v>972.6682216345597</v>
      </c>
      <c r="AT108" s="50">
        <f>+AO108*(1+AT109)</f>
        <v>1007.5338931507197</v>
      </c>
      <c r="AU108" s="50">
        <f t="shared" ref="AU108" si="371">+AP108*(1+AU109)</f>
        <v>1067.8725082902524</v>
      </c>
      <c r="AV108" s="31">
        <f>SUM(AR108:AU108)</f>
        <v>3924.1271284604913</v>
      </c>
    </row>
    <row r="109" spans="1:48" outlineLevel="1" x14ac:dyDescent="0.55000000000000004">
      <c r="B109" s="69" t="s">
        <v>58</v>
      </c>
      <c r="C109" s="70"/>
      <c r="D109" s="120"/>
      <c r="E109" s="120"/>
      <c r="F109" s="120"/>
      <c r="G109" s="120"/>
      <c r="H109" s="58"/>
      <c r="I109" s="120">
        <f>I108/D108-1</f>
        <v>-1.9817677368212494E-2</v>
      </c>
      <c r="J109" s="120">
        <f t="shared" ref="J109" si="372">J108/E108-1</f>
        <v>0.16233766233766223</v>
      </c>
      <c r="K109" s="120">
        <f>K108/F108-1</f>
        <v>-0.1612600787549221</v>
      </c>
      <c r="L109" s="120">
        <f>L108/G108-1</f>
        <v>-8.6793938201141563E-2</v>
      </c>
      <c r="M109" s="169">
        <f>M108/H108-1</f>
        <v>-3.3925524440429511E-2</v>
      </c>
      <c r="N109" s="120">
        <f>N108/I108-1</f>
        <v>-0.24909017387788124</v>
      </c>
      <c r="O109" s="120">
        <f t="shared" ref="O109" si="373">O108/J108-1</f>
        <v>-0.28742053554228475</v>
      </c>
      <c r="P109" s="120">
        <f>P108/K108-1</f>
        <v>-7.4446680080482941E-2</v>
      </c>
      <c r="Q109" s="120">
        <f>Q108/L108-1</f>
        <v>-5.5387931034482696E-2</v>
      </c>
      <c r="R109" s="169">
        <f>R108/M108-1</f>
        <v>-0.17215584415584417</v>
      </c>
      <c r="S109" s="120">
        <f>S108/N108-1</f>
        <v>0.12304792676359733</v>
      </c>
      <c r="T109" s="120">
        <f t="shared" ref="T109:U109" si="374">T108/O108-1</f>
        <v>0.25195998918626672</v>
      </c>
      <c r="U109" s="120">
        <f t="shared" si="374"/>
        <v>0.15869565217391313</v>
      </c>
      <c r="V109" s="198">
        <v>0.16</v>
      </c>
      <c r="W109" s="169">
        <f>W108/R108-1</f>
        <v>0.172394578313253</v>
      </c>
      <c r="X109" s="198">
        <v>0.16</v>
      </c>
      <c r="Y109" s="198">
        <v>0.16</v>
      </c>
      <c r="Z109" s="198">
        <v>0.16</v>
      </c>
      <c r="AA109" s="198">
        <v>0.16</v>
      </c>
      <c r="AB109" s="169">
        <f>AB108/W108-1</f>
        <v>0.15999999999999992</v>
      </c>
      <c r="AC109" s="198">
        <v>0.16</v>
      </c>
      <c r="AD109" s="198">
        <v>0.16</v>
      </c>
      <c r="AE109" s="198">
        <v>0.16</v>
      </c>
      <c r="AF109" s="198">
        <v>0.16</v>
      </c>
      <c r="AG109" s="169">
        <f>AG108/AB108-1</f>
        <v>0.15999999999999992</v>
      </c>
      <c r="AH109" s="198">
        <v>0.16</v>
      </c>
      <c r="AI109" s="198">
        <v>0.16</v>
      </c>
      <c r="AJ109" s="198">
        <v>0.16</v>
      </c>
      <c r="AK109" s="198">
        <v>0.16</v>
      </c>
      <c r="AL109" s="169">
        <f>AL108/AG108-1</f>
        <v>0.15999999999999992</v>
      </c>
      <c r="AM109" s="198">
        <v>0.16</v>
      </c>
      <c r="AN109" s="198">
        <v>0.16</v>
      </c>
      <c r="AO109" s="198">
        <v>0.16</v>
      </c>
      <c r="AP109" s="198">
        <v>0.16</v>
      </c>
      <c r="AQ109" s="169">
        <f>AQ108/AL108-1</f>
        <v>0.15999999999999992</v>
      </c>
      <c r="AR109" s="198">
        <v>0.16</v>
      </c>
      <c r="AS109" s="198">
        <v>0.16</v>
      </c>
      <c r="AT109" s="198">
        <v>0.16</v>
      </c>
      <c r="AU109" s="198">
        <v>0.16</v>
      </c>
      <c r="AV109" s="169">
        <f>AV108/AQ108-1</f>
        <v>0.15999999999999992</v>
      </c>
    </row>
    <row r="110" spans="1:48" outlineLevel="1" x14ac:dyDescent="0.55000000000000004">
      <c r="B110" s="308" t="s">
        <v>100</v>
      </c>
      <c r="C110" s="309"/>
      <c r="D110" s="48">
        <v>348.4</v>
      </c>
      <c r="E110" s="48">
        <v>305.39999999999998</v>
      </c>
      <c r="F110" s="48">
        <v>377.1</v>
      </c>
      <c r="G110" s="48">
        <v>359.1</v>
      </c>
      <c r="H110" s="76">
        <f>SUM(D110:G110)</f>
        <v>1390</v>
      </c>
      <c r="I110" s="48">
        <v>338.8</v>
      </c>
      <c r="J110" s="48">
        <v>351.6</v>
      </c>
      <c r="K110" s="48">
        <v>319.89999999999998</v>
      </c>
      <c r="L110" s="48">
        <v>327.8</v>
      </c>
      <c r="M110" s="76">
        <f>SUM(I110:L110)</f>
        <v>1338.1000000000001</v>
      </c>
      <c r="N110" s="48">
        <v>233.5</v>
      </c>
      <c r="O110" s="48">
        <v>231.9</v>
      </c>
      <c r="P110" s="48">
        <v>268.3</v>
      </c>
      <c r="Q110" s="105">
        <v>277.5</v>
      </c>
      <c r="R110" s="76">
        <f>SUM(N110:Q110)</f>
        <v>1011.2</v>
      </c>
      <c r="S110" s="48">
        <v>258.8</v>
      </c>
      <c r="T110" s="48">
        <v>300.5</v>
      </c>
      <c r="U110" s="48">
        <v>325.8</v>
      </c>
      <c r="V110" s="48">
        <f t="shared" ref="V110" si="375">V111*V108</f>
        <v>345.31132457786117</v>
      </c>
      <c r="W110" s="76">
        <f>SUM(S110:V110)</f>
        <v>1230.411324577861</v>
      </c>
      <c r="X110" s="48">
        <f t="shared" ref="X110:AA110" si="376">X111*X108</f>
        <v>328.60906566604132</v>
      </c>
      <c r="Y110" s="48">
        <f t="shared" si="376"/>
        <v>364.8498161350845</v>
      </c>
      <c r="Z110" s="48">
        <f t="shared" si="376"/>
        <v>377.92800000000005</v>
      </c>
      <c r="AA110" s="48">
        <f t="shared" si="376"/>
        <v>400.56113651031899</v>
      </c>
      <c r="AB110" s="76">
        <f>SUM(X110:AA110)</f>
        <v>1471.9480183114447</v>
      </c>
      <c r="AC110" s="48">
        <f t="shared" ref="AC110:AF110" si="377">AC111*AC108</f>
        <v>381.18651617260787</v>
      </c>
      <c r="AD110" s="48">
        <f t="shared" si="377"/>
        <v>423.22578671669794</v>
      </c>
      <c r="AE110" s="48">
        <f t="shared" si="377"/>
        <v>438.39648</v>
      </c>
      <c r="AF110" s="48">
        <f t="shared" si="377"/>
        <v>464.65091835197001</v>
      </c>
      <c r="AG110" s="76">
        <f>SUM(AC110:AF110)</f>
        <v>1707.4597012412758</v>
      </c>
      <c r="AH110" s="48">
        <f t="shared" ref="AH110:AK110" si="378">AH111*AH108</f>
        <v>442.17635876022507</v>
      </c>
      <c r="AI110" s="48">
        <f t="shared" si="378"/>
        <v>490.94191259136954</v>
      </c>
      <c r="AJ110" s="48">
        <f t="shared" si="378"/>
        <v>508.53991679999996</v>
      </c>
      <c r="AK110" s="48">
        <f t="shared" si="378"/>
        <v>538.9950652882851</v>
      </c>
      <c r="AL110" s="76">
        <f>SUM(AH110:AK110)</f>
        <v>1980.6532534398796</v>
      </c>
      <c r="AM110" s="48">
        <f t="shared" ref="AM110:AP110" si="379">AM111*AM108</f>
        <v>512.92457616186107</v>
      </c>
      <c r="AN110" s="48">
        <f t="shared" si="379"/>
        <v>569.4926186059887</v>
      </c>
      <c r="AO110" s="48">
        <f t="shared" si="379"/>
        <v>589.90630348799993</v>
      </c>
      <c r="AP110" s="48">
        <f t="shared" si="379"/>
        <v>625.23427573441074</v>
      </c>
      <c r="AQ110" s="76">
        <f>SUM(AM110:AP110)</f>
        <v>2297.5577739902606</v>
      </c>
      <c r="AR110" s="48">
        <f t="shared" ref="AR110:AU110" si="380">AR111*AR108</f>
        <v>594.99250834775887</v>
      </c>
      <c r="AS110" s="48">
        <f t="shared" si="380"/>
        <v>660.61143758294679</v>
      </c>
      <c r="AT110" s="48">
        <f t="shared" si="380"/>
        <v>684.29131204607984</v>
      </c>
      <c r="AU110" s="48">
        <f t="shared" si="380"/>
        <v>725.27175985191639</v>
      </c>
      <c r="AV110" s="76">
        <f>SUM(AR110:AU110)</f>
        <v>2665.1670178287022</v>
      </c>
    </row>
    <row r="111" spans="1:48" s="184" customFormat="1" outlineLevel="1" x14ac:dyDescent="0.55000000000000004">
      <c r="A111" s="249"/>
      <c r="B111" s="182" t="s">
        <v>152</v>
      </c>
      <c r="C111" s="183"/>
      <c r="D111" s="168">
        <f>D110/D108</f>
        <v>0.69044787950852149</v>
      </c>
      <c r="E111" s="168">
        <f t="shared" ref="E111:U111" si="381">E110/E108</f>
        <v>0.68383340797133896</v>
      </c>
      <c r="F111" s="168">
        <f t="shared" si="381"/>
        <v>0.70710669416838567</v>
      </c>
      <c r="G111" s="168">
        <f t="shared" si="381"/>
        <v>0.70675063963786655</v>
      </c>
      <c r="H111" s="189">
        <f t="shared" si="381"/>
        <v>0.69758104988457292</v>
      </c>
      <c r="I111" s="168">
        <f t="shared" si="381"/>
        <v>0.68499797816417307</v>
      </c>
      <c r="J111" s="168">
        <f t="shared" si="381"/>
        <v>0.6773261413985745</v>
      </c>
      <c r="K111" s="168">
        <f t="shared" si="381"/>
        <v>0.71517996870109535</v>
      </c>
      <c r="L111" s="188">
        <f t="shared" si="381"/>
        <v>0.70646551724137929</v>
      </c>
      <c r="M111" s="189">
        <f t="shared" si="381"/>
        <v>0.69511688311688313</v>
      </c>
      <c r="N111" s="188">
        <f t="shared" si="381"/>
        <v>0.62870220786214326</v>
      </c>
      <c r="O111" s="168">
        <f t="shared" si="381"/>
        <v>0.62692619626926205</v>
      </c>
      <c r="P111" s="168">
        <f t="shared" si="381"/>
        <v>0.6480676328502416</v>
      </c>
      <c r="Q111" s="168">
        <f t="shared" si="381"/>
        <v>0.63312799452429835</v>
      </c>
      <c r="R111" s="189">
        <f t="shared" ref="R111" si="382">R110/R108</f>
        <v>0.63453815261044189</v>
      </c>
      <c r="S111" s="188">
        <f t="shared" si="381"/>
        <v>0.62047470630544233</v>
      </c>
      <c r="T111" s="168">
        <f t="shared" si="381"/>
        <v>0.64888792917296478</v>
      </c>
      <c r="U111" s="168">
        <f t="shared" si="381"/>
        <v>0.67917448405253289</v>
      </c>
      <c r="V111" s="190">
        <f>U111</f>
        <v>0.67917448405253289</v>
      </c>
      <c r="W111" s="189">
        <f t="shared" ref="W111" si="383">W110/W108</f>
        <v>0.65856280298633918</v>
      </c>
      <c r="X111" s="190">
        <f>V111</f>
        <v>0.67917448405253289</v>
      </c>
      <c r="Y111" s="190">
        <f>X111</f>
        <v>0.67917448405253289</v>
      </c>
      <c r="Z111" s="190">
        <f>Y111</f>
        <v>0.67917448405253289</v>
      </c>
      <c r="AA111" s="190">
        <f>Z111</f>
        <v>0.67917448405253289</v>
      </c>
      <c r="AB111" s="189">
        <f t="shared" ref="AB111" si="384">AB110/AB108</f>
        <v>0.67917448405253289</v>
      </c>
      <c r="AC111" s="190">
        <f>AA111</f>
        <v>0.67917448405253289</v>
      </c>
      <c r="AD111" s="190">
        <f>AC111</f>
        <v>0.67917448405253289</v>
      </c>
      <c r="AE111" s="190">
        <f>AD111</f>
        <v>0.67917448405253289</v>
      </c>
      <c r="AF111" s="190">
        <f>AE111</f>
        <v>0.67917448405253289</v>
      </c>
      <c r="AG111" s="189">
        <f t="shared" ref="AG111" si="385">AG110/AG108</f>
        <v>0.67917448405253289</v>
      </c>
      <c r="AH111" s="190">
        <f>AF111</f>
        <v>0.67917448405253289</v>
      </c>
      <c r="AI111" s="190">
        <f>AH111</f>
        <v>0.67917448405253289</v>
      </c>
      <c r="AJ111" s="190">
        <f>AI111</f>
        <v>0.67917448405253289</v>
      </c>
      <c r="AK111" s="190">
        <f>AJ111</f>
        <v>0.67917448405253289</v>
      </c>
      <c r="AL111" s="189">
        <f t="shared" ref="AL111" si="386">AL110/AL108</f>
        <v>0.67917448405253278</v>
      </c>
      <c r="AM111" s="190">
        <f>AK111</f>
        <v>0.67917448405253289</v>
      </c>
      <c r="AN111" s="190">
        <f>AM111</f>
        <v>0.67917448405253289</v>
      </c>
      <c r="AO111" s="190">
        <f>AN111</f>
        <v>0.67917448405253289</v>
      </c>
      <c r="AP111" s="190">
        <f>AO111</f>
        <v>0.67917448405253289</v>
      </c>
      <c r="AQ111" s="189">
        <f t="shared" ref="AQ111" si="387">AQ110/AQ108</f>
        <v>0.679174484052533</v>
      </c>
      <c r="AR111" s="190">
        <f>AP111</f>
        <v>0.67917448405253289</v>
      </c>
      <c r="AS111" s="190">
        <f>AR111</f>
        <v>0.67917448405253289</v>
      </c>
      <c r="AT111" s="190">
        <f>AS111</f>
        <v>0.67917448405253289</v>
      </c>
      <c r="AU111" s="190">
        <f>AT111</f>
        <v>0.67917448405253289</v>
      </c>
      <c r="AV111" s="189">
        <f t="shared" ref="AV111" si="388">AV110/AV108</f>
        <v>0.679174484052533</v>
      </c>
    </row>
    <row r="112" spans="1:48" outlineLevel="1" x14ac:dyDescent="0.55000000000000004">
      <c r="B112" s="181" t="s">
        <v>33</v>
      </c>
      <c r="C112" s="18"/>
      <c r="D112" s="48">
        <v>18.600000000000001</v>
      </c>
      <c r="E112" s="48">
        <v>17.100000000000001</v>
      </c>
      <c r="F112" s="48">
        <v>20.2</v>
      </c>
      <c r="G112" s="48">
        <v>20.3</v>
      </c>
      <c r="H112" s="49">
        <f>SUM(D112:G112)</f>
        <v>76.2</v>
      </c>
      <c r="I112" s="48">
        <v>20.6</v>
      </c>
      <c r="J112" s="48">
        <v>17.7</v>
      </c>
      <c r="K112" s="48">
        <v>51.4</v>
      </c>
      <c r="L112" s="48">
        <v>18.5</v>
      </c>
      <c r="M112" s="49">
        <f>SUM(I112:L112)</f>
        <v>108.19999999999999</v>
      </c>
      <c r="N112" s="48">
        <v>11.1</v>
      </c>
      <c r="O112" s="48">
        <v>13.1</v>
      </c>
      <c r="P112" s="48">
        <v>-9.9</v>
      </c>
      <c r="Q112" s="105">
        <v>17</v>
      </c>
      <c r="R112" s="49">
        <f>SUM(N112:Q112)</f>
        <v>31.299999999999997</v>
      </c>
      <c r="S112" s="48">
        <v>11.4</v>
      </c>
      <c r="T112" s="48">
        <v>10.7</v>
      </c>
      <c r="U112" s="48">
        <v>13.6</v>
      </c>
      <c r="V112" s="48">
        <f t="shared" ref="V112" si="389">V113*V108</f>
        <v>14.41446904315197</v>
      </c>
      <c r="W112" s="49">
        <f>SUM(S112:V112)</f>
        <v>50.114469043151971</v>
      </c>
      <c r="X112" s="48">
        <f t="shared" ref="X112:AA112" si="390">X113*X108</f>
        <v>13.717259954138003</v>
      </c>
      <c r="Y112" s="48">
        <f t="shared" si="390"/>
        <v>15.230072128413592</v>
      </c>
      <c r="Z112" s="48">
        <f t="shared" si="390"/>
        <v>15.776</v>
      </c>
      <c r="AA112" s="48">
        <f t="shared" si="390"/>
        <v>16.720784090056284</v>
      </c>
      <c r="AB112" s="49">
        <f>SUM(X112:AA112)</f>
        <v>61.444116172607878</v>
      </c>
      <c r="AC112" s="48">
        <f t="shared" ref="AC112:AF112" si="391">AC113*AC108</f>
        <v>15.912021546800082</v>
      </c>
      <c r="AD112" s="48">
        <f t="shared" si="391"/>
        <v>17.666883668959766</v>
      </c>
      <c r="AE112" s="48">
        <f t="shared" si="391"/>
        <v>18.300159999999998</v>
      </c>
      <c r="AF112" s="48">
        <f t="shared" si="391"/>
        <v>19.39610954446529</v>
      </c>
      <c r="AG112" s="49">
        <f>SUM(AC112:AF112)</f>
        <v>71.275174760225127</v>
      </c>
      <c r="AH112" s="48">
        <f t="shared" ref="AH112:AK112" si="392">AH113*AH108</f>
        <v>18.457944994288095</v>
      </c>
      <c r="AI112" s="48">
        <f t="shared" si="392"/>
        <v>20.493585055993325</v>
      </c>
      <c r="AJ112" s="48">
        <f t="shared" si="392"/>
        <v>21.228185599999996</v>
      </c>
      <c r="AK112" s="48">
        <f t="shared" si="392"/>
        <v>22.499487071579733</v>
      </c>
      <c r="AL112" s="49">
        <f>SUM(AH112:AK112)</f>
        <v>82.679202721861145</v>
      </c>
      <c r="AM112" s="48">
        <f t="shared" ref="AM112:AP112" si="393">AM113*AM108</f>
        <v>21.411216193374187</v>
      </c>
      <c r="AN112" s="48">
        <f t="shared" si="393"/>
        <v>23.772558664952257</v>
      </c>
      <c r="AO112" s="48">
        <f t="shared" si="393"/>
        <v>24.624695295999995</v>
      </c>
      <c r="AP112" s="48">
        <f t="shared" si="393"/>
        <v>26.099405003032491</v>
      </c>
      <c r="AQ112" s="49">
        <f>SUM(AM112:AP112)</f>
        <v>95.90787515735893</v>
      </c>
      <c r="AR112" s="48">
        <f t="shared" ref="AR112:AU112" si="394">AR113*AR108</f>
        <v>24.837010784314057</v>
      </c>
      <c r="AS112" s="48">
        <f t="shared" si="394"/>
        <v>27.576168051344617</v>
      </c>
      <c r="AT112" s="48">
        <f t="shared" si="394"/>
        <v>28.564646543359991</v>
      </c>
      <c r="AU112" s="48">
        <f t="shared" si="394"/>
        <v>30.275309803517683</v>
      </c>
      <c r="AV112" s="49">
        <f>SUM(AR112:AU112)</f>
        <v>111.25313518253635</v>
      </c>
    </row>
    <row r="113" spans="2:48" s="185" customFormat="1" outlineLevel="1" x14ac:dyDescent="0.55000000000000004">
      <c r="B113" s="182" t="s">
        <v>155</v>
      </c>
      <c r="C113" s="191"/>
      <c r="D113" s="188">
        <f>D112/D108</f>
        <v>3.6860879904875153E-2</v>
      </c>
      <c r="E113" s="188">
        <f t="shared" ref="E113:U113" si="395">E112/E108</f>
        <v>3.8289296909986566E-2</v>
      </c>
      <c r="F113" s="188">
        <f t="shared" si="395"/>
        <v>3.7877367335458469E-2</v>
      </c>
      <c r="G113" s="188">
        <f t="shared" si="395"/>
        <v>3.9952765203700058E-2</v>
      </c>
      <c r="H113" s="189">
        <f t="shared" si="395"/>
        <v>3.8241493526046375E-2</v>
      </c>
      <c r="I113" s="188">
        <f t="shared" si="395"/>
        <v>4.1649818034775576E-2</v>
      </c>
      <c r="J113" s="188">
        <f t="shared" si="395"/>
        <v>3.4097476401464072E-2</v>
      </c>
      <c r="K113" s="188">
        <f t="shared" si="395"/>
        <v>0.11491169237648111</v>
      </c>
      <c r="L113" s="188">
        <f t="shared" si="395"/>
        <v>3.9870689655172417E-2</v>
      </c>
      <c r="M113" s="189">
        <f t="shared" si="395"/>
        <v>5.62077922077922E-2</v>
      </c>
      <c r="N113" s="188">
        <f t="shared" si="395"/>
        <v>2.9886914378029081E-2</v>
      </c>
      <c r="O113" s="188">
        <f t="shared" si="395"/>
        <v>3.5414977020816439E-2</v>
      </c>
      <c r="P113" s="188">
        <f t="shared" si="395"/>
        <v>-2.391304347826087E-2</v>
      </c>
      <c r="Q113" s="168">
        <f t="shared" si="395"/>
        <v>3.8786219484371436E-2</v>
      </c>
      <c r="R113" s="189">
        <f t="shared" ref="R113" si="396">R112/R108</f>
        <v>1.964106425702811E-2</v>
      </c>
      <c r="S113" s="188">
        <f t="shared" si="395"/>
        <v>2.7331575161831694E-2</v>
      </c>
      <c r="T113" s="188">
        <f t="shared" si="395"/>
        <v>2.3105160872381774E-2</v>
      </c>
      <c r="U113" s="188">
        <f t="shared" si="395"/>
        <v>2.8351052741296644E-2</v>
      </c>
      <c r="V113" s="190">
        <f>U113</f>
        <v>2.8351052741296644E-2</v>
      </c>
      <c r="W113" s="189">
        <f t="shared" ref="W113" si="397">W112/W108</f>
        <v>2.682316437111255E-2</v>
      </c>
      <c r="X113" s="190">
        <f>V113</f>
        <v>2.8351052741296644E-2</v>
      </c>
      <c r="Y113" s="190">
        <f>X113</f>
        <v>2.8351052741296644E-2</v>
      </c>
      <c r="Z113" s="190">
        <f>Y113</f>
        <v>2.8351052741296644E-2</v>
      </c>
      <c r="AA113" s="190">
        <f>Z113</f>
        <v>2.8351052741296644E-2</v>
      </c>
      <c r="AB113" s="189">
        <f t="shared" ref="AB113" si="398">AB112/AB108</f>
        <v>2.8351052741296644E-2</v>
      </c>
      <c r="AC113" s="190">
        <f>AA113</f>
        <v>2.8351052741296644E-2</v>
      </c>
      <c r="AD113" s="190">
        <f>AC113</f>
        <v>2.8351052741296644E-2</v>
      </c>
      <c r="AE113" s="190">
        <f>AD113</f>
        <v>2.8351052741296644E-2</v>
      </c>
      <c r="AF113" s="190">
        <f>AE113</f>
        <v>2.8351052741296644E-2</v>
      </c>
      <c r="AG113" s="189">
        <f t="shared" ref="AG113" si="399">AG112/AG108</f>
        <v>2.835105274129664E-2</v>
      </c>
      <c r="AH113" s="190">
        <f>AF113</f>
        <v>2.8351052741296644E-2</v>
      </c>
      <c r="AI113" s="190">
        <f>AH113</f>
        <v>2.8351052741296644E-2</v>
      </c>
      <c r="AJ113" s="190">
        <f>AI113</f>
        <v>2.8351052741296644E-2</v>
      </c>
      <c r="AK113" s="190">
        <f>AJ113</f>
        <v>2.8351052741296644E-2</v>
      </c>
      <c r="AL113" s="189">
        <f t="shared" ref="AL113" si="400">AL112/AL108</f>
        <v>2.8351052741296644E-2</v>
      </c>
      <c r="AM113" s="190">
        <f>AK113</f>
        <v>2.8351052741296644E-2</v>
      </c>
      <c r="AN113" s="190">
        <f>AM113</f>
        <v>2.8351052741296644E-2</v>
      </c>
      <c r="AO113" s="190">
        <f>AN113</f>
        <v>2.8351052741296644E-2</v>
      </c>
      <c r="AP113" s="190">
        <f>AO113</f>
        <v>2.8351052741296644E-2</v>
      </c>
      <c r="AQ113" s="189">
        <f t="shared" ref="AQ113" si="401">AQ112/AQ108</f>
        <v>2.8351052741296647E-2</v>
      </c>
      <c r="AR113" s="190">
        <f>AP113</f>
        <v>2.8351052741296644E-2</v>
      </c>
      <c r="AS113" s="190">
        <f>AR113</f>
        <v>2.8351052741296644E-2</v>
      </c>
      <c r="AT113" s="190">
        <f>AS113</f>
        <v>2.8351052741296644E-2</v>
      </c>
      <c r="AU113" s="190">
        <f>AT113</f>
        <v>2.8351052741296644E-2</v>
      </c>
      <c r="AV113" s="189">
        <f t="shared" ref="AV113" si="402">AV112/AV108</f>
        <v>2.8351052741296647E-2</v>
      </c>
    </row>
    <row r="114" spans="2:48" s="259" customFormat="1" outlineLevel="1" x14ac:dyDescent="0.55000000000000004">
      <c r="B114" s="268" t="s">
        <v>34</v>
      </c>
      <c r="C114" s="261"/>
      <c r="D114" s="269">
        <v>0</v>
      </c>
      <c r="E114" s="269">
        <v>12.3</v>
      </c>
      <c r="F114" s="269">
        <v>0.2</v>
      </c>
      <c r="G114" s="269">
        <v>0.3</v>
      </c>
      <c r="H114" s="277">
        <f>SUM(D114:G114)</f>
        <v>12.8</v>
      </c>
      <c r="I114" s="269">
        <v>0.3</v>
      </c>
      <c r="J114" s="269">
        <v>0.3</v>
      </c>
      <c r="K114" s="269">
        <v>0.3</v>
      </c>
      <c r="L114" s="269">
        <v>0.3</v>
      </c>
      <c r="M114" s="277">
        <f>SUM(I114:L114)</f>
        <v>1.2</v>
      </c>
      <c r="N114" s="269">
        <v>0.2</v>
      </c>
      <c r="O114" s="269">
        <v>0.3</v>
      </c>
      <c r="P114" s="269">
        <v>0.2</v>
      </c>
      <c r="Q114" s="269">
        <v>0.3</v>
      </c>
      <c r="R114" s="277">
        <f>SUM(N114:Q114)</f>
        <v>1</v>
      </c>
      <c r="S114" s="269">
        <v>0</v>
      </c>
      <c r="T114" s="269">
        <v>0</v>
      </c>
      <c r="U114" s="269">
        <v>0</v>
      </c>
      <c r="V114" s="269">
        <v>0</v>
      </c>
      <c r="W114" s="277">
        <f>SUM(S114:V114)</f>
        <v>0</v>
      </c>
      <c r="X114" s="269">
        <v>0</v>
      </c>
      <c r="Y114" s="269">
        <v>0</v>
      </c>
      <c r="Z114" s="269">
        <v>0</v>
      </c>
      <c r="AA114" s="269">
        <v>0</v>
      </c>
      <c r="AB114" s="277">
        <f>SUM(X114:AA114)</f>
        <v>0</v>
      </c>
      <c r="AC114" s="269">
        <v>0</v>
      </c>
      <c r="AD114" s="269">
        <v>0</v>
      </c>
      <c r="AE114" s="269">
        <v>0</v>
      </c>
      <c r="AF114" s="269">
        <v>0</v>
      </c>
      <c r="AG114" s="277">
        <f>SUM(AC114:AF114)</f>
        <v>0</v>
      </c>
      <c r="AH114" s="269">
        <v>0</v>
      </c>
      <c r="AI114" s="269">
        <v>0</v>
      </c>
      <c r="AJ114" s="269">
        <v>0</v>
      </c>
      <c r="AK114" s="269">
        <v>0</v>
      </c>
      <c r="AL114" s="277">
        <f>SUM(AH114:AK114)</f>
        <v>0</v>
      </c>
      <c r="AM114" s="269">
        <v>0</v>
      </c>
      <c r="AN114" s="269">
        <v>0</v>
      </c>
      <c r="AO114" s="269">
        <v>0</v>
      </c>
      <c r="AP114" s="269">
        <v>0</v>
      </c>
      <c r="AQ114" s="277">
        <f>SUM(AM114:AP114)</f>
        <v>0</v>
      </c>
      <c r="AR114" s="269">
        <v>0</v>
      </c>
      <c r="AS114" s="269">
        <v>0</v>
      </c>
      <c r="AT114" s="269">
        <v>0</v>
      </c>
      <c r="AU114" s="269">
        <v>0</v>
      </c>
      <c r="AV114" s="277">
        <f>SUM(AR114:AU114)</f>
        <v>0</v>
      </c>
    </row>
    <row r="115" spans="2:48" outlineLevel="1" x14ac:dyDescent="0.55000000000000004">
      <c r="B115" s="181" t="s">
        <v>35</v>
      </c>
      <c r="C115" s="18"/>
      <c r="D115" s="48">
        <v>3.2</v>
      </c>
      <c r="E115" s="48">
        <v>3.1</v>
      </c>
      <c r="F115" s="48">
        <v>2.7</v>
      </c>
      <c r="G115" s="48">
        <v>2.6</v>
      </c>
      <c r="H115" s="49">
        <f>SUM(D115:G115)</f>
        <v>11.6</v>
      </c>
      <c r="I115" s="48">
        <v>2.4</v>
      </c>
      <c r="J115" s="48">
        <v>3</v>
      </c>
      <c r="K115" s="48">
        <v>2.5</v>
      </c>
      <c r="L115" s="48">
        <v>2.5</v>
      </c>
      <c r="M115" s="49">
        <f>SUM(I115:L115)</f>
        <v>10.4</v>
      </c>
      <c r="N115" s="48">
        <v>2.2000000000000002</v>
      </c>
      <c r="O115" s="48">
        <v>2.2999999999999998</v>
      </c>
      <c r="P115" s="48">
        <v>2.9</v>
      </c>
      <c r="Q115" s="105">
        <v>3.4</v>
      </c>
      <c r="R115" s="49">
        <f>SUM(N115:Q115)</f>
        <v>10.8</v>
      </c>
      <c r="S115" s="48">
        <v>3.3</v>
      </c>
      <c r="T115" s="48">
        <v>2.5</v>
      </c>
      <c r="U115" s="48">
        <v>2.2999999999999998</v>
      </c>
      <c r="V115" s="48">
        <f t="shared" ref="V115" si="403">V116*V108</f>
        <v>2.4377410881801125</v>
      </c>
      <c r="W115" s="49">
        <f>SUM(S115:V115)</f>
        <v>10.537741088180113</v>
      </c>
      <c r="X115" s="48">
        <f t="shared" ref="X115:AA115" si="404">X116*X108</f>
        <v>2.3198307275380445</v>
      </c>
      <c r="Y115" s="48">
        <f t="shared" si="404"/>
        <v>2.5756739628934753</v>
      </c>
      <c r="Z115" s="48">
        <f t="shared" si="404"/>
        <v>2.6680000000000001</v>
      </c>
      <c r="AA115" s="48">
        <f t="shared" si="404"/>
        <v>2.8277796622889304</v>
      </c>
      <c r="AB115" s="49">
        <f>SUM(X115:AA115)</f>
        <v>10.391284352720451</v>
      </c>
      <c r="AC115" s="48">
        <f t="shared" ref="AC115:AF115" si="405">AC116*AC108</f>
        <v>2.6910036439441312</v>
      </c>
      <c r="AD115" s="48">
        <f t="shared" si="405"/>
        <v>2.9877817969564306</v>
      </c>
      <c r="AE115" s="48">
        <f t="shared" si="405"/>
        <v>3.0948799999999994</v>
      </c>
      <c r="AF115" s="48">
        <f t="shared" si="405"/>
        <v>3.280224408255159</v>
      </c>
      <c r="AG115" s="49">
        <f>SUM(AC115:AF115)</f>
        <v>12.05388984915572</v>
      </c>
      <c r="AH115" s="48">
        <f t="shared" ref="AH115:AK115" si="406">AH116*AH108</f>
        <v>3.1215642269751922</v>
      </c>
      <c r="AI115" s="48">
        <f t="shared" si="406"/>
        <v>3.4658268844694593</v>
      </c>
      <c r="AJ115" s="48">
        <f t="shared" si="406"/>
        <v>3.5900607999999994</v>
      </c>
      <c r="AK115" s="48">
        <f t="shared" si="406"/>
        <v>3.8050603135759844</v>
      </c>
      <c r="AL115" s="49">
        <f>SUM(AH115:AK115)</f>
        <v>13.982512225020635</v>
      </c>
      <c r="AM115" s="48">
        <f t="shared" ref="AM115:AP115" si="407">AM116*AM108</f>
        <v>3.6210145032912231</v>
      </c>
      <c r="AN115" s="48">
        <f t="shared" si="407"/>
        <v>4.0203591859845726</v>
      </c>
      <c r="AO115" s="48">
        <f t="shared" si="407"/>
        <v>4.164470527999999</v>
      </c>
      <c r="AP115" s="48">
        <f t="shared" si="407"/>
        <v>4.4138699637481418</v>
      </c>
      <c r="AQ115" s="49">
        <f>SUM(AM115:AP115)</f>
        <v>16.219714181023935</v>
      </c>
      <c r="AR115" s="48">
        <f t="shared" ref="AR115:AU115" si="408">AR116*AR108</f>
        <v>4.2003768238178187</v>
      </c>
      <c r="AS115" s="48">
        <f t="shared" si="408"/>
        <v>4.6636166557421044</v>
      </c>
      <c r="AT115" s="48">
        <f t="shared" si="408"/>
        <v>4.8307858124799985</v>
      </c>
      <c r="AU115" s="48">
        <f t="shared" si="408"/>
        <v>5.1200891579478434</v>
      </c>
      <c r="AV115" s="49">
        <f>SUM(AR115:AU115)</f>
        <v>18.814868449987763</v>
      </c>
    </row>
    <row r="116" spans="2:48" s="185" customFormat="1" outlineLevel="1" x14ac:dyDescent="0.55000000000000004">
      <c r="B116" s="182" t="s">
        <v>154</v>
      </c>
      <c r="C116" s="191"/>
      <c r="D116" s="188">
        <f>D115/D108</f>
        <v>6.3416567578279829E-3</v>
      </c>
      <c r="E116" s="188">
        <f t="shared" ref="E116:Q116" si="409">E115/E108</f>
        <v>6.9413345275414241E-3</v>
      </c>
      <c r="F116" s="188">
        <f t="shared" si="409"/>
        <v>5.0628164260266275E-3</v>
      </c>
      <c r="G116" s="188">
        <f t="shared" si="409"/>
        <v>5.1171029324936033E-3</v>
      </c>
      <c r="H116" s="189">
        <f t="shared" si="409"/>
        <v>5.8215396968784505E-3</v>
      </c>
      <c r="I116" s="188">
        <f t="shared" si="409"/>
        <v>4.8524059846340476E-3</v>
      </c>
      <c r="J116" s="188">
        <f t="shared" si="409"/>
        <v>5.7792332883837404E-3</v>
      </c>
      <c r="K116" s="188">
        <f t="shared" si="409"/>
        <v>5.5890900961323492E-3</v>
      </c>
      <c r="L116" s="188">
        <f t="shared" si="409"/>
        <v>5.387931034482759E-3</v>
      </c>
      <c r="M116" s="189">
        <f t="shared" si="409"/>
        <v>5.4025974025974028E-3</v>
      </c>
      <c r="N116" s="188">
        <f t="shared" si="409"/>
        <v>5.9235325794291874E-3</v>
      </c>
      <c r="O116" s="188">
        <f t="shared" si="409"/>
        <v>6.2178967288456337E-3</v>
      </c>
      <c r="P116" s="188">
        <f t="shared" si="409"/>
        <v>7.0048309178743955E-3</v>
      </c>
      <c r="Q116" s="168">
        <f t="shared" si="409"/>
        <v>7.7572438968742862E-3</v>
      </c>
      <c r="R116" s="189">
        <f t="shared" ref="R116:U116" si="410">R115/R108</f>
        <v>6.7771084337349408E-3</v>
      </c>
      <c r="S116" s="188">
        <f t="shared" si="410"/>
        <v>7.9117717573723313E-3</v>
      </c>
      <c r="T116" s="188">
        <f t="shared" si="410"/>
        <v>5.3984020729863956E-3</v>
      </c>
      <c r="U116" s="188">
        <f t="shared" si="410"/>
        <v>4.7946633312486971E-3</v>
      </c>
      <c r="V116" s="190">
        <f>U116</f>
        <v>4.7946633312486971E-3</v>
      </c>
      <c r="W116" s="189">
        <f t="shared" ref="W116" si="411">W115/W108</f>
        <v>5.6401986632861646E-3</v>
      </c>
      <c r="X116" s="190">
        <f>V116</f>
        <v>4.7946633312486971E-3</v>
      </c>
      <c r="Y116" s="190">
        <f>X116</f>
        <v>4.7946633312486971E-3</v>
      </c>
      <c r="Z116" s="190">
        <f>Y116</f>
        <v>4.7946633312486971E-3</v>
      </c>
      <c r="AA116" s="190">
        <f>Z116</f>
        <v>4.7946633312486971E-3</v>
      </c>
      <c r="AB116" s="189">
        <f t="shared" ref="AB116" si="412">AB115/AB108</f>
        <v>4.794663331248698E-3</v>
      </c>
      <c r="AC116" s="190">
        <f>AA116</f>
        <v>4.7946633312486971E-3</v>
      </c>
      <c r="AD116" s="190">
        <f>AC116</f>
        <v>4.7946633312486971E-3</v>
      </c>
      <c r="AE116" s="190">
        <f>AD116</f>
        <v>4.7946633312486971E-3</v>
      </c>
      <c r="AF116" s="190">
        <f>AE116</f>
        <v>4.7946633312486971E-3</v>
      </c>
      <c r="AG116" s="189">
        <f t="shared" ref="AG116" si="413">AG115/AG108</f>
        <v>4.7946633312486962E-3</v>
      </c>
      <c r="AH116" s="190">
        <f>AF116</f>
        <v>4.7946633312486971E-3</v>
      </c>
      <c r="AI116" s="190">
        <f>AH116</f>
        <v>4.7946633312486971E-3</v>
      </c>
      <c r="AJ116" s="190">
        <f>AI116</f>
        <v>4.7946633312486971E-3</v>
      </c>
      <c r="AK116" s="190">
        <f>AJ116</f>
        <v>4.7946633312486971E-3</v>
      </c>
      <c r="AL116" s="189">
        <f t="shared" ref="AL116" si="414">AL115/AL108</f>
        <v>4.7946633312486971E-3</v>
      </c>
      <c r="AM116" s="190">
        <f>AK116</f>
        <v>4.7946633312486971E-3</v>
      </c>
      <c r="AN116" s="190">
        <f>AM116</f>
        <v>4.7946633312486971E-3</v>
      </c>
      <c r="AO116" s="190">
        <f>AN116</f>
        <v>4.7946633312486971E-3</v>
      </c>
      <c r="AP116" s="190">
        <f>AO116</f>
        <v>4.7946633312486971E-3</v>
      </c>
      <c r="AQ116" s="189">
        <f t="shared" ref="AQ116" si="415">AQ115/AQ108</f>
        <v>4.7946633312486971E-3</v>
      </c>
      <c r="AR116" s="190">
        <f>AP116</f>
        <v>4.7946633312486971E-3</v>
      </c>
      <c r="AS116" s="190">
        <f>AR116</f>
        <v>4.7946633312486971E-3</v>
      </c>
      <c r="AT116" s="190">
        <f>AS116</f>
        <v>4.7946633312486971E-3</v>
      </c>
      <c r="AU116" s="190">
        <f>AT116</f>
        <v>4.7946633312486971E-3</v>
      </c>
      <c r="AV116" s="189">
        <f t="shared" ref="AV116" si="416">AV115/AV108</f>
        <v>4.7946633312486971E-3</v>
      </c>
    </row>
    <row r="117" spans="2:48" s="259" customFormat="1" ht="16.2" outlineLevel="1" x14ac:dyDescent="0.85">
      <c r="B117" s="268" t="s">
        <v>42</v>
      </c>
      <c r="C117" s="261"/>
      <c r="D117" s="272">
        <v>0</v>
      </c>
      <c r="E117" s="272">
        <v>0</v>
      </c>
      <c r="F117" s="272">
        <v>0</v>
      </c>
      <c r="G117" s="272">
        <v>0</v>
      </c>
      <c r="H117" s="273">
        <f>SUM(D117:G117)</f>
        <v>0</v>
      </c>
      <c r="I117" s="272">
        <v>0</v>
      </c>
      <c r="J117" s="272">
        <v>0</v>
      </c>
      <c r="K117" s="272">
        <v>0</v>
      </c>
      <c r="L117" s="272">
        <v>0</v>
      </c>
      <c r="M117" s="273">
        <f>SUM(I117:L117)</f>
        <v>0</v>
      </c>
      <c r="N117" s="272">
        <v>0</v>
      </c>
      <c r="O117" s="272">
        <v>0</v>
      </c>
      <c r="P117" s="272">
        <v>0</v>
      </c>
      <c r="Q117" s="272">
        <v>0</v>
      </c>
      <c r="R117" s="273">
        <f>SUM(N117:Q117)</f>
        <v>0</v>
      </c>
      <c r="S117" s="272">
        <v>0</v>
      </c>
      <c r="T117" s="272">
        <v>0</v>
      </c>
      <c r="U117" s="272">
        <v>0</v>
      </c>
      <c r="V117" s="272">
        <v>0</v>
      </c>
      <c r="W117" s="273">
        <f>SUM(S117:V117)</f>
        <v>0</v>
      </c>
      <c r="X117" s="272">
        <v>0</v>
      </c>
      <c r="Y117" s="272">
        <v>0</v>
      </c>
      <c r="Z117" s="272">
        <v>0</v>
      </c>
      <c r="AA117" s="272">
        <v>0</v>
      </c>
      <c r="AB117" s="273">
        <f>SUM(X117:AA117)</f>
        <v>0</v>
      </c>
      <c r="AC117" s="272">
        <v>0</v>
      </c>
      <c r="AD117" s="272">
        <v>0</v>
      </c>
      <c r="AE117" s="272">
        <v>0</v>
      </c>
      <c r="AF117" s="272">
        <v>0</v>
      </c>
      <c r="AG117" s="273">
        <f>SUM(AC117:AF117)</f>
        <v>0</v>
      </c>
      <c r="AH117" s="272">
        <v>0</v>
      </c>
      <c r="AI117" s="272">
        <v>0</v>
      </c>
      <c r="AJ117" s="272">
        <v>0</v>
      </c>
      <c r="AK117" s="272">
        <v>0</v>
      </c>
      <c r="AL117" s="273">
        <f>SUM(AH117:AK117)</f>
        <v>0</v>
      </c>
      <c r="AM117" s="272">
        <v>0</v>
      </c>
      <c r="AN117" s="272">
        <v>0</v>
      </c>
      <c r="AO117" s="272">
        <v>0</v>
      </c>
      <c r="AP117" s="272">
        <v>0</v>
      </c>
      <c r="AQ117" s="273">
        <f>SUM(AM117:AP117)</f>
        <v>0</v>
      </c>
      <c r="AR117" s="272">
        <v>0</v>
      </c>
      <c r="AS117" s="272">
        <v>0</v>
      </c>
      <c r="AT117" s="272">
        <v>0</v>
      </c>
      <c r="AU117" s="272">
        <v>0</v>
      </c>
      <c r="AV117" s="273">
        <f>SUM(AR117:AU117)</f>
        <v>0</v>
      </c>
    </row>
    <row r="118" spans="2:48" outlineLevel="1" x14ac:dyDescent="0.55000000000000004">
      <c r="B118" s="46" t="s">
        <v>52</v>
      </c>
      <c r="C118" s="19"/>
      <c r="D118" s="50">
        <f>D110+D112+D114+D115+D117</f>
        <v>370.2</v>
      </c>
      <c r="E118" s="50">
        <f t="shared" ref="E118:AU118" si="417">E110+E112+E114+E115+E117</f>
        <v>337.90000000000003</v>
      </c>
      <c r="F118" s="50">
        <f t="shared" si="417"/>
        <v>400.2</v>
      </c>
      <c r="G118" s="50">
        <f t="shared" si="417"/>
        <v>382.30000000000007</v>
      </c>
      <c r="H118" s="26">
        <f t="shared" si="417"/>
        <v>1490.6</v>
      </c>
      <c r="I118" s="50">
        <f t="shared" si="417"/>
        <v>362.1</v>
      </c>
      <c r="J118" s="50">
        <f t="shared" si="417"/>
        <v>372.6</v>
      </c>
      <c r="K118" s="50">
        <f t="shared" si="417"/>
        <v>374.09999999999997</v>
      </c>
      <c r="L118" s="50">
        <f t="shared" si="417"/>
        <v>349.1</v>
      </c>
      <c r="M118" s="26">
        <f t="shared" si="417"/>
        <v>1457.9000000000003</v>
      </c>
      <c r="N118" s="50">
        <f t="shared" si="417"/>
        <v>246.99999999999997</v>
      </c>
      <c r="O118" s="50">
        <f t="shared" si="417"/>
        <v>247.60000000000002</v>
      </c>
      <c r="P118" s="50">
        <f t="shared" si="417"/>
        <v>261.5</v>
      </c>
      <c r="Q118" s="103">
        <f t="shared" si="417"/>
        <v>298.2</v>
      </c>
      <c r="R118" s="26">
        <f t="shared" si="417"/>
        <v>1054.3</v>
      </c>
      <c r="S118" s="50">
        <f t="shared" si="417"/>
        <v>273.5</v>
      </c>
      <c r="T118" s="50">
        <f t="shared" si="417"/>
        <v>313.7</v>
      </c>
      <c r="U118" s="50">
        <f t="shared" si="417"/>
        <v>341.70000000000005</v>
      </c>
      <c r="V118" s="50">
        <f t="shared" si="417"/>
        <v>362.1635347091933</v>
      </c>
      <c r="W118" s="26">
        <f t="shared" si="417"/>
        <v>1291.0635347091932</v>
      </c>
      <c r="X118" s="50">
        <f t="shared" si="417"/>
        <v>344.64615634771735</v>
      </c>
      <c r="Y118" s="50">
        <f t="shared" si="417"/>
        <v>382.65556222639157</v>
      </c>
      <c r="Z118" s="50">
        <f t="shared" si="417"/>
        <v>396.37200000000007</v>
      </c>
      <c r="AA118" s="50">
        <f t="shared" si="417"/>
        <v>420.10970026266421</v>
      </c>
      <c r="AB118" s="26">
        <f t="shared" si="417"/>
        <v>1543.7834188367731</v>
      </c>
      <c r="AC118" s="50">
        <f t="shared" ref="AC118:AF118" si="418">AC110+AC112+AC114+AC115+AC117</f>
        <v>399.7895413633521</v>
      </c>
      <c r="AD118" s="50">
        <f t="shared" si="418"/>
        <v>443.88045218261414</v>
      </c>
      <c r="AE118" s="50">
        <f t="shared" si="418"/>
        <v>459.79151999999999</v>
      </c>
      <c r="AF118" s="50">
        <f t="shared" si="418"/>
        <v>487.32725230469043</v>
      </c>
      <c r="AG118" s="26">
        <f t="shared" si="417"/>
        <v>1790.7887658506565</v>
      </c>
      <c r="AH118" s="50">
        <f t="shared" si="417"/>
        <v>463.75586798148834</v>
      </c>
      <c r="AI118" s="50">
        <f t="shared" si="417"/>
        <v>514.9013245318323</v>
      </c>
      <c r="AJ118" s="50">
        <f t="shared" si="417"/>
        <v>533.35816319999992</v>
      </c>
      <c r="AK118" s="50">
        <f t="shared" si="417"/>
        <v>565.29961267344083</v>
      </c>
      <c r="AL118" s="26">
        <f t="shared" si="417"/>
        <v>2077.3149683867614</v>
      </c>
      <c r="AM118" s="50">
        <f t="shared" si="417"/>
        <v>537.95680685852653</v>
      </c>
      <c r="AN118" s="50">
        <f t="shared" si="417"/>
        <v>597.28553645692557</v>
      </c>
      <c r="AO118" s="50">
        <f t="shared" si="417"/>
        <v>618.695469312</v>
      </c>
      <c r="AP118" s="50">
        <f t="shared" si="417"/>
        <v>655.74755070119147</v>
      </c>
      <c r="AQ118" s="26">
        <f t="shared" si="417"/>
        <v>2409.6853633286432</v>
      </c>
      <c r="AR118" s="50">
        <f t="shared" si="417"/>
        <v>624.02989595589077</v>
      </c>
      <c r="AS118" s="50">
        <f t="shared" si="417"/>
        <v>692.85122229003355</v>
      </c>
      <c r="AT118" s="50">
        <f t="shared" si="417"/>
        <v>717.6867444019199</v>
      </c>
      <c r="AU118" s="50">
        <f t="shared" si="417"/>
        <v>760.66715881338189</v>
      </c>
      <c r="AV118" s="26">
        <f t="shared" ref="AV118" si="419">AV110+AV112+AV114+AV115+AV117</f>
        <v>2795.2350214612266</v>
      </c>
    </row>
    <row r="119" spans="2:48" ht="16.2" outlineLevel="1" x14ac:dyDescent="0.85">
      <c r="B119" s="47" t="s">
        <v>36</v>
      </c>
      <c r="C119" s="44"/>
      <c r="D119" s="52">
        <v>41.4</v>
      </c>
      <c r="E119" s="104">
        <v>40.200000000000003</v>
      </c>
      <c r="F119" s="104">
        <v>48.8</v>
      </c>
      <c r="G119" s="104">
        <v>65.099999999999994</v>
      </c>
      <c r="H119" s="194">
        <f>SUM(D119:G119)</f>
        <v>195.49999999999997</v>
      </c>
      <c r="I119" s="104">
        <v>43</v>
      </c>
      <c r="J119" s="104">
        <v>43.1</v>
      </c>
      <c r="K119" s="104">
        <v>51</v>
      </c>
      <c r="L119" s="104">
        <v>83</v>
      </c>
      <c r="M119" s="194">
        <f>SUM(I119:L119)</f>
        <v>220.1</v>
      </c>
      <c r="N119" s="104">
        <v>56.4</v>
      </c>
      <c r="O119" s="104">
        <v>50.3</v>
      </c>
      <c r="P119" s="104">
        <v>63.5</v>
      </c>
      <c r="Q119" s="104">
        <v>79.7</v>
      </c>
      <c r="R119" s="194">
        <f>SUM(N119:Q119)</f>
        <v>249.89999999999998</v>
      </c>
      <c r="S119" s="104">
        <v>39.6</v>
      </c>
      <c r="T119" s="104">
        <v>48.5</v>
      </c>
      <c r="U119" s="104">
        <v>53.7</v>
      </c>
      <c r="V119" s="56">
        <f>U119</f>
        <v>53.7</v>
      </c>
      <c r="W119" s="194">
        <f>SUM(S119:V119)</f>
        <v>195.5</v>
      </c>
      <c r="X119" s="56">
        <f>V119</f>
        <v>53.7</v>
      </c>
      <c r="Y119" s="56">
        <f>X119</f>
        <v>53.7</v>
      </c>
      <c r="Z119" s="56">
        <f>Y119</f>
        <v>53.7</v>
      </c>
      <c r="AA119" s="56">
        <f>Z119</f>
        <v>53.7</v>
      </c>
      <c r="AB119" s="194">
        <f>SUM(X119:AA119)</f>
        <v>214.8</v>
      </c>
      <c r="AC119" s="56">
        <f>AA119</f>
        <v>53.7</v>
      </c>
      <c r="AD119" s="56">
        <f>AC119</f>
        <v>53.7</v>
      </c>
      <c r="AE119" s="56">
        <f>AD119</f>
        <v>53.7</v>
      </c>
      <c r="AF119" s="56">
        <f>AE119</f>
        <v>53.7</v>
      </c>
      <c r="AG119" s="194">
        <f>SUM(AC119:AF119)</f>
        <v>214.8</v>
      </c>
      <c r="AH119" s="56">
        <f>AF119</f>
        <v>53.7</v>
      </c>
      <c r="AI119" s="56">
        <f>AH119</f>
        <v>53.7</v>
      </c>
      <c r="AJ119" s="56">
        <f>AI119</f>
        <v>53.7</v>
      </c>
      <c r="AK119" s="56">
        <f>AJ119</f>
        <v>53.7</v>
      </c>
      <c r="AL119" s="194">
        <f>SUM(AH119:AK119)</f>
        <v>214.8</v>
      </c>
      <c r="AM119" s="56">
        <f>AK119</f>
        <v>53.7</v>
      </c>
      <c r="AN119" s="56">
        <f>AM119</f>
        <v>53.7</v>
      </c>
      <c r="AO119" s="56">
        <f>AN119</f>
        <v>53.7</v>
      </c>
      <c r="AP119" s="56">
        <f>AO119</f>
        <v>53.7</v>
      </c>
      <c r="AQ119" s="194">
        <f>SUM(AM119:AP119)</f>
        <v>214.8</v>
      </c>
      <c r="AR119" s="56">
        <f>AP119</f>
        <v>53.7</v>
      </c>
      <c r="AS119" s="56">
        <f>AR119</f>
        <v>53.7</v>
      </c>
      <c r="AT119" s="56">
        <f>AS119</f>
        <v>53.7</v>
      </c>
      <c r="AU119" s="56">
        <f>AT119</f>
        <v>53.7</v>
      </c>
      <c r="AV119" s="194">
        <f>SUM(AR119:AU119)</f>
        <v>214.8</v>
      </c>
    </row>
    <row r="120" spans="2:48" outlineLevel="1" x14ac:dyDescent="0.55000000000000004">
      <c r="B120" s="46" t="s">
        <v>53</v>
      </c>
      <c r="C120" s="44"/>
      <c r="D120" s="157">
        <f t="shared" ref="D120:AU120" si="420">D108-D118+D119</f>
        <v>175.80000000000004</v>
      </c>
      <c r="E120" s="157">
        <f t="shared" si="420"/>
        <v>148.89999999999998</v>
      </c>
      <c r="F120" s="157">
        <f t="shared" si="420"/>
        <v>181.89999999999998</v>
      </c>
      <c r="G120" s="157">
        <f t="shared" si="420"/>
        <v>190.89999999999995</v>
      </c>
      <c r="H120" s="97">
        <f t="shared" si="420"/>
        <v>697.5</v>
      </c>
      <c r="I120" s="157">
        <f t="shared" si="420"/>
        <v>175.5</v>
      </c>
      <c r="J120" s="157">
        <f t="shared" si="420"/>
        <v>189.6</v>
      </c>
      <c r="K120" s="157">
        <f t="shared" si="420"/>
        <v>124.20000000000005</v>
      </c>
      <c r="L120" s="74">
        <f t="shared" si="420"/>
        <v>197.89999999999998</v>
      </c>
      <c r="M120" s="97">
        <f t="shared" si="420"/>
        <v>687.1999999999997</v>
      </c>
      <c r="N120" s="74">
        <f t="shared" si="420"/>
        <v>180.8</v>
      </c>
      <c r="O120" s="74">
        <f t="shared" si="420"/>
        <v>172.59999999999997</v>
      </c>
      <c r="P120" s="74">
        <f t="shared" si="420"/>
        <v>216</v>
      </c>
      <c r="Q120" s="74">
        <f t="shared" si="420"/>
        <v>219.8</v>
      </c>
      <c r="R120" s="97">
        <f t="shared" si="420"/>
        <v>789.19999999999993</v>
      </c>
      <c r="S120" s="74">
        <f t="shared" si="420"/>
        <v>183.20000000000002</v>
      </c>
      <c r="T120" s="74">
        <f t="shared" si="420"/>
        <v>197.90000000000003</v>
      </c>
      <c r="U120" s="74">
        <f t="shared" si="420"/>
        <v>191.69999999999993</v>
      </c>
      <c r="V120" s="74">
        <f t="shared" si="420"/>
        <v>199.96446529080669</v>
      </c>
      <c r="W120" s="97">
        <f t="shared" si="420"/>
        <v>772.76446529080681</v>
      </c>
      <c r="X120" s="74">
        <f t="shared" si="420"/>
        <v>192.88984365228265</v>
      </c>
      <c r="Y120" s="74">
        <f t="shared" si="420"/>
        <v>208.24043777360845</v>
      </c>
      <c r="Z120" s="74">
        <f t="shared" si="420"/>
        <v>213.77999999999992</v>
      </c>
      <c r="AA120" s="74">
        <f t="shared" si="420"/>
        <v>223.36677973733578</v>
      </c>
      <c r="AB120" s="97">
        <f t="shared" si="420"/>
        <v>838.27706116322679</v>
      </c>
      <c r="AC120" s="74">
        <f t="shared" ref="AC120:AF120" si="421">AC108-AC118+AC119</f>
        <v>215.16021863664781</v>
      </c>
      <c r="AD120" s="74">
        <f t="shared" si="421"/>
        <v>232.96690781738579</v>
      </c>
      <c r="AE120" s="74">
        <f t="shared" si="421"/>
        <v>239.39279999999991</v>
      </c>
      <c r="AF120" s="74">
        <f t="shared" si="421"/>
        <v>250.51346449530951</v>
      </c>
      <c r="AG120" s="97">
        <f t="shared" si="420"/>
        <v>938.03339094934313</v>
      </c>
      <c r="AH120" s="74">
        <f t="shared" si="420"/>
        <v>240.99385361851154</v>
      </c>
      <c r="AI120" s="74">
        <f t="shared" si="420"/>
        <v>261.64961306816753</v>
      </c>
      <c r="AJ120" s="74">
        <f t="shared" si="420"/>
        <v>269.10364799999996</v>
      </c>
      <c r="AK120" s="74">
        <f t="shared" si="420"/>
        <v>282.00361881455905</v>
      </c>
      <c r="AL120" s="97">
        <f t="shared" si="420"/>
        <v>1053.7507335012381</v>
      </c>
      <c r="AM120" s="74">
        <f t="shared" si="420"/>
        <v>270.9608701974733</v>
      </c>
      <c r="AN120" s="74">
        <f t="shared" si="420"/>
        <v>294.92155115907423</v>
      </c>
      <c r="AO120" s="74">
        <f t="shared" si="420"/>
        <v>303.56823167999977</v>
      </c>
      <c r="AP120" s="74">
        <f t="shared" si="420"/>
        <v>318.53219782488833</v>
      </c>
      <c r="AQ120" s="97">
        <f t="shared" si="420"/>
        <v>1187.9828508614357</v>
      </c>
      <c r="AR120" s="74">
        <f t="shared" si="420"/>
        <v>305.722609429069</v>
      </c>
      <c r="AS120" s="74">
        <f t="shared" si="420"/>
        <v>333.51699934452614</v>
      </c>
      <c r="AT120" s="74">
        <f t="shared" si="420"/>
        <v>343.54714874879977</v>
      </c>
      <c r="AU120" s="74">
        <f t="shared" si="420"/>
        <v>360.90534947687053</v>
      </c>
      <c r="AV120" s="97">
        <f t="shared" ref="AV120" si="422">AV108-AV118+AV119</f>
        <v>1343.6921069992648</v>
      </c>
    </row>
    <row r="121" spans="2:48" outlineLevel="1" x14ac:dyDescent="0.55000000000000004">
      <c r="B121" s="46" t="s">
        <v>54</v>
      </c>
      <c r="C121" s="44"/>
      <c r="D121" s="158">
        <f>+D120/D108</f>
        <v>0.34839476813317488</v>
      </c>
      <c r="E121" s="158">
        <f>+E120/E108</f>
        <v>0.33340797133900574</v>
      </c>
      <c r="F121" s="158">
        <f>+F120/F108</f>
        <v>0.34108381773860863</v>
      </c>
      <c r="G121" s="158">
        <f>+G120/G108</f>
        <v>0.37571344223578024</v>
      </c>
      <c r="H121" s="126">
        <f>H120/H108</f>
        <v>0.35004516711833789</v>
      </c>
      <c r="I121" s="158">
        <f t="shared" ref="I121:AU121" si="423">+I120/I108</f>
        <v>0.3548321876263647</v>
      </c>
      <c r="J121" s="158">
        <f t="shared" si="423"/>
        <v>0.36524754382585239</v>
      </c>
      <c r="K121" s="158">
        <f t="shared" si="423"/>
        <v>0.27766599597585523</v>
      </c>
      <c r="L121" s="75">
        <f t="shared" si="423"/>
        <v>0.42650862068965512</v>
      </c>
      <c r="M121" s="98">
        <f t="shared" si="423"/>
        <v>0.35698701298701285</v>
      </c>
      <c r="N121" s="75">
        <f t="shared" si="423"/>
        <v>0.48680667743672595</v>
      </c>
      <c r="O121" s="75">
        <f t="shared" si="423"/>
        <v>0.46661259799945926</v>
      </c>
      <c r="P121" s="75">
        <f t="shared" si="423"/>
        <v>0.52173913043478259</v>
      </c>
      <c r="Q121" s="75">
        <f t="shared" si="423"/>
        <v>0.50148300250969657</v>
      </c>
      <c r="R121" s="98">
        <f t="shared" si="423"/>
        <v>0.49523092369477911</v>
      </c>
      <c r="S121" s="75">
        <f t="shared" si="423"/>
        <v>0.43922320786382163</v>
      </c>
      <c r="T121" s="75">
        <f t="shared" si="423"/>
        <v>0.42733750809760318</v>
      </c>
      <c r="U121" s="75">
        <f t="shared" si="423"/>
        <v>0.3996247654784239</v>
      </c>
      <c r="V121" s="75">
        <f t="shared" si="423"/>
        <v>0.39329947463712989</v>
      </c>
      <c r="W121" s="98">
        <f t="shared" si="423"/>
        <v>0.4136128481138252</v>
      </c>
      <c r="X121" s="75">
        <f t="shared" si="423"/>
        <v>0.39866782060922018</v>
      </c>
      <c r="Y121" s="75">
        <f t="shared" si="423"/>
        <v>0.38764331412298014</v>
      </c>
      <c r="Z121" s="75">
        <f t="shared" si="423"/>
        <v>0.38418408056759595</v>
      </c>
      <c r="AA121" s="75">
        <f t="shared" si="423"/>
        <v>0.37873124363544608</v>
      </c>
      <c r="AB121" s="98">
        <f t="shared" si="423"/>
        <v>0.38679109820856733</v>
      </c>
      <c r="AC121" s="75">
        <f t="shared" ref="AC121:AF121" si="424">+AC120/AC108</f>
        <v>0.38335912809414446</v>
      </c>
      <c r="AD121" s="75">
        <f t="shared" si="424"/>
        <v>0.37385524319221347</v>
      </c>
      <c r="AE121" s="75">
        <f t="shared" si="424"/>
        <v>0.37087314529964094</v>
      </c>
      <c r="AF121" s="75">
        <f t="shared" si="424"/>
        <v>0.36617242380640824</v>
      </c>
      <c r="AG121" s="98">
        <f t="shared" si="423"/>
        <v>0.37312057430047835</v>
      </c>
      <c r="AH121" s="75">
        <f t="shared" si="423"/>
        <v>0.37016197937425183</v>
      </c>
      <c r="AI121" s="75">
        <f t="shared" si="423"/>
        <v>0.36196897514844917</v>
      </c>
      <c r="AJ121" s="75">
        <f t="shared" si="423"/>
        <v>0.35939820110312803</v>
      </c>
      <c r="AK121" s="75">
        <f t="shared" si="423"/>
        <v>0.3553458549882722</v>
      </c>
      <c r="AL121" s="98">
        <f t="shared" si="423"/>
        <v>0.36133563989695333</v>
      </c>
      <c r="AM121" s="75">
        <f t="shared" si="423"/>
        <v>0.35878512702951654</v>
      </c>
      <c r="AN121" s="75">
        <f t="shared" si="423"/>
        <v>0.35172219235210045</v>
      </c>
      <c r="AO121" s="75">
        <f t="shared" si="423"/>
        <v>0.34950600783027186</v>
      </c>
      <c r="AP121" s="75">
        <f t="shared" si="423"/>
        <v>0.3460126060071203</v>
      </c>
      <c r="AQ121" s="98">
        <f t="shared" si="423"/>
        <v>0.35117621368701785</v>
      </c>
      <c r="AR121" s="75">
        <f t="shared" si="423"/>
        <v>0.34897749569784825</v>
      </c>
      <c r="AS121" s="75">
        <f t="shared" si="423"/>
        <v>0.3428887589069724</v>
      </c>
      <c r="AT121" s="75">
        <f t="shared" si="423"/>
        <v>0.34097825500884427</v>
      </c>
      <c r="AU121" s="75">
        <f t="shared" si="423"/>
        <v>0.33796670171302401</v>
      </c>
      <c r="AV121" s="98">
        <f t="shared" ref="AV121" si="425">+AV120/AV108</f>
        <v>0.34241808764396997</v>
      </c>
    </row>
    <row r="122" spans="2:48" ht="17.100000000000001" x14ac:dyDescent="0.85">
      <c r="B122" s="282" t="s">
        <v>55</v>
      </c>
      <c r="C122" s="283"/>
      <c r="D122" s="14" t="s">
        <v>19</v>
      </c>
      <c r="E122" s="14" t="s">
        <v>81</v>
      </c>
      <c r="F122" s="14" t="s">
        <v>85</v>
      </c>
      <c r="G122" s="14" t="s">
        <v>95</v>
      </c>
      <c r="H122" s="40" t="s">
        <v>96</v>
      </c>
      <c r="I122" s="14" t="s">
        <v>97</v>
      </c>
      <c r="J122" s="14" t="s">
        <v>98</v>
      </c>
      <c r="K122" s="14" t="s">
        <v>99</v>
      </c>
      <c r="L122" s="14" t="s">
        <v>143</v>
      </c>
      <c r="M122" s="40" t="s">
        <v>144</v>
      </c>
      <c r="N122" s="14" t="s">
        <v>150</v>
      </c>
      <c r="O122" s="14" t="s">
        <v>158</v>
      </c>
      <c r="P122" s="14" t="s">
        <v>160</v>
      </c>
      <c r="Q122" s="14" t="s">
        <v>173</v>
      </c>
      <c r="R122" s="40" t="s">
        <v>174</v>
      </c>
      <c r="S122" s="14" t="s">
        <v>189</v>
      </c>
      <c r="T122" s="14" t="s">
        <v>190</v>
      </c>
      <c r="U122" s="14" t="s">
        <v>205</v>
      </c>
      <c r="V122" s="12" t="s">
        <v>25</v>
      </c>
      <c r="W122" s="42" t="s">
        <v>26</v>
      </c>
      <c r="X122" s="12" t="s">
        <v>27</v>
      </c>
      <c r="Y122" s="12" t="s">
        <v>28</v>
      </c>
      <c r="Z122" s="12" t="s">
        <v>29</v>
      </c>
      <c r="AA122" s="12" t="s">
        <v>30</v>
      </c>
      <c r="AB122" s="42" t="s">
        <v>31</v>
      </c>
      <c r="AC122" s="12" t="s">
        <v>90</v>
      </c>
      <c r="AD122" s="12" t="s">
        <v>91</v>
      </c>
      <c r="AE122" s="12" t="s">
        <v>92</v>
      </c>
      <c r="AF122" s="12" t="s">
        <v>93</v>
      </c>
      <c r="AG122" s="42" t="s">
        <v>94</v>
      </c>
      <c r="AH122" s="12" t="s">
        <v>109</v>
      </c>
      <c r="AI122" s="12" t="s">
        <v>110</v>
      </c>
      <c r="AJ122" s="12" t="s">
        <v>111</v>
      </c>
      <c r="AK122" s="12" t="s">
        <v>112</v>
      </c>
      <c r="AL122" s="42" t="s">
        <v>113</v>
      </c>
      <c r="AM122" s="12" t="s">
        <v>165</v>
      </c>
      <c r="AN122" s="12" t="s">
        <v>166</v>
      </c>
      <c r="AO122" s="12" t="s">
        <v>167</v>
      </c>
      <c r="AP122" s="12" t="s">
        <v>168</v>
      </c>
      <c r="AQ122" s="42" t="s">
        <v>169</v>
      </c>
      <c r="AR122" s="12" t="s">
        <v>196</v>
      </c>
      <c r="AS122" s="12" t="s">
        <v>197</v>
      </c>
      <c r="AT122" s="12" t="s">
        <v>198</v>
      </c>
      <c r="AU122" s="12" t="s">
        <v>199</v>
      </c>
      <c r="AV122" s="42" t="s">
        <v>200</v>
      </c>
    </row>
    <row r="123" spans="2:48" s="8" customFormat="1" outlineLevel="1" x14ac:dyDescent="0.55000000000000004">
      <c r="B123" s="286" t="s">
        <v>127</v>
      </c>
      <c r="C123" s="287"/>
      <c r="D123" s="48">
        <v>11.6</v>
      </c>
      <c r="E123" s="48">
        <v>15.8</v>
      </c>
      <c r="F123" s="48">
        <v>23.3</v>
      </c>
      <c r="G123" s="48">
        <v>15.4</v>
      </c>
      <c r="H123" s="31">
        <f>SUM(D123:G123)</f>
        <v>66.100000000000009</v>
      </c>
      <c r="I123" s="48">
        <v>20.5</v>
      </c>
      <c r="J123" s="48">
        <v>12</v>
      </c>
      <c r="K123" s="48">
        <v>19.7</v>
      </c>
      <c r="L123" s="48">
        <v>13.9</v>
      </c>
      <c r="M123" s="31">
        <f>SUM(I123:L123)</f>
        <v>66.100000000000009</v>
      </c>
      <c r="N123" s="48">
        <v>20.5</v>
      </c>
      <c r="O123" s="48">
        <v>22.6</v>
      </c>
      <c r="P123" s="48">
        <v>23.8</v>
      </c>
      <c r="Q123" s="105">
        <v>30.8</v>
      </c>
      <c r="R123" s="31">
        <f>SUM(N123:Q123)</f>
        <v>97.7</v>
      </c>
      <c r="S123" s="48">
        <v>25.1</v>
      </c>
      <c r="T123" s="48">
        <v>24.4</v>
      </c>
      <c r="U123" s="48">
        <v>27.3</v>
      </c>
      <c r="V123" s="48">
        <f t="shared" ref="V123" si="426">+Q123*(1+V124)</f>
        <v>35.419999999999995</v>
      </c>
      <c r="W123" s="31">
        <f>SUM(S123:V123)</f>
        <v>112.22</v>
      </c>
      <c r="X123" s="48">
        <f>+S123*(1+X124)</f>
        <v>28.864999999999998</v>
      </c>
      <c r="Y123" s="48">
        <f>+T123*(1+Y124)</f>
        <v>28.059999999999995</v>
      </c>
      <c r="Z123" s="48">
        <f>+U123*(1+Z124)</f>
        <v>31.395</v>
      </c>
      <c r="AA123" s="48">
        <f t="shared" ref="AA123" si="427">+V123*(1+AA124)</f>
        <v>40.73299999999999</v>
      </c>
      <c r="AB123" s="31">
        <f>SUM(X123:AA123)</f>
        <v>129.053</v>
      </c>
      <c r="AC123" s="48">
        <f>+X123*(1+AC124)</f>
        <v>33.194749999999999</v>
      </c>
      <c r="AD123" s="48">
        <f>+Y123*(1+AD124)</f>
        <v>32.268999999999991</v>
      </c>
      <c r="AE123" s="48">
        <f>+Z123*(1+AE124)</f>
        <v>36.104249999999993</v>
      </c>
      <c r="AF123" s="48">
        <f t="shared" ref="AF123" si="428">+AA123*(1+AF124)</f>
        <v>46.842949999999988</v>
      </c>
      <c r="AG123" s="31">
        <f>SUM(AC123:AF123)</f>
        <v>148.41094999999996</v>
      </c>
      <c r="AH123" s="48">
        <f>+AC123*(1+AH124)</f>
        <v>38.173962499999995</v>
      </c>
      <c r="AI123" s="48">
        <f>+AD123*(1+AI124)</f>
        <v>37.109349999999985</v>
      </c>
      <c r="AJ123" s="48">
        <f>+AE123*(1+AJ124)</f>
        <v>41.519887499999989</v>
      </c>
      <c r="AK123" s="48">
        <f t="shared" ref="AK123" si="429">+AF123*(1+AK124)</f>
        <v>53.869392499999982</v>
      </c>
      <c r="AL123" s="31">
        <f>SUM(AH123:AK123)</f>
        <v>170.67259249999995</v>
      </c>
      <c r="AM123" s="48">
        <f>+AH123*(1+AM124)</f>
        <v>43.90005687499999</v>
      </c>
      <c r="AN123" s="48">
        <f>+AI123*(1+AN124)</f>
        <v>42.67575249999998</v>
      </c>
      <c r="AO123" s="48">
        <f>+AJ123*(1+AO124)</f>
        <v>47.747870624999983</v>
      </c>
      <c r="AP123" s="48">
        <f t="shared" ref="AP123" si="430">+AK123*(1+AP124)</f>
        <v>61.949801374999971</v>
      </c>
      <c r="AQ123" s="31">
        <f>SUM(AM123:AP123)</f>
        <v>196.27348137499993</v>
      </c>
      <c r="AR123" s="48">
        <f>+AM123*(1+AR124)</f>
        <v>50.485065406249987</v>
      </c>
      <c r="AS123" s="48">
        <f>+AN123*(1+AS124)</f>
        <v>49.077115374999977</v>
      </c>
      <c r="AT123" s="48">
        <f>+AO123*(1+AT124)</f>
        <v>54.910051218749977</v>
      </c>
      <c r="AU123" s="48">
        <f t="shared" ref="AU123" si="431">+AP123*(1+AU124)</f>
        <v>71.242271581249966</v>
      </c>
      <c r="AV123" s="31">
        <f>SUM(AR123:AU123)</f>
        <v>225.71450358124991</v>
      </c>
    </row>
    <row r="124" spans="2:48" s="8" customFormat="1" outlineLevel="1" x14ac:dyDescent="0.55000000000000004">
      <c r="B124" s="38" t="s">
        <v>128</v>
      </c>
      <c r="C124" s="210"/>
      <c r="D124" s="30"/>
      <c r="E124" s="30"/>
      <c r="F124" s="30"/>
      <c r="G124" s="118"/>
      <c r="H124" s="131"/>
      <c r="I124" s="118">
        <f t="shared" ref="I124:J124" si="432">I123/D123-1</f>
        <v>0.76724137931034497</v>
      </c>
      <c r="J124" s="118">
        <f t="shared" si="432"/>
        <v>-0.24050632911392411</v>
      </c>
      <c r="K124" s="118">
        <f>K123/F123-1</f>
        <v>-0.15450643776824036</v>
      </c>
      <c r="L124" s="118">
        <f>L123/G123-1</f>
        <v>-9.740259740259738E-2</v>
      </c>
      <c r="M124" s="129">
        <f>M123/H123-1</f>
        <v>0</v>
      </c>
      <c r="N124" s="118">
        <f t="shared" ref="N124" si="433">N123/I123-1</f>
        <v>0</v>
      </c>
      <c r="O124" s="118">
        <f t="shared" ref="O124" si="434">O123/J123-1</f>
        <v>0.88333333333333353</v>
      </c>
      <c r="P124" s="118">
        <f t="shared" ref="P124" si="435">P123/K123-1</f>
        <v>0.20812182741116758</v>
      </c>
      <c r="Q124" s="118">
        <f t="shared" ref="Q124" si="436">Q123/L123-1</f>
        <v>1.2158273381294964</v>
      </c>
      <c r="R124" s="129">
        <f>R123/M123-1</f>
        <v>0.47806354009077134</v>
      </c>
      <c r="S124" s="118">
        <f t="shared" ref="S124" si="437">S123/N123-1</f>
        <v>0.224390243902439</v>
      </c>
      <c r="T124" s="118">
        <f t="shared" ref="T124:U124" si="438">T123/O123-1</f>
        <v>7.9646017699114946E-2</v>
      </c>
      <c r="U124" s="118">
        <f t="shared" si="438"/>
        <v>0.14705882352941169</v>
      </c>
      <c r="V124" s="34">
        <v>0.15</v>
      </c>
      <c r="W124" s="129">
        <f>W123/R123-1</f>
        <v>0.14861821903787109</v>
      </c>
      <c r="X124" s="34">
        <v>0.15</v>
      </c>
      <c r="Y124" s="34">
        <v>0.15</v>
      </c>
      <c r="Z124" s="34">
        <v>0.15</v>
      </c>
      <c r="AA124" s="34">
        <v>0.15</v>
      </c>
      <c r="AB124" s="129">
        <f>AB123/W123-1</f>
        <v>0.14999999999999991</v>
      </c>
      <c r="AC124" s="34">
        <v>0.15</v>
      </c>
      <c r="AD124" s="34">
        <v>0.15</v>
      </c>
      <c r="AE124" s="34">
        <v>0.15</v>
      </c>
      <c r="AF124" s="34">
        <v>0.15</v>
      </c>
      <c r="AG124" s="129">
        <f>AG123/AB123-1</f>
        <v>0.14999999999999969</v>
      </c>
      <c r="AH124" s="34">
        <v>0.15</v>
      </c>
      <c r="AI124" s="34">
        <v>0.15</v>
      </c>
      <c r="AJ124" s="34">
        <v>0.15</v>
      </c>
      <c r="AK124" s="34">
        <v>0.15</v>
      </c>
      <c r="AL124" s="129">
        <f>AL123/AG123-1</f>
        <v>0.14999999999999991</v>
      </c>
      <c r="AM124" s="34">
        <v>0.15</v>
      </c>
      <c r="AN124" s="34">
        <v>0.15</v>
      </c>
      <c r="AO124" s="34">
        <v>0.15</v>
      </c>
      <c r="AP124" s="34">
        <v>0.15</v>
      </c>
      <c r="AQ124" s="129">
        <f>AQ123/AL123-1</f>
        <v>0.14999999999999991</v>
      </c>
      <c r="AR124" s="34">
        <v>0.15</v>
      </c>
      <c r="AS124" s="34">
        <v>0.15</v>
      </c>
      <c r="AT124" s="34">
        <v>0.15</v>
      </c>
      <c r="AU124" s="34">
        <v>0.15</v>
      </c>
      <c r="AV124" s="129">
        <f>AV123/AQ123-1</f>
        <v>0.14999999999999991</v>
      </c>
    </row>
    <row r="125" spans="2:48" outlineLevel="1" x14ac:dyDescent="0.55000000000000004">
      <c r="B125" s="308" t="s">
        <v>100</v>
      </c>
      <c r="C125" s="309"/>
      <c r="D125" s="48">
        <v>13.4</v>
      </c>
      <c r="E125" s="48">
        <v>15.9</v>
      </c>
      <c r="F125" s="48">
        <v>22.4</v>
      </c>
      <c r="G125" s="105">
        <v>15.5</v>
      </c>
      <c r="H125" s="171"/>
      <c r="I125" s="105">
        <v>20.7</v>
      </c>
      <c r="J125" s="105">
        <v>10.199999999999999</v>
      </c>
      <c r="K125" s="105">
        <v>20.8</v>
      </c>
      <c r="L125" s="105">
        <v>11.6</v>
      </c>
      <c r="M125" s="31">
        <f>SUM(I125:L125)</f>
        <v>63.300000000000004</v>
      </c>
      <c r="N125" s="105">
        <v>19</v>
      </c>
      <c r="O125" s="105">
        <v>19.399999999999999</v>
      </c>
      <c r="P125" s="105">
        <v>19.8</v>
      </c>
      <c r="Q125" s="105">
        <v>28.2</v>
      </c>
      <c r="R125" s="31">
        <f>SUM(N125:Q125)</f>
        <v>86.4</v>
      </c>
      <c r="S125" s="105">
        <v>22.9</v>
      </c>
      <c r="T125" s="105">
        <v>20.8</v>
      </c>
      <c r="U125" s="105">
        <v>24.3</v>
      </c>
      <c r="V125" s="95">
        <v>24.3</v>
      </c>
      <c r="W125" s="31">
        <f>SUM(S125:V125)</f>
        <v>92.3</v>
      </c>
      <c r="X125" s="95">
        <v>24.3</v>
      </c>
      <c r="Y125" s="95">
        <v>24.3</v>
      </c>
      <c r="Z125" s="95">
        <v>24.3</v>
      </c>
      <c r="AA125" s="95">
        <v>24.3</v>
      </c>
      <c r="AB125" s="31">
        <f>SUM(X125:AA125)</f>
        <v>97.2</v>
      </c>
      <c r="AC125" s="95">
        <v>24.3</v>
      </c>
      <c r="AD125" s="95">
        <v>24.3</v>
      </c>
      <c r="AE125" s="95">
        <v>24.3</v>
      </c>
      <c r="AF125" s="95">
        <v>24.3</v>
      </c>
      <c r="AG125" s="31">
        <f>SUM(AC125:AF125)</f>
        <v>97.2</v>
      </c>
      <c r="AH125" s="95">
        <v>24.3</v>
      </c>
      <c r="AI125" s="95">
        <v>24.3</v>
      </c>
      <c r="AJ125" s="95">
        <v>24.3</v>
      </c>
      <c r="AK125" s="95">
        <v>24.3</v>
      </c>
      <c r="AL125" s="31">
        <f>SUM(AH125:AK125)</f>
        <v>97.2</v>
      </c>
      <c r="AM125" s="95">
        <v>24.3</v>
      </c>
      <c r="AN125" s="95">
        <v>24.3</v>
      </c>
      <c r="AO125" s="95">
        <v>24.3</v>
      </c>
      <c r="AP125" s="95">
        <v>24.3</v>
      </c>
      <c r="AQ125" s="31">
        <f>SUM(AM125:AP125)</f>
        <v>97.2</v>
      </c>
      <c r="AR125" s="95">
        <v>24.3</v>
      </c>
      <c r="AS125" s="95">
        <v>24.3</v>
      </c>
      <c r="AT125" s="95">
        <v>24.3</v>
      </c>
      <c r="AU125" s="95">
        <v>24.3</v>
      </c>
      <c r="AV125" s="31">
        <f>SUM(AR125:AU125)</f>
        <v>97.2</v>
      </c>
    </row>
    <row r="126" spans="2:48" outlineLevel="1" x14ac:dyDescent="0.55000000000000004">
      <c r="B126" s="181" t="s">
        <v>33</v>
      </c>
      <c r="C126" s="18"/>
      <c r="D126" s="48">
        <v>3.2</v>
      </c>
      <c r="E126" s="48">
        <v>4.3</v>
      </c>
      <c r="F126" s="48">
        <v>5.8</v>
      </c>
      <c r="G126" s="105">
        <f>5.2+0.1</f>
        <v>5.3</v>
      </c>
      <c r="H126" s="171"/>
      <c r="I126" s="105">
        <v>2.8</v>
      </c>
      <c r="J126" s="105">
        <v>3.7</v>
      </c>
      <c r="K126" s="105">
        <v>4</v>
      </c>
      <c r="L126" s="105">
        <v>3.4</v>
      </c>
      <c r="M126" s="31">
        <f t="shared" ref="M126:M129" si="439">SUM(I126:L126)</f>
        <v>13.9</v>
      </c>
      <c r="N126" s="105">
        <v>3.6</v>
      </c>
      <c r="O126" s="105">
        <v>3.4</v>
      </c>
      <c r="P126" s="105">
        <v>3.3</v>
      </c>
      <c r="Q126" s="105">
        <v>4.5</v>
      </c>
      <c r="R126" s="31">
        <f t="shared" ref="R126:R129" si="440">SUM(N126:Q126)</f>
        <v>14.8</v>
      </c>
      <c r="S126" s="105">
        <v>2.9</v>
      </c>
      <c r="T126" s="105">
        <v>4.4000000000000004</v>
      </c>
      <c r="U126" s="105">
        <v>5.9</v>
      </c>
      <c r="V126" s="95">
        <v>5.9</v>
      </c>
      <c r="W126" s="31">
        <f t="shared" ref="W126:W129" si="441">SUM(S126:V126)</f>
        <v>19.100000000000001</v>
      </c>
      <c r="X126" s="95">
        <v>5.9</v>
      </c>
      <c r="Y126" s="95">
        <v>5.9</v>
      </c>
      <c r="Z126" s="95">
        <v>5.9</v>
      </c>
      <c r="AA126" s="95">
        <v>5.9</v>
      </c>
      <c r="AB126" s="31">
        <f t="shared" ref="AB126:AB129" si="442">SUM(X126:AA126)</f>
        <v>23.6</v>
      </c>
      <c r="AC126" s="95">
        <v>5.9</v>
      </c>
      <c r="AD126" s="95">
        <v>5.9</v>
      </c>
      <c r="AE126" s="95">
        <v>5.9</v>
      </c>
      <c r="AF126" s="95">
        <v>5.9</v>
      </c>
      <c r="AG126" s="31">
        <f t="shared" ref="AG126:AG129" si="443">SUM(AC126:AF126)</f>
        <v>23.6</v>
      </c>
      <c r="AH126" s="95">
        <v>5.9</v>
      </c>
      <c r="AI126" s="95">
        <v>5.9</v>
      </c>
      <c r="AJ126" s="95">
        <v>5.9</v>
      </c>
      <c r="AK126" s="95">
        <v>5.9</v>
      </c>
      <c r="AL126" s="31">
        <f t="shared" ref="AL126:AL129" si="444">SUM(AH126:AK126)</f>
        <v>23.6</v>
      </c>
      <c r="AM126" s="95">
        <v>5.9</v>
      </c>
      <c r="AN126" s="95">
        <v>5.9</v>
      </c>
      <c r="AO126" s="95">
        <v>5.9</v>
      </c>
      <c r="AP126" s="95">
        <v>5.9</v>
      </c>
      <c r="AQ126" s="31">
        <f t="shared" ref="AQ126:AQ129" si="445">SUM(AM126:AP126)</f>
        <v>23.6</v>
      </c>
      <c r="AR126" s="95">
        <v>5.9</v>
      </c>
      <c r="AS126" s="95">
        <v>5.9</v>
      </c>
      <c r="AT126" s="95">
        <v>5.9</v>
      </c>
      <c r="AU126" s="95">
        <v>5.9</v>
      </c>
      <c r="AV126" s="31">
        <f t="shared" ref="AV126:AV129" si="446">SUM(AR126:AU126)</f>
        <v>23.6</v>
      </c>
    </row>
    <row r="127" spans="2:48" s="259" customFormat="1" outlineLevel="1" x14ac:dyDescent="0.55000000000000004">
      <c r="B127" s="268" t="s">
        <v>34</v>
      </c>
      <c r="C127" s="261"/>
      <c r="D127" s="269">
        <v>39.5</v>
      </c>
      <c r="E127" s="269">
        <v>40.5</v>
      </c>
      <c r="F127" s="269">
        <v>39.6</v>
      </c>
      <c r="G127" s="269">
        <v>37.299999999999997</v>
      </c>
      <c r="H127" s="270"/>
      <c r="I127" s="269">
        <v>34.9</v>
      </c>
      <c r="J127" s="269">
        <v>34.5</v>
      </c>
      <c r="K127" s="269">
        <v>40.9</v>
      </c>
      <c r="L127" s="269">
        <v>39.5</v>
      </c>
      <c r="M127" s="277">
        <f t="shared" si="439"/>
        <v>149.80000000000001</v>
      </c>
      <c r="N127" s="269">
        <v>37</v>
      </c>
      <c r="O127" s="269">
        <v>37</v>
      </c>
      <c r="P127" s="269">
        <v>35.5</v>
      </c>
      <c r="Q127" s="269">
        <v>32.9</v>
      </c>
      <c r="R127" s="277">
        <f t="shared" si="440"/>
        <v>142.4</v>
      </c>
      <c r="S127" s="269">
        <v>32.9</v>
      </c>
      <c r="T127" s="269">
        <v>32.299999999999997</v>
      </c>
      <c r="U127" s="269">
        <v>30.6</v>
      </c>
      <c r="V127" s="269">
        <v>33.32743381971671</v>
      </c>
      <c r="W127" s="277">
        <f t="shared" si="441"/>
        <v>129.12743381971669</v>
      </c>
      <c r="X127" s="269">
        <v>33.32743381971671</v>
      </c>
      <c r="Y127" s="269">
        <v>33.32743381971671</v>
      </c>
      <c r="Z127" s="269">
        <v>33.32743381971671</v>
      </c>
      <c r="AA127" s="269">
        <v>33.32743381971671</v>
      </c>
      <c r="AB127" s="277">
        <f t="shared" si="442"/>
        <v>133.30973527886684</v>
      </c>
      <c r="AC127" s="269">
        <v>33.32743381971671</v>
      </c>
      <c r="AD127" s="269">
        <v>33.32743381971671</v>
      </c>
      <c r="AE127" s="269">
        <v>33.32743381971671</v>
      </c>
      <c r="AF127" s="269">
        <v>33.32743381971671</v>
      </c>
      <c r="AG127" s="277">
        <f t="shared" si="443"/>
        <v>133.30973527886684</v>
      </c>
      <c r="AH127" s="269">
        <v>33.32743381971671</v>
      </c>
      <c r="AI127" s="269">
        <v>33.32743381971671</v>
      </c>
      <c r="AJ127" s="269">
        <v>33.32743381971671</v>
      </c>
      <c r="AK127" s="269">
        <v>33.32743381971671</v>
      </c>
      <c r="AL127" s="277">
        <f t="shared" si="444"/>
        <v>133.30973527886684</v>
      </c>
      <c r="AM127" s="269">
        <v>33.32743381971671</v>
      </c>
      <c r="AN127" s="269">
        <v>33.32743381971671</v>
      </c>
      <c r="AO127" s="269">
        <v>33.32743381971671</v>
      </c>
      <c r="AP127" s="269">
        <v>33.32743381971671</v>
      </c>
      <c r="AQ127" s="277">
        <f t="shared" si="445"/>
        <v>133.30973527886684</v>
      </c>
      <c r="AR127" s="269">
        <v>33.32743381971671</v>
      </c>
      <c r="AS127" s="269">
        <v>33.32743381971671</v>
      </c>
      <c r="AT127" s="269">
        <v>33.32743381971671</v>
      </c>
      <c r="AU127" s="269">
        <v>33.32743381971671</v>
      </c>
      <c r="AV127" s="277">
        <f t="shared" si="446"/>
        <v>133.30973527886684</v>
      </c>
    </row>
    <row r="128" spans="2:48" outlineLevel="1" x14ac:dyDescent="0.55000000000000004">
      <c r="B128" s="181" t="s">
        <v>35</v>
      </c>
      <c r="C128" s="18"/>
      <c r="D128" s="48">
        <v>300.39999999999998</v>
      </c>
      <c r="E128" s="48">
        <v>303.89999999999998</v>
      </c>
      <c r="F128" s="48">
        <v>299</v>
      </c>
      <c r="G128" s="105">
        <v>267.39999999999998</v>
      </c>
      <c r="H128" s="171"/>
      <c r="I128" s="105">
        <v>292.2</v>
      </c>
      <c r="J128" s="105">
        <v>271.60000000000002</v>
      </c>
      <c r="K128" s="105">
        <v>269.10000000000002</v>
      </c>
      <c r="L128" s="105">
        <v>288.8</v>
      </c>
      <c r="M128" s="31">
        <f t="shared" si="439"/>
        <v>1121.7</v>
      </c>
      <c r="N128" s="105">
        <v>316.5</v>
      </c>
      <c r="O128" s="105">
        <v>304.60000000000002</v>
      </c>
      <c r="P128" s="105">
        <v>326.5</v>
      </c>
      <c r="Q128" s="105">
        <v>321</v>
      </c>
      <c r="R128" s="31">
        <f t="shared" si="440"/>
        <v>1268.5999999999999</v>
      </c>
      <c r="S128" s="105">
        <v>354.5</v>
      </c>
      <c r="T128" s="105">
        <v>328.1</v>
      </c>
      <c r="U128" s="105">
        <v>326.10000000000002</v>
      </c>
      <c r="V128" s="95">
        <v>332.42500000000001</v>
      </c>
      <c r="W128" s="31">
        <f t="shared" si="441"/>
        <v>1341.125</v>
      </c>
      <c r="X128" s="95">
        <v>332.42500000000001</v>
      </c>
      <c r="Y128" s="95">
        <v>332.42500000000001</v>
      </c>
      <c r="Z128" s="95">
        <v>332.42500000000001</v>
      </c>
      <c r="AA128" s="95">
        <v>332.42500000000001</v>
      </c>
      <c r="AB128" s="31">
        <f t="shared" si="442"/>
        <v>1329.7</v>
      </c>
      <c r="AC128" s="95">
        <v>332.42500000000001</v>
      </c>
      <c r="AD128" s="95">
        <v>332.42500000000001</v>
      </c>
      <c r="AE128" s="95">
        <v>332.42500000000001</v>
      </c>
      <c r="AF128" s="95">
        <v>332.42500000000001</v>
      </c>
      <c r="AG128" s="31">
        <f t="shared" si="443"/>
        <v>1329.7</v>
      </c>
      <c r="AH128" s="95">
        <v>332.42500000000001</v>
      </c>
      <c r="AI128" s="95">
        <v>332.42500000000001</v>
      </c>
      <c r="AJ128" s="95">
        <v>332.42500000000001</v>
      </c>
      <c r="AK128" s="95">
        <v>332.42500000000001</v>
      </c>
      <c r="AL128" s="31">
        <f t="shared" si="444"/>
        <v>1329.7</v>
      </c>
      <c r="AM128" s="95">
        <v>332.42500000000001</v>
      </c>
      <c r="AN128" s="95">
        <v>332.42500000000001</v>
      </c>
      <c r="AO128" s="95">
        <v>332.42500000000001</v>
      </c>
      <c r="AP128" s="95">
        <v>332.42500000000001</v>
      </c>
      <c r="AQ128" s="31">
        <f t="shared" si="445"/>
        <v>1329.7</v>
      </c>
      <c r="AR128" s="95">
        <v>332.42500000000001</v>
      </c>
      <c r="AS128" s="95">
        <v>332.42500000000001</v>
      </c>
      <c r="AT128" s="95">
        <v>332.42500000000001</v>
      </c>
      <c r="AU128" s="95">
        <v>332.42500000000001</v>
      </c>
      <c r="AV128" s="31">
        <f t="shared" si="446"/>
        <v>1329.7</v>
      </c>
    </row>
    <row r="129" spans="2:48" ht="16.2" outlineLevel="1" x14ac:dyDescent="0.85">
      <c r="B129" s="181" t="s">
        <v>42</v>
      </c>
      <c r="C129" s="18"/>
      <c r="D129" s="119">
        <v>13.9</v>
      </c>
      <c r="E129" s="119">
        <v>0.6</v>
      </c>
      <c r="F129" s="119">
        <v>6</v>
      </c>
      <c r="G129" s="119">
        <v>-0.9</v>
      </c>
      <c r="H129" s="132"/>
      <c r="I129" s="119">
        <v>0.3</v>
      </c>
      <c r="J129" s="119">
        <v>0</v>
      </c>
      <c r="K129" s="119">
        <v>22.1</v>
      </c>
      <c r="L129" s="119">
        <v>0</v>
      </c>
      <c r="M129" s="194">
        <f t="shared" si="439"/>
        <v>22.400000000000002</v>
      </c>
      <c r="N129" s="119">
        <v>0</v>
      </c>
      <c r="O129" s="119">
        <v>0</v>
      </c>
      <c r="P129" s="119">
        <v>0</v>
      </c>
      <c r="Q129" s="119">
        <v>15</v>
      </c>
      <c r="R129" s="194">
        <f t="shared" si="440"/>
        <v>15</v>
      </c>
      <c r="S129" s="119">
        <v>0</v>
      </c>
      <c r="T129" s="119">
        <v>0</v>
      </c>
      <c r="U129" s="119">
        <v>2</v>
      </c>
      <c r="V129" s="123">
        <v>0</v>
      </c>
      <c r="W129" s="194">
        <f t="shared" si="441"/>
        <v>2</v>
      </c>
      <c r="X129" s="123">
        <v>0</v>
      </c>
      <c r="Y129" s="123">
        <v>0</v>
      </c>
      <c r="Z129" s="123">
        <v>0</v>
      </c>
      <c r="AA129" s="123">
        <v>0</v>
      </c>
      <c r="AB129" s="194">
        <f t="shared" si="442"/>
        <v>0</v>
      </c>
      <c r="AC129" s="123">
        <v>0</v>
      </c>
      <c r="AD129" s="123">
        <v>0</v>
      </c>
      <c r="AE129" s="123">
        <v>0</v>
      </c>
      <c r="AF129" s="123">
        <v>0</v>
      </c>
      <c r="AG129" s="194">
        <f t="shared" si="443"/>
        <v>0</v>
      </c>
      <c r="AH129" s="123">
        <v>0</v>
      </c>
      <c r="AI129" s="123">
        <v>0</v>
      </c>
      <c r="AJ129" s="123">
        <v>0</v>
      </c>
      <c r="AK129" s="123">
        <v>0</v>
      </c>
      <c r="AL129" s="194">
        <f t="shared" si="444"/>
        <v>0</v>
      </c>
      <c r="AM129" s="123">
        <v>0</v>
      </c>
      <c r="AN129" s="123">
        <v>0</v>
      </c>
      <c r="AO129" s="123">
        <v>0</v>
      </c>
      <c r="AP129" s="123">
        <v>0</v>
      </c>
      <c r="AQ129" s="194">
        <f t="shared" si="445"/>
        <v>0</v>
      </c>
      <c r="AR129" s="123">
        <v>0</v>
      </c>
      <c r="AS129" s="123">
        <v>0</v>
      </c>
      <c r="AT129" s="123">
        <v>0</v>
      </c>
      <c r="AU129" s="123">
        <v>0</v>
      </c>
      <c r="AV129" s="194">
        <f t="shared" si="446"/>
        <v>0</v>
      </c>
    </row>
    <row r="130" spans="2:48" outlineLevel="1" x14ac:dyDescent="0.55000000000000004">
      <c r="B130" s="46" t="s">
        <v>56</v>
      </c>
      <c r="C130" s="19"/>
      <c r="D130" s="103">
        <f>SUM(D125:D129)</f>
        <v>370.4</v>
      </c>
      <c r="E130" s="103">
        <f>SUM(E125:E129)</f>
        <v>365.2</v>
      </c>
      <c r="F130" s="103">
        <f>SUM(F125:F129)</f>
        <v>372.8</v>
      </c>
      <c r="G130" s="103">
        <f>SUM(G125:G129)</f>
        <v>324.60000000000002</v>
      </c>
      <c r="H130" s="131"/>
      <c r="I130" s="103">
        <f t="shared" ref="I130:AQ130" si="447">SUM(I125:I129)</f>
        <v>350.9</v>
      </c>
      <c r="J130" s="103">
        <f t="shared" si="447"/>
        <v>320</v>
      </c>
      <c r="K130" s="103">
        <f t="shared" si="447"/>
        <v>356.90000000000003</v>
      </c>
      <c r="L130" s="50">
        <f t="shared" si="447"/>
        <v>343.3</v>
      </c>
      <c r="M130" s="51">
        <f t="shared" si="447"/>
        <v>1371.1000000000001</v>
      </c>
      <c r="N130" s="50">
        <f t="shared" si="447"/>
        <v>376.1</v>
      </c>
      <c r="O130" s="50">
        <f t="shared" si="447"/>
        <v>364.40000000000003</v>
      </c>
      <c r="P130" s="50">
        <f t="shared" si="447"/>
        <v>385.1</v>
      </c>
      <c r="Q130" s="50">
        <f t="shared" si="447"/>
        <v>401.6</v>
      </c>
      <c r="R130" s="51">
        <f t="shared" si="447"/>
        <v>1527.1999999999998</v>
      </c>
      <c r="S130" s="50">
        <f t="shared" si="447"/>
        <v>413.2</v>
      </c>
      <c r="T130" s="50">
        <f t="shared" si="447"/>
        <v>385.6</v>
      </c>
      <c r="U130" s="50">
        <f t="shared" si="447"/>
        <v>388.90000000000003</v>
      </c>
      <c r="V130" s="50">
        <f t="shared" si="447"/>
        <v>395.9524338197167</v>
      </c>
      <c r="W130" s="51">
        <f t="shared" si="447"/>
        <v>1583.6524338197166</v>
      </c>
      <c r="X130" s="50">
        <f t="shared" si="447"/>
        <v>395.9524338197167</v>
      </c>
      <c r="Y130" s="50">
        <f t="shared" si="447"/>
        <v>395.9524338197167</v>
      </c>
      <c r="Z130" s="50">
        <f t="shared" si="447"/>
        <v>395.9524338197167</v>
      </c>
      <c r="AA130" s="50">
        <f t="shared" si="447"/>
        <v>395.9524338197167</v>
      </c>
      <c r="AB130" s="51">
        <f t="shared" si="447"/>
        <v>1583.8097352788668</v>
      </c>
      <c r="AC130" s="50">
        <f t="shared" si="447"/>
        <v>395.9524338197167</v>
      </c>
      <c r="AD130" s="50">
        <f t="shared" si="447"/>
        <v>395.9524338197167</v>
      </c>
      <c r="AE130" s="50">
        <f t="shared" si="447"/>
        <v>395.9524338197167</v>
      </c>
      <c r="AF130" s="50">
        <f t="shared" si="447"/>
        <v>395.9524338197167</v>
      </c>
      <c r="AG130" s="51">
        <f t="shared" si="447"/>
        <v>1583.8097352788668</v>
      </c>
      <c r="AH130" s="50">
        <f t="shared" si="447"/>
        <v>395.9524338197167</v>
      </c>
      <c r="AI130" s="50">
        <f t="shared" si="447"/>
        <v>395.9524338197167</v>
      </c>
      <c r="AJ130" s="50">
        <f t="shared" si="447"/>
        <v>395.9524338197167</v>
      </c>
      <c r="AK130" s="50">
        <f t="shared" si="447"/>
        <v>395.9524338197167</v>
      </c>
      <c r="AL130" s="51">
        <f t="shared" si="447"/>
        <v>1583.8097352788668</v>
      </c>
      <c r="AM130" s="50">
        <f t="shared" si="447"/>
        <v>395.9524338197167</v>
      </c>
      <c r="AN130" s="50">
        <f t="shared" si="447"/>
        <v>395.9524338197167</v>
      </c>
      <c r="AO130" s="50">
        <f t="shared" si="447"/>
        <v>395.9524338197167</v>
      </c>
      <c r="AP130" s="50">
        <f t="shared" si="447"/>
        <v>395.9524338197167</v>
      </c>
      <c r="AQ130" s="51">
        <f t="shared" si="447"/>
        <v>1583.8097352788668</v>
      </c>
      <c r="AR130" s="50">
        <f t="shared" ref="AR130:AV130" si="448">SUM(AR125:AR129)</f>
        <v>395.9524338197167</v>
      </c>
      <c r="AS130" s="50">
        <f t="shared" si="448"/>
        <v>395.9524338197167</v>
      </c>
      <c r="AT130" s="50">
        <f t="shared" si="448"/>
        <v>395.9524338197167</v>
      </c>
      <c r="AU130" s="50">
        <f t="shared" si="448"/>
        <v>395.9524338197167</v>
      </c>
      <c r="AV130" s="51">
        <f t="shared" si="448"/>
        <v>1583.8097352788668</v>
      </c>
    </row>
    <row r="131" spans="2:48" outlineLevel="1" x14ac:dyDescent="0.55000000000000004">
      <c r="B131" s="46" t="s">
        <v>57</v>
      </c>
      <c r="C131" s="44"/>
      <c r="D131" s="157">
        <f>D123-D130</f>
        <v>-358.79999999999995</v>
      </c>
      <c r="E131" s="157">
        <f>E123-E130</f>
        <v>-349.4</v>
      </c>
      <c r="F131" s="157">
        <f>F123-F130</f>
        <v>-349.5</v>
      </c>
      <c r="G131" s="157">
        <f>G123-G130</f>
        <v>-309.20000000000005</v>
      </c>
      <c r="H131" s="159"/>
      <c r="I131" s="157">
        <f t="shared" ref="I131:AQ131" si="449">I123-I130</f>
        <v>-330.4</v>
      </c>
      <c r="J131" s="157">
        <f t="shared" si="449"/>
        <v>-308</v>
      </c>
      <c r="K131" s="157">
        <f t="shared" si="449"/>
        <v>-337.20000000000005</v>
      </c>
      <c r="L131" s="74">
        <f t="shared" si="449"/>
        <v>-329.40000000000003</v>
      </c>
      <c r="M131" s="195">
        <f t="shared" si="449"/>
        <v>-1305.0000000000002</v>
      </c>
      <c r="N131" s="74">
        <f t="shared" si="449"/>
        <v>-355.6</v>
      </c>
      <c r="O131" s="74">
        <f t="shared" si="449"/>
        <v>-341.8</v>
      </c>
      <c r="P131" s="74">
        <f t="shared" si="449"/>
        <v>-361.3</v>
      </c>
      <c r="Q131" s="74">
        <f t="shared" si="449"/>
        <v>-370.8</v>
      </c>
      <c r="R131" s="195">
        <f t="shared" si="449"/>
        <v>-1429.4999999999998</v>
      </c>
      <c r="S131" s="74">
        <f t="shared" si="449"/>
        <v>-388.09999999999997</v>
      </c>
      <c r="T131" s="74">
        <f t="shared" si="449"/>
        <v>-361.20000000000005</v>
      </c>
      <c r="U131" s="74">
        <f t="shared" si="449"/>
        <v>-361.6</v>
      </c>
      <c r="V131" s="74">
        <f t="shared" si="449"/>
        <v>-360.53243381971669</v>
      </c>
      <c r="W131" s="195">
        <f t="shared" si="449"/>
        <v>-1471.4324338197166</v>
      </c>
      <c r="X131" s="74">
        <f t="shared" si="449"/>
        <v>-367.08743381971669</v>
      </c>
      <c r="Y131" s="74">
        <f t="shared" si="449"/>
        <v>-367.8924338197167</v>
      </c>
      <c r="Z131" s="74">
        <f t="shared" si="449"/>
        <v>-364.55743381971672</v>
      </c>
      <c r="AA131" s="74">
        <f t="shared" si="449"/>
        <v>-355.2194338197167</v>
      </c>
      <c r="AB131" s="195">
        <f t="shared" si="449"/>
        <v>-1454.7567352788669</v>
      </c>
      <c r="AC131" s="74">
        <f t="shared" si="449"/>
        <v>-362.7576838197167</v>
      </c>
      <c r="AD131" s="74">
        <f t="shared" si="449"/>
        <v>-363.6834338197167</v>
      </c>
      <c r="AE131" s="74">
        <f t="shared" si="449"/>
        <v>-359.84818381971672</v>
      </c>
      <c r="AF131" s="74">
        <f t="shared" si="449"/>
        <v>-349.10948381971673</v>
      </c>
      <c r="AG131" s="195">
        <f t="shared" si="449"/>
        <v>-1435.3987852788669</v>
      </c>
      <c r="AH131" s="74">
        <f t="shared" si="449"/>
        <v>-357.77847131971669</v>
      </c>
      <c r="AI131" s="74">
        <f t="shared" si="449"/>
        <v>-358.8430838197167</v>
      </c>
      <c r="AJ131" s="74">
        <f t="shared" si="449"/>
        <v>-354.43254631971672</v>
      </c>
      <c r="AK131" s="74">
        <f t="shared" si="449"/>
        <v>-342.0830413197167</v>
      </c>
      <c r="AL131" s="195">
        <f t="shared" si="449"/>
        <v>-1413.1371427788667</v>
      </c>
      <c r="AM131" s="74">
        <f t="shared" si="449"/>
        <v>-352.05237694471668</v>
      </c>
      <c r="AN131" s="74">
        <f t="shared" si="449"/>
        <v>-353.27668131971672</v>
      </c>
      <c r="AO131" s="74">
        <f t="shared" si="449"/>
        <v>-348.20456319471674</v>
      </c>
      <c r="AP131" s="74">
        <f t="shared" si="449"/>
        <v>-334.00263244471671</v>
      </c>
      <c r="AQ131" s="195">
        <f t="shared" si="449"/>
        <v>-1387.536253903867</v>
      </c>
      <c r="AR131" s="74">
        <f t="shared" ref="AR131:AV131" si="450">AR123-AR130</f>
        <v>-345.46736841346672</v>
      </c>
      <c r="AS131" s="74">
        <f t="shared" si="450"/>
        <v>-346.87531844471675</v>
      </c>
      <c r="AT131" s="74">
        <f t="shared" si="450"/>
        <v>-341.04238260096673</v>
      </c>
      <c r="AU131" s="74">
        <f t="shared" si="450"/>
        <v>-324.71016223846675</v>
      </c>
      <c r="AV131" s="195">
        <f t="shared" si="450"/>
        <v>-1358.0952316976168</v>
      </c>
    </row>
    <row r="132" spans="2:48" ht="17.100000000000001" x14ac:dyDescent="0.85">
      <c r="B132" s="282" t="s">
        <v>14</v>
      </c>
      <c r="C132" s="283"/>
      <c r="D132" s="14" t="s">
        <v>19</v>
      </c>
      <c r="E132" s="14" t="s">
        <v>81</v>
      </c>
      <c r="F132" s="14" t="s">
        <v>85</v>
      </c>
      <c r="G132" s="14" t="s">
        <v>95</v>
      </c>
      <c r="H132" s="40" t="s">
        <v>96</v>
      </c>
      <c r="I132" s="14" t="s">
        <v>97</v>
      </c>
      <c r="J132" s="14" t="s">
        <v>98</v>
      </c>
      <c r="K132" s="14" t="s">
        <v>99</v>
      </c>
      <c r="L132" s="14" t="s">
        <v>143</v>
      </c>
      <c r="M132" s="40" t="s">
        <v>144</v>
      </c>
      <c r="N132" s="14" t="s">
        <v>150</v>
      </c>
      <c r="O132" s="14" t="s">
        <v>158</v>
      </c>
      <c r="P132" s="14" t="s">
        <v>160</v>
      </c>
      <c r="Q132" s="14" t="s">
        <v>173</v>
      </c>
      <c r="R132" s="40" t="s">
        <v>174</v>
      </c>
      <c r="S132" s="14" t="s">
        <v>189</v>
      </c>
      <c r="T132" s="14" t="s">
        <v>190</v>
      </c>
      <c r="U132" s="14" t="s">
        <v>205</v>
      </c>
      <c r="V132" s="12" t="s">
        <v>25</v>
      </c>
      <c r="W132" s="42" t="s">
        <v>26</v>
      </c>
      <c r="X132" s="12" t="s">
        <v>27</v>
      </c>
      <c r="Y132" s="12" t="s">
        <v>28</v>
      </c>
      <c r="Z132" s="12" t="s">
        <v>29</v>
      </c>
      <c r="AA132" s="12" t="s">
        <v>30</v>
      </c>
      <c r="AB132" s="42" t="s">
        <v>31</v>
      </c>
      <c r="AC132" s="12" t="s">
        <v>90</v>
      </c>
      <c r="AD132" s="12" t="s">
        <v>91</v>
      </c>
      <c r="AE132" s="12" t="s">
        <v>92</v>
      </c>
      <c r="AF132" s="12" t="s">
        <v>93</v>
      </c>
      <c r="AG132" s="42" t="s">
        <v>94</v>
      </c>
      <c r="AH132" s="12" t="s">
        <v>109</v>
      </c>
      <c r="AI132" s="12" t="s">
        <v>110</v>
      </c>
      <c r="AJ132" s="12" t="s">
        <v>111</v>
      </c>
      <c r="AK132" s="12" t="s">
        <v>112</v>
      </c>
      <c r="AL132" s="42" t="s">
        <v>113</v>
      </c>
      <c r="AM132" s="12" t="s">
        <v>165</v>
      </c>
      <c r="AN132" s="12" t="s">
        <v>166</v>
      </c>
      <c r="AO132" s="12" t="s">
        <v>167</v>
      </c>
      <c r="AP132" s="12" t="s">
        <v>168</v>
      </c>
      <c r="AQ132" s="42" t="s">
        <v>169</v>
      </c>
      <c r="AR132" s="12" t="s">
        <v>196</v>
      </c>
      <c r="AS132" s="12" t="s">
        <v>197</v>
      </c>
      <c r="AT132" s="12" t="s">
        <v>198</v>
      </c>
      <c r="AU132" s="12" t="s">
        <v>199</v>
      </c>
      <c r="AV132" s="42" t="s">
        <v>200</v>
      </c>
    </row>
    <row r="133" spans="2:48" s="77" customFormat="1" ht="15.6" customHeight="1" outlineLevel="1" x14ac:dyDescent="0.6">
      <c r="B133" s="64" t="s">
        <v>59</v>
      </c>
      <c r="C133" s="78"/>
      <c r="D133" s="65">
        <f>+D45+D78-D5</f>
        <v>0</v>
      </c>
      <c r="E133" s="65">
        <f>+E45+E78-E5</f>
        <v>0</v>
      </c>
      <c r="F133" s="121">
        <f>+F45+F78-F5</f>
        <v>0</v>
      </c>
      <c r="G133" s="65">
        <f>+G45+G78-G5</f>
        <v>0</v>
      </c>
      <c r="H133" s="66"/>
      <c r="I133" s="65">
        <f>+I45+I78-I5</f>
        <v>0</v>
      </c>
      <c r="J133" s="65">
        <f>+J45+J78-J5</f>
        <v>0</v>
      </c>
      <c r="K133" s="121">
        <f>+K45+K78-K5</f>
        <v>0</v>
      </c>
      <c r="L133" s="65">
        <f>+L45+L78-L5</f>
        <v>0</v>
      </c>
      <c r="M133" s="66"/>
      <c r="N133" s="65">
        <f>+N45+N78-N5</f>
        <v>0</v>
      </c>
      <c r="O133" s="65">
        <f>+O45+O78-O5</f>
        <v>0</v>
      </c>
      <c r="P133" s="121">
        <f>+P45+P78-P5</f>
        <v>0</v>
      </c>
      <c r="Q133" s="65">
        <f>+Q45+Q78-Q5</f>
        <v>0</v>
      </c>
      <c r="R133" s="66"/>
      <c r="S133" s="65">
        <f>+S45+S78-S5</f>
        <v>0</v>
      </c>
      <c r="T133" s="65">
        <f>+T45+T78-T5</f>
        <v>0</v>
      </c>
      <c r="U133" s="121">
        <f>+U45+U78-U5</f>
        <v>0</v>
      </c>
      <c r="V133" s="65">
        <f>+V45+V78-V5</f>
        <v>0</v>
      </c>
      <c r="W133" s="66"/>
      <c r="X133" s="65">
        <f>+X45+X78-X5</f>
        <v>0</v>
      </c>
      <c r="Y133" s="65">
        <f>+Y45+Y78-Y5</f>
        <v>0</v>
      </c>
      <c r="Z133" s="121">
        <f>+Z45+Z78-Z5</f>
        <v>0</v>
      </c>
      <c r="AA133" s="65">
        <f>+AA45+AA78-AA5</f>
        <v>0</v>
      </c>
      <c r="AB133" s="66"/>
      <c r="AC133" s="65">
        <f>+AC45+AC78-AC5</f>
        <v>0</v>
      </c>
      <c r="AD133" s="65">
        <f>+AD45+AD78-AD5</f>
        <v>0</v>
      </c>
      <c r="AE133" s="121">
        <f>+AE45+AE78-AE5</f>
        <v>0</v>
      </c>
      <c r="AF133" s="65">
        <f>+AF45+AF78-AF5</f>
        <v>0</v>
      </c>
      <c r="AG133" s="66"/>
      <c r="AH133" s="65">
        <f>+AH45+AH78-AH5</f>
        <v>0</v>
      </c>
      <c r="AI133" s="65">
        <f>+AI45+AI78-AI5</f>
        <v>0</v>
      </c>
      <c r="AJ133" s="121">
        <f>+AJ45+AJ78-AJ5</f>
        <v>0</v>
      </c>
      <c r="AK133" s="65">
        <f>+AK45+AK78-AK5</f>
        <v>0</v>
      </c>
      <c r="AL133" s="66"/>
      <c r="AM133" s="65">
        <f>+AM45+AM78-AM5</f>
        <v>0</v>
      </c>
      <c r="AN133" s="65">
        <f>+AN45+AN78-AN5</f>
        <v>0</v>
      </c>
      <c r="AO133" s="121">
        <f>+AO45+AO78-AO5</f>
        <v>0</v>
      </c>
      <c r="AP133" s="65">
        <f>+AP45+AP78-AP5</f>
        <v>0</v>
      </c>
      <c r="AQ133" s="66"/>
      <c r="AR133" s="65">
        <f>+AR45+AR78-AR5</f>
        <v>0</v>
      </c>
      <c r="AS133" s="65">
        <f>+AS45+AS78-AS5</f>
        <v>0</v>
      </c>
      <c r="AT133" s="121">
        <f>+AT45+AT78-AT5</f>
        <v>0</v>
      </c>
      <c r="AU133" s="65">
        <f>+AU45+AU78-AU5</f>
        <v>0</v>
      </c>
      <c r="AV133" s="66"/>
    </row>
    <row r="134" spans="2:48" s="77" customFormat="1" ht="15.6" customHeight="1" outlineLevel="1" x14ac:dyDescent="0.6">
      <c r="B134" s="64" t="s">
        <v>60</v>
      </c>
      <c r="C134" s="78"/>
      <c r="D134" s="65">
        <f>+D54+D87-D6</f>
        <v>0</v>
      </c>
      <c r="E134" s="65">
        <f>+E54+E87-E6</f>
        <v>0</v>
      </c>
      <c r="F134" s="121">
        <f>+F54+F87-F6</f>
        <v>0</v>
      </c>
      <c r="G134" s="65">
        <f>+G54+G87-G6</f>
        <v>0</v>
      </c>
      <c r="H134" s="66"/>
      <c r="I134" s="65">
        <f>+I54+I87-I6</f>
        <v>0</v>
      </c>
      <c r="J134" s="65">
        <f>+J54+J87-J6</f>
        <v>0</v>
      </c>
      <c r="K134" s="121">
        <f>+K54+K87-K6</f>
        <v>0</v>
      </c>
      <c r="L134" s="65">
        <f>+L54+L87-L6</f>
        <v>0</v>
      </c>
      <c r="M134" s="66"/>
      <c r="N134" s="65">
        <f>+N54+N87-N6</f>
        <v>0</v>
      </c>
      <c r="O134" s="65">
        <f>+O54+O87-O6</f>
        <v>0</v>
      </c>
      <c r="P134" s="121">
        <f>+P54+P87-P6</f>
        <v>0</v>
      </c>
      <c r="Q134" s="65">
        <f>+Q54+Q87-Q6</f>
        <v>0</v>
      </c>
      <c r="R134" s="66"/>
      <c r="S134" s="65">
        <f>+S54+S87-S6</f>
        <v>0</v>
      </c>
      <c r="T134" s="65">
        <f>+T54+T87-T6</f>
        <v>0</v>
      </c>
      <c r="U134" s="121">
        <f>+U54+U87-U6</f>
        <v>0</v>
      </c>
      <c r="V134" s="65">
        <f>+V54+V87-V6</f>
        <v>0</v>
      </c>
      <c r="W134" s="66"/>
      <c r="X134" s="65">
        <f>+X54+X87-X6</f>
        <v>0</v>
      </c>
      <c r="Y134" s="65">
        <f>+Y54+Y87-Y6</f>
        <v>0</v>
      </c>
      <c r="Z134" s="121">
        <f>+Z54+Z87-Z6</f>
        <v>0</v>
      </c>
      <c r="AA134" s="65">
        <f>+AA54+AA87-AA6</f>
        <v>0</v>
      </c>
      <c r="AB134" s="66"/>
      <c r="AC134" s="65">
        <f>+AC54+AC87-AC6</f>
        <v>0</v>
      </c>
      <c r="AD134" s="65">
        <f>+AD54+AD87-AD6</f>
        <v>0</v>
      </c>
      <c r="AE134" s="121">
        <f>+AE54+AE87-AE6</f>
        <v>0</v>
      </c>
      <c r="AF134" s="65">
        <f>+AF54+AF87-AF6</f>
        <v>0</v>
      </c>
      <c r="AG134" s="66"/>
      <c r="AH134" s="65">
        <f>+AH54+AH87-AH6</f>
        <v>0</v>
      </c>
      <c r="AI134" s="65">
        <f>+AI54+AI87-AI6</f>
        <v>0</v>
      </c>
      <c r="AJ134" s="121">
        <f>+AJ54+AJ87-AJ6</f>
        <v>0</v>
      </c>
      <c r="AK134" s="65">
        <f>+AK54+AK87-AK6</f>
        <v>0</v>
      </c>
      <c r="AL134" s="66"/>
      <c r="AM134" s="65">
        <f>+AM54+AM87-AM6</f>
        <v>0</v>
      </c>
      <c r="AN134" s="65">
        <f>+AN54+AN87-AN6</f>
        <v>0</v>
      </c>
      <c r="AO134" s="121">
        <f>+AO54+AO87-AO6</f>
        <v>0</v>
      </c>
      <c r="AP134" s="65">
        <f>+AP54+AP87-AP6</f>
        <v>0</v>
      </c>
      <c r="AQ134" s="66"/>
      <c r="AR134" s="65">
        <f>+AR54+AR87-AR6</f>
        <v>0</v>
      </c>
      <c r="AS134" s="65">
        <f>+AS54+AS87-AS6</f>
        <v>0</v>
      </c>
      <c r="AT134" s="121">
        <f>+AT54+AT87-AT6</f>
        <v>0</v>
      </c>
      <c r="AU134" s="65">
        <f>+AU54+AU87-AU6</f>
        <v>0</v>
      </c>
      <c r="AV134" s="66"/>
    </row>
    <row r="135" spans="2:48" s="77" customFormat="1" ht="15.6" customHeight="1" outlineLevel="1" x14ac:dyDescent="0.6">
      <c r="B135" s="64" t="s">
        <v>61</v>
      </c>
      <c r="C135" s="78"/>
      <c r="D135" s="65">
        <f>+D55+D88+D108+D123-D7</f>
        <v>0</v>
      </c>
      <c r="E135" s="65">
        <f>+E55+E88+E108+E123-E7</f>
        <v>0</v>
      </c>
      <c r="F135" s="121">
        <f>+F55+F88+F108+F123-F7</f>
        <v>0</v>
      </c>
      <c r="G135" s="65">
        <f>+G55+G88+G108+G123-G7</f>
        <v>0</v>
      </c>
      <c r="H135" s="66"/>
      <c r="I135" s="65">
        <f>+I55+I88+I108+I123-I7</f>
        <v>0</v>
      </c>
      <c r="J135" s="65">
        <f>+J55+J88+J108+J123-J7</f>
        <v>0</v>
      </c>
      <c r="K135" s="121">
        <f>+K55+K88+K108+K123-K7</f>
        <v>0</v>
      </c>
      <c r="L135" s="65">
        <f>+L55+L88+L108+L123-L7</f>
        <v>0</v>
      </c>
      <c r="M135" s="66"/>
      <c r="N135" s="65">
        <f>+N55+N88+N108+N123-N7</f>
        <v>0</v>
      </c>
      <c r="O135" s="65">
        <f>+O55+O88+O108+O123-O7</f>
        <v>0</v>
      </c>
      <c r="P135" s="121">
        <f>+P55+P88+P108+P123-P7</f>
        <v>0</v>
      </c>
      <c r="Q135" s="65">
        <f>+Q55+Q88+Q108+Q123-Q7</f>
        <v>0</v>
      </c>
      <c r="R135" s="66"/>
      <c r="S135" s="65">
        <f>+S55+S88+S108+S123-S7</f>
        <v>0</v>
      </c>
      <c r="T135" s="65">
        <f>+T55+T88+T108+T123-T7</f>
        <v>0</v>
      </c>
      <c r="U135" s="121">
        <f>+U55+U88+U108+U123-U7</f>
        <v>0</v>
      </c>
      <c r="V135" s="65">
        <f>+V55+V88+V108+V123-V7</f>
        <v>0</v>
      </c>
      <c r="W135" s="66"/>
      <c r="X135" s="65">
        <f>+X55+X88+X108+X123-X7</f>
        <v>0</v>
      </c>
      <c r="Y135" s="65">
        <f>+Y55+Y88+Y108+Y123-Y7</f>
        <v>0</v>
      </c>
      <c r="Z135" s="121">
        <f>+Z55+Z88+Z108+Z123-Z7</f>
        <v>0</v>
      </c>
      <c r="AA135" s="65">
        <f>+AA55+AA88+AA108+AA123-AA7</f>
        <v>0</v>
      </c>
      <c r="AB135" s="66"/>
      <c r="AC135" s="65">
        <f>+AC55+AC88+AC108+AC123-AC7</f>
        <v>0</v>
      </c>
      <c r="AD135" s="65">
        <f>+AD55+AD88+AD108+AD123-AD7</f>
        <v>0</v>
      </c>
      <c r="AE135" s="121">
        <f>+AE55+AE88+AE108+AE123-AE7</f>
        <v>0</v>
      </c>
      <c r="AF135" s="65">
        <f>+AF55+AF88+AF108+AF123-AF7</f>
        <v>0</v>
      </c>
      <c r="AG135" s="66"/>
      <c r="AH135" s="65">
        <f>+AH55+AH88+AH108+AH123-AH7</f>
        <v>0</v>
      </c>
      <c r="AI135" s="65">
        <f>+AI55+AI88+AI108+AI123-AI7</f>
        <v>0</v>
      </c>
      <c r="AJ135" s="121">
        <f>+AJ55+AJ88+AJ108+AJ123-AJ7</f>
        <v>0</v>
      </c>
      <c r="AK135" s="65">
        <f>+AK55+AK88+AK108+AK123-AK7</f>
        <v>0</v>
      </c>
      <c r="AL135" s="66"/>
      <c r="AM135" s="65">
        <f>+AM55+AM88+AM108+AM123-AM7</f>
        <v>0</v>
      </c>
      <c r="AN135" s="65">
        <f>+AN55+AN88+AN108+AN123-AN7</f>
        <v>0</v>
      </c>
      <c r="AO135" s="121">
        <f>+AO55+AO88+AO108+AO123-AO7</f>
        <v>0</v>
      </c>
      <c r="AP135" s="65">
        <f>+AP55+AP88+AP108+AP123-AP7</f>
        <v>0</v>
      </c>
      <c r="AQ135" s="66"/>
      <c r="AR135" s="65">
        <f>+AR55+AR88+AR108+AR123-AR7</f>
        <v>0</v>
      </c>
      <c r="AS135" s="65">
        <f>+AS55+AS88+AS108+AS123-AS7</f>
        <v>0</v>
      </c>
      <c r="AT135" s="121">
        <f>+AT55+AT88+AT108+AT123-AT7</f>
        <v>0</v>
      </c>
      <c r="AU135" s="65">
        <f>+AU55+AU88+AU108+AU123-AU7</f>
        <v>0</v>
      </c>
      <c r="AV135" s="66"/>
    </row>
    <row r="136" spans="2:48" s="77" customFormat="1" ht="15.6" customHeight="1" outlineLevel="1" x14ac:dyDescent="0.6">
      <c r="B136" s="64" t="s">
        <v>36</v>
      </c>
      <c r="C136" s="78"/>
      <c r="D136" s="65">
        <f>+D119+D104-D16</f>
        <v>0</v>
      </c>
      <c r="E136" s="65">
        <f>+E119+E104-E16</f>
        <v>0</v>
      </c>
      <c r="F136" s="121">
        <f>+F119+F104-F16</f>
        <v>0</v>
      </c>
      <c r="G136" s="65">
        <f>+G119+G104-G16</f>
        <v>0</v>
      </c>
      <c r="H136" s="66"/>
      <c r="I136" s="65">
        <f>+I119+I104-I16</f>
        <v>0</v>
      </c>
      <c r="J136" s="65">
        <f>+J119+J104-J16</f>
        <v>0</v>
      </c>
      <c r="K136" s="121">
        <f>+K119+K104-K16</f>
        <v>0</v>
      </c>
      <c r="L136" s="65">
        <f>+L119+L104-L16</f>
        <v>0</v>
      </c>
      <c r="M136" s="66"/>
      <c r="N136" s="65">
        <f>+N119+N104-N16</f>
        <v>0</v>
      </c>
      <c r="O136" s="65">
        <f>+O119+O104-O16</f>
        <v>0</v>
      </c>
      <c r="P136" s="121">
        <f>+P119+P104-P16</f>
        <v>0</v>
      </c>
      <c r="Q136" s="65">
        <f>+Q119+Q104-Q16</f>
        <v>0</v>
      </c>
      <c r="R136" s="66"/>
      <c r="S136" s="65">
        <f>+S119+S104-S16</f>
        <v>0</v>
      </c>
      <c r="T136" s="65">
        <f>+T119+T104-T16</f>
        <v>0</v>
      </c>
      <c r="U136" s="121">
        <f>+U119+U104-U16</f>
        <v>0</v>
      </c>
      <c r="V136" s="65">
        <f>+V119+V104-V16</f>
        <v>0</v>
      </c>
      <c r="W136" s="66"/>
      <c r="X136" s="65">
        <f>+X119+X104-X16</f>
        <v>0</v>
      </c>
      <c r="Y136" s="65">
        <f>+Y119+Y104-Y16</f>
        <v>0</v>
      </c>
      <c r="Z136" s="121">
        <f>+Z119+Z104-Z16</f>
        <v>0</v>
      </c>
      <c r="AA136" s="65">
        <f>+AA119+AA104-AA16</f>
        <v>0</v>
      </c>
      <c r="AB136" s="66"/>
      <c r="AC136" s="65">
        <f>+AC119+AC104-AC16</f>
        <v>0</v>
      </c>
      <c r="AD136" s="65">
        <f>+AD119+AD104-AD16</f>
        <v>0</v>
      </c>
      <c r="AE136" s="121">
        <f>+AE119+AE104-AE16</f>
        <v>0</v>
      </c>
      <c r="AF136" s="65">
        <f>+AF119+AF104-AF16</f>
        <v>0</v>
      </c>
      <c r="AG136" s="66"/>
      <c r="AH136" s="65">
        <f>+AH119+AH104-AH16</f>
        <v>0</v>
      </c>
      <c r="AI136" s="65">
        <f>+AI119+AI104-AI16</f>
        <v>0</v>
      </c>
      <c r="AJ136" s="121">
        <f>+AJ119+AJ104-AJ16</f>
        <v>0</v>
      </c>
      <c r="AK136" s="65">
        <f>+AK119+AK104-AK16</f>
        <v>0</v>
      </c>
      <c r="AL136" s="66"/>
      <c r="AM136" s="65">
        <f>+AM119+AM104-AM16</f>
        <v>0</v>
      </c>
      <c r="AN136" s="65">
        <f>+AN119+AN104-AN16</f>
        <v>0</v>
      </c>
      <c r="AO136" s="121">
        <f>+AO119+AO104-AO16</f>
        <v>0</v>
      </c>
      <c r="AP136" s="65">
        <f>+AP119+AP104-AP16</f>
        <v>0</v>
      </c>
      <c r="AQ136" s="66"/>
      <c r="AR136" s="65">
        <f>+AR119+AR104-AR16</f>
        <v>0</v>
      </c>
      <c r="AS136" s="65">
        <f>+AS119+AS104-AS16</f>
        <v>0</v>
      </c>
      <c r="AT136" s="121">
        <f>+AT119+AT104-AT16</f>
        <v>0</v>
      </c>
      <c r="AU136" s="65">
        <f>+AU119+AU104-AU16</f>
        <v>0</v>
      </c>
      <c r="AV136" s="66"/>
    </row>
    <row r="137" spans="2:48" s="77" customFormat="1" ht="15.6" customHeight="1" outlineLevel="1" x14ac:dyDescent="0.6">
      <c r="B137" s="64" t="s">
        <v>62</v>
      </c>
      <c r="C137" s="78"/>
      <c r="D137" s="65">
        <f>+D71+D105+D120+D131-D17</f>
        <v>0</v>
      </c>
      <c r="E137" s="65">
        <f>+E71+E105+E120+E131-E17</f>
        <v>0</v>
      </c>
      <c r="F137" s="121">
        <f>+F71+F105+F120+F131-F17</f>
        <v>0</v>
      </c>
      <c r="G137" s="65">
        <f>+G71+G105+G120+G131-G17</f>
        <v>9.9999999998544808E-2</v>
      </c>
      <c r="H137" s="66"/>
      <c r="I137" s="65">
        <f>+I71+I105+I120+I131-I17</f>
        <v>0</v>
      </c>
      <c r="J137" s="65">
        <f>+J71+J105+J120+J131-J17</f>
        <v>6.8212102632969618E-13</v>
      </c>
      <c r="K137" s="121">
        <f>+K71+K105+K120+K131-K17</f>
        <v>0</v>
      </c>
      <c r="L137" s="65">
        <f>+L71+L105+L120+L131-L17</f>
        <v>-2.0999999999996817</v>
      </c>
      <c r="M137" s="66"/>
      <c r="N137" s="65">
        <f>+N71+N105+N120+N131-N17</f>
        <v>0</v>
      </c>
      <c r="O137" s="65">
        <f>+O71+O105+O120+O131-O17</f>
        <v>0</v>
      </c>
      <c r="P137" s="121">
        <f>+P71+P105+P120+P131-P17</f>
        <v>0</v>
      </c>
      <c r="Q137" s="65">
        <f>+Q71+Q105+Q120+Q131-Q17</f>
        <v>0</v>
      </c>
      <c r="R137" s="66"/>
      <c r="S137" s="65">
        <f>+S71+S105+S120+S131-S17</f>
        <v>0</v>
      </c>
      <c r="T137" s="65">
        <f>+T71+T105+T120+T131-T17</f>
        <v>0</v>
      </c>
      <c r="U137" s="121">
        <f>+U71+U105+U120+U131-U17</f>
        <v>0</v>
      </c>
      <c r="V137" s="65">
        <f>+V71+V105+V120+V131-V17</f>
        <v>0</v>
      </c>
      <c r="W137" s="66"/>
      <c r="X137" s="65">
        <f>+X71+X105+X120+X131-X17</f>
        <v>0</v>
      </c>
      <c r="Y137" s="65">
        <f>+Y71+Y105+Y120+Y131-Y17</f>
        <v>0</v>
      </c>
      <c r="Z137" s="121">
        <f>+Z71+Z105+Z120+Z131-Z17</f>
        <v>1.8189894035458565E-12</v>
      </c>
      <c r="AA137" s="65">
        <f>+AA71+AA105+AA120+AA131-AA17</f>
        <v>0</v>
      </c>
      <c r="AB137" s="66"/>
      <c r="AC137" s="65">
        <f>+AC71+AC105+AC120+AC131-AC17</f>
        <v>0</v>
      </c>
      <c r="AD137" s="65">
        <f>+AD71+AD105+AD120+AD131-AD17</f>
        <v>0</v>
      </c>
      <c r="AE137" s="121">
        <f>+AE71+AE105+AE120+AE131-AE17</f>
        <v>0</v>
      </c>
      <c r="AF137" s="65">
        <f>+AF71+AF105+AF120+AF131-AF17</f>
        <v>0</v>
      </c>
      <c r="AG137" s="66"/>
      <c r="AH137" s="65">
        <f>+AH71+AH105+AH120+AH131-AH17</f>
        <v>0</v>
      </c>
      <c r="AI137" s="65">
        <f>+AI71+AI105+AI120+AI131-AI17</f>
        <v>0</v>
      </c>
      <c r="AJ137" s="121">
        <f>+AJ71+AJ105+AJ120+AJ131-AJ17</f>
        <v>0</v>
      </c>
      <c r="AK137" s="65">
        <f>+AK71+AK105+AK120+AK131-AK17</f>
        <v>0</v>
      </c>
      <c r="AL137" s="66"/>
      <c r="AM137" s="65">
        <f>+AM71+AM105+AM120+AM131-AM17</f>
        <v>0</v>
      </c>
      <c r="AN137" s="65">
        <f>+AN71+AN105+AN120+AN131-AN17</f>
        <v>0</v>
      </c>
      <c r="AO137" s="121">
        <f>+AO71+AO105+AO120+AO131-AO17</f>
        <v>0</v>
      </c>
      <c r="AP137" s="65">
        <f>+AP71+AP105+AP120+AP131-AP17</f>
        <v>2.7284841053187847E-12</v>
      </c>
      <c r="AQ137" s="66"/>
      <c r="AR137" s="65">
        <f>+AR71+AR105+AR120+AR131-AR17</f>
        <v>0</v>
      </c>
      <c r="AS137" s="65">
        <f>+AS71+AS105+AS120+AS131-AS17</f>
        <v>0</v>
      </c>
      <c r="AT137" s="121">
        <f>+AT71+AT105+AT120+AT131-AT17</f>
        <v>0</v>
      </c>
      <c r="AU137" s="65">
        <f>+AU71+AU105+AU120+AU131-AU17</f>
        <v>0</v>
      </c>
      <c r="AV137" s="66"/>
    </row>
    <row r="138" spans="2:48" ht="15" customHeight="1" x14ac:dyDescent="0.85">
      <c r="B138" s="282" t="s">
        <v>9</v>
      </c>
      <c r="C138" s="283"/>
      <c r="D138" s="14" t="s">
        <v>19</v>
      </c>
      <c r="E138" s="14" t="s">
        <v>81</v>
      </c>
      <c r="F138" s="14" t="s">
        <v>85</v>
      </c>
      <c r="G138" s="14" t="s">
        <v>95</v>
      </c>
      <c r="H138" s="40" t="s">
        <v>96</v>
      </c>
      <c r="I138" s="14" t="s">
        <v>97</v>
      </c>
      <c r="J138" s="14" t="s">
        <v>98</v>
      </c>
      <c r="K138" s="14" t="s">
        <v>99</v>
      </c>
      <c r="L138" s="14" t="s">
        <v>143</v>
      </c>
      <c r="M138" s="40" t="s">
        <v>144</v>
      </c>
      <c r="N138" s="14" t="s">
        <v>150</v>
      </c>
      <c r="O138" s="14" t="s">
        <v>158</v>
      </c>
      <c r="P138" s="14" t="s">
        <v>160</v>
      </c>
      <c r="Q138" s="14" t="s">
        <v>173</v>
      </c>
      <c r="R138" s="40" t="s">
        <v>174</v>
      </c>
      <c r="S138" s="14" t="s">
        <v>189</v>
      </c>
      <c r="T138" s="14" t="s">
        <v>190</v>
      </c>
      <c r="U138" s="14" t="s">
        <v>205</v>
      </c>
      <c r="V138" s="12" t="s">
        <v>25</v>
      </c>
      <c r="W138" s="42" t="s">
        <v>26</v>
      </c>
      <c r="X138" s="12" t="s">
        <v>27</v>
      </c>
      <c r="Y138" s="12" t="s">
        <v>28</v>
      </c>
      <c r="Z138" s="12" t="s">
        <v>29</v>
      </c>
      <c r="AA138" s="12" t="s">
        <v>30</v>
      </c>
      <c r="AB138" s="42" t="s">
        <v>31</v>
      </c>
      <c r="AC138" s="12" t="s">
        <v>90</v>
      </c>
      <c r="AD138" s="12" t="s">
        <v>91</v>
      </c>
      <c r="AE138" s="12" t="s">
        <v>92</v>
      </c>
      <c r="AF138" s="12" t="s">
        <v>93</v>
      </c>
      <c r="AG138" s="42" t="s">
        <v>94</v>
      </c>
      <c r="AH138" s="12" t="s">
        <v>109</v>
      </c>
      <c r="AI138" s="12" t="s">
        <v>110</v>
      </c>
      <c r="AJ138" s="12" t="s">
        <v>111</v>
      </c>
      <c r="AK138" s="12" t="s">
        <v>112</v>
      </c>
      <c r="AL138" s="42" t="s">
        <v>113</v>
      </c>
      <c r="AM138" s="12" t="s">
        <v>165</v>
      </c>
      <c r="AN138" s="12" t="s">
        <v>166</v>
      </c>
      <c r="AO138" s="12" t="s">
        <v>167</v>
      </c>
      <c r="AP138" s="12" t="s">
        <v>168</v>
      </c>
      <c r="AQ138" s="42" t="s">
        <v>169</v>
      </c>
      <c r="AR138" s="12" t="s">
        <v>196</v>
      </c>
      <c r="AS138" s="12" t="s">
        <v>197</v>
      </c>
      <c r="AT138" s="12" t="s">
        <v>198</v>
      </c>
      <c r="AU138" s="12" t="s">
        <v>199</v>
      </c>
      <c r="AV138" s="42" t="s">
        <v>200</v>
      </c>
    </row>
    <row r="139" spans="2:48" s="23" customFormat="1" outlineLevel="1" x14ac:dyDescent="0.55000000000000004">
      <c r="B139" s="209" t="s">
        <v>170</v>
      </c>
      <c r="C139" s="210"/>
      <c r="D139" s="27"/>
      <c r="E139" s="27"/>
      <c r="F139" s="27"/>
      <c r="G139" s="27"/>
      <c r="H139" s="29"/>
      <c r="I139" s="27"/>
      <c r="J139" s="27"/>
      <c r="K139" s="27"/>
      <c r="L139" s="113"/>
      <c r="M139" s="138"/>
      <c r="N139" s="113"/>
      <c r="O139" s="113"/>
      <c r="P139" s="113"/>
      <c r="Q139" s="113"/>
      <c r="R139" s="29"/>
      <c r="S139" s="113"/>
      <c r="T139" s="113"/>
      <c r="U139" s="113"/>
      <c r="V139" s="113"/>
      <c r="W139" s="138"/>
      <c r="X139" s="113"/>
      <c r="Y139" s="113"/>
      <c r="Z139" s="113"/>
      <c r="AA139" s="113"/>
      <c r="AB139" s="138">
        <f>(AB91+AB58)/(W83+W74+W50+W41)</f>
        <v>3.6068734758691087E-2</v>
      </c>
      <c r="AC139" s="113"/>
      <c r="AD139" s="113"/>
      <c r="AE139" s="113"/>
      <c r="AF139" s="113"/>
      <c r="AG139" s="138">
        <f>(AG91+AG58)/(AB83+AB74+AB50+AB41)</f>
        <v>3.4813071323006185E-2</v>
      </c>
      <c r="AH139" s="113"/>
      <c r="AI139" s="113"/>
      <c r="AJ139" s="113"/>
      <c r="AK139" s="113"/>
      <c r="AL139" s="138">
        <f>(AL91+AL58)/(AG83+AG74+AG50+AG41)</f>
        <v>3.3641893678920919E-2</v>
      </c>
      <c r="AM139" s="113"/>
      <c r="AN139" s="113"/>
      <c r="AO139" s="113"/>
      <c r="AP139" s="113"/>
      <c r="AQ139" s="138">
        <f>(AQ91+AQ58)/(AL83+AL74+AL50+AL41)</f>
        <v>3.2546952561281407E-2</v>
      </c>
      <c r="AR139" s="113"/>
      <c r="AS139" s="113"/>
      <c r="AT139" s="113"/>
      <c r="AU139" s="113"/>
      <c r="AV139" s="138">
        <f>(AV91+AV58)/(AQ83+AQ74+AQ50+AQ41)</f>
        <v>3.152103880656193E-2</v>
      </c>
    </row>
    <row r="140" spans="2:48" s="23" customFormat="1" outlineLevel="1" x14ac:dyDescent="0.55000000000000004">
      <c r="B140" s="286" t="s">
        <v>17</v>
      </c>
      <c r="C140" s="287"/>
      <c r="D140" s="30"/>
      <c r="E140" s="30"/>
      <c r="F140" s="30"/>
      <c r="G140" s="30"/>
      <c r="H140" s="138"/>
      <c r="I140" s="30">
        <f t="shared" ref="I140:AV140" si="451">I8/D8-1</f>
        <v>7.0016735266180907E-2</v>
      </c>
      <c r="J140" s="30">
        <f t="shared" si="451"/>
        <v>-4.9192026514851106E-2</v>
      </c>
      <c r="K140" s="30">
        <f t="shared" si="451"/>
        <v>-0.38119595485856661</v>
      </c>
      <c r="L140" s="113">
        <f t="shared" si="451"/>
        <v>-8.061360604713208E-2</v>
      </c>
      <c r="M140" s="129">
        <f t="shared" si="451"/>
        <v>-0.11281621813298315</v>
      </c>
      <c r="N140" s="30">
        <f t="shared" si="451"/>
        <v>-4.8991841738174613E-2</v>
      </c>
      <c r="O140" s="30">
        <f t="shared" si="451"/>
        <v>0.11213036009139876</v>
      </c>
      <c r="P140" s="30">
        <f t="shared" si="451"/>
        <v>0.77553823926482068</v>
      </c>
      <c r="Q140" s="30">
        <f t="shared" si="451"/>
        <v>0.31332720736405983</v>
      </c>
      <c r="R140" s="129">
        <f t="shared" si="451"/>
        <v>0.23567480227910509</v>
      </c>
      <c r="S140" s="30">
        <f t="shared" si="451"/>
        <v>0.19275787477405393</v>
      </c>
      <c r="T140" s="30">
        <f t="shared" si="451"/>
        <v>0.14511097780443905</v>
      </c>
      <c r="U140" s="30">
        <f t="shared" si="451"/>
        <v>8.7187354098579473E-2</v>
      </c>
      <c r="V140" s="30">
        <f t="shared" si="451"/>
        <v>1.5104643598021328E-2</v>
      </c>
      <c r="W140" s="28">
        <f t="shared" si="451"/>
        <v>0.10478974969546395</v>
      </c>
      <c r="X140" s="30">
        <f t="shared" si="451"/>
        <v>3.446698300705564E-2</v>
      </c>
      <c r="Y140" s="30">
        <f t="shared" si="451"/>
        <v>0.10643642935722153</v>
      </c>
      <c r="Z140" s="30">
        <f t="shared" si="451"/>
        <v>4.7911068575845706E-2</v>
      </c>
      <c r="AA140" s="30">
        <f t="shared" si="451"/>
        <v>4.7485773758901839E-2</v>
      </c>
      <c r="AB140" s="138">
        <f t="shared" si="451"/>
        <v>5.8349317801959621E-2</v>
      </c>
      <c r="AC140" s="30">
        <f t="shared" si="451"/>
        <v>4.6179779638810592E-2</v>
      </c>
      <c r="AD140" s="30">
        <f t="shared" si="451"/>
        <v>4.6822748844561168E-2</v>
      </c>
      <c r="AE140" s="30">
        <f t="shared" si="451"/>
        <v>4.7001022178821739E-2</v>
      </c>
      <c r="AF140" s="30">
        <f t="shared" si="451"/>
        <v>4.7061373392596195E-2</v>
      </c>
      <c r="AG140" s="138">
        <f t="shared" si="451"/>
        <v>4.6770807217546118E-2</v>
      </c>
      <c r="AH140" s="30">
        <f t="shared" si="451"/>
        <v>4.5870288227022993E-2</v>
      </c>
      <c r="AI140" s="30">
        <f t="shared" si="451"/>
        <v>4.650608780214549E-2</v>
      </c>
      <c r="AJ140" s="30">
        <f t="shared" si="451"/>
        <v>4.6635457650210821E-2</v>
      </c>
      <c r="AK140" s="30">
        <f t="shared" si="451"/>
        <v>4.6798068895650635E-2</v>
      </c>
      <c r="AL140" s="28">
        <f t="shared" si="451"/>
        <v>4.6457329787755075E-2</v>
      </c>
      <c r="AM140" s="30">
        <f t="shared" si="451"/>
        <v>4.5672446008421019E-2</v>
      </c>
      <c r="AN140" s="30">
        <f t="shared" si="451"/>
        <v>4.6339530605420398E-2</v>
      </c>
      <c r="AO140" s="30">
        <f t="shared" si="451"/>
        <v>4.6457267478220432E-2</v>
      </c>
      <c r="AP140" s="30">
        <f t="shared" si="451"/>
        <v>4.671838065838152E-2</v>
      </c>
      <c r="AQ140" s="28">
        <f t="shared" si="451"/>
        <v>4.6302464940645827E-2</v>
      </c>
      <c r="AR140" s="30">
        <f t="shared" si="451"/>
        <v>4.5621800317960703E-2</v>
      </c>
      <c r="AS140" s="30">
        <f t="shared" si="451"/>
        <v>4.6349220358893328E-2</v>
      </c>
      <c r="AT140" s="30">
        <f t="shared" si="451"/>
        <v>4.6478947371549451E-2</v>
      </c>
      <c r="AU140" s="30">
        <f t="shared" si="451"/>
        <v>4.683745729725608E-2</v>
      </c>
      <c r="AV140" s="28">
        <f t="shared" si="451"/>
        <v>4.6328463546970955E-2</v>
      </c>
    </row>
    <row r="141" spans="2:48" s="23" customFormat="1" outlineLevel="1" x14ac:dyDescent="0.55000000000000004">
      <c r="B141" s="286" t="s">
        <v>4</v>
      </c>
      <c r="C141" s="287"/>
      <c r="D141" s="27">
        <f t="shared" ref="D141:AV141" si="452">D17/D8</f>
        <v>0.15313522396610738</v>
      </c>
      <c r="E141" s="27">
        <f t="shared" si="452"/>
        <v>0.13601547756862614</v>
      </c>
      <c r="F141" s="27">
        <f t="shared" si="452"/>
        <v>0.16434119888612064</v>
      </c>
      <c r="G141" s="27">
        <f t="shared" si="452"/>
        <v>0.16054542759745088</v>
      </c>
      <c r="H141" s="29">
        <f t="shared" si="452"/>
        <v>0.15383309567461143</v>
      </c>
      <c r="I141" s="27">
        <f t="shared" si="452"/>
        <v>0.1718730185568752</v>
      </c>
      <c r="J141" s="27">
        <f t="shared" si="452"/>
        <v>8.1291592307820446E-2</v>
      </c>
      <c r="K141" s="27">
        <f t="shared" si="452"/>
        <v>-0.16671798394164022</v>
      </c>
      <c r="L141" s="113">
        <f t="shared" si="452"/>
        <v>9.0003385404072211E-2</v>
      </c>
      <c r="M141" s="138">
        <f t="shared" si="452"/>
        <v>6.6400204098988183E-2</v>
      </c>
      <c r="N141" s="27">
        <f t="shared" si="452"/>
        <v>0.13534536403235845</v>
      </c>
      <c r="O141" s="27">
        <f t="shared" si="452"/>
        <v>0.14811037792441512</v>
      </c>
      <c r="P141" s="27">
        <f t="shared" si="452"/>
        <v>0.19858600680317468</v>
      </c>
      <c r="Q141" s="27">
        <f t="shared" si="452"/>
        <v>0.18193869910515911</v>
      </c>
      <c r="R141" s="138">
        <f t="shared" si="452"/>
        <v>0.16764966999993108</v>
      </c>
      <c r="S141" s="27">
        <f t="shared" si="452"/>
        <v>0.14630328927755143</v>
      </c>
      <c r="T141" s="27">
        <f t="shared" si="452"/>
        <v>0.12427314159987431</v>
      </c>
      <c r="U141" s="27">
        <f t="shared" si="452"/>
        <v>0.15895510484533926</v>
      </c>
      <c r="V141" s="27">
        <f t="shared" si="452"/>
        <v>0.15860769432255573</v>
      </c>
      <c r="W141" s="138">
        <f t="shared" si="452"/>
        <v>0.14744496761842871</v>
      </c>
      <c r="X141" s="27">
        <f t="shared" si="452"/>
        <v>0.1584090546663933</v>
      </c>
      <c r="Y141" s="27">
        <f t="shared" si="452"/>
        <v>0.15895551657184606</v>
      </c>
      <c r="Z141" s="27">
        <f t="shared" si="452"/>
        <v>0.15945584394789414</v>
      </c>
      <c r="AA141" s="27">
        <f t="shared" si="452"/>
        <v>0.16118978195659908</v>
      </c>
      <c r="AB141" s="138">
        <f t="shared" si="452"/>
        <v>0.15951693136249048</v>
      </c>
      <c r="AC141" s="27">
        <f t="shared" si="452"/>
        <v>0.16068296335974924</v>
      </c>
      <c r="AD141" s="27">
        <f t="shared" si="452"/>
        <v>0.16140203954928689</v>
      </c>
      <c r="AE141" s="27">
        <f t="shared" si="452"/>
        <v>0.16205188081508923</v>
      </c>
      <c r="AF141" s="27">
        <f t="shared" si="452"/>
        <v>0.16385458602186559</v>
      </c>
      <c r="AG141" s="138">
        <f t="shared" si="452"/>
        <v>0.1620146848826694</v>
      </c>
      <c r="AH141" s="27">
        <f t="shared" si="452"/>
        <v>0.16308735293951548</v>
      </c>
      <c r="AI141" s="27">
        <f t="shared" si="452"/>
        <v>0.16394247041031257</v>
      </c>
      <c r="AJ141" s="27">
        <f t="shared" si="452"/>
        <v>0.16470483424070959</v>
      </c>
      <c r="AK141" s="27">
        <f t="shared" si="452"/>
        <v>0.16659827582367703</v>
      </c>
      <c r="AL141" s="29">
        <f t="shared" si="452"/>
        <v>0.1646022836359631</v>
      </c>
      <c r="AM141" s="27">
        <f t="shared" si="452"/>
        <v>0.16560072428465281</v>
      </c>
      <c r="AN141" s="27">
        <f t="shared" si="452"/>
        <v>0.16656847252328089</v>
      </c>
      <c r="AO141" s="27">
        <f t="shared" si="452"/>
        <v>0.16742269482605909</v>
      </c>
      <c r="AP141" s="27">
        <f t="shared" si="452"/>
        <v>0.16942653005503486</v>
      </c>
      <c r="AQ141" s="29">
        <f t="shared" si="452"/>
        <v>0.16727586606968864</v>
      </c>
      <c r="AR141" s="27">
        <f t="shared" si="452"/>
        <v>0.16821642883216256</v>
      </c>
      <c r="AS141" s="27">
        <f t="shared" si="452"/>
        <v>0.16928241569085842</v>
      </c>
      <c r="AT141" s="27">
        <f t="shared" si="452"/>
        <v>0.17021768468595835</v>
      </c>
      <c r="AU141" s="27">
        <f t="shared" si="452"/>
        <v>0.17235009040730262</v>
      </c>
      <c r="AV141" s="29">
        <f t="shared" si="452"/>
        <v>0.17004023838466986</v>
      </c>
    </row>
    <row r="142" spans="2:48" s="23" customFormat="1" outlineLevel="1" x14ac:dyDescent="0.55000000000000004">
      <c r="B142" s="286" t="s">
        <v>77</v>
      </c>
      <c r="C142" s="287"/>
      <c r="D142" s="27">
        <f t="shared" ref="D142:AV142" si="453">+D19/D8</f>
        <v>0.17394123056975294</v>
      </c>
      <c r="E142" s="27">
        <f t="shared" si="453"/>
        <v>0.15843892227913536</v>
      </c>
      <c r="F142" s="27">
        <f t="shared" si="453"/>
        <v>0.18270555474131628</v>
      </c>
      <c r="G142" s="27">
        <f t="shared" si="453"/>
        <v>0.17201719282644154</v>
      </c>
      <c r="H142" s="29">
        <f t="shared" si="453"/>
        <v>0.17201964645435841</v>
      </c>
      <c r="I142" s="27">
        <f t="shared" si="453"/>
        <v>0.1819616463062376</v>
      </c>
      <c r="J142" s="27">
        <f t="shared" si="453"/>
        <v>9.2432910252347358E-2</v>
      </c>
      <c r="K142" s="27">
        <f t="shared" si="453"/>
        <v>-0.12558205632268285</v>
      </c>
      <c r="L142" s="113">
        <f t="shared" si="453"/>
        <v>0.13183730715287523</v>
      </c>
      <c r="M142" s="138">
        <f t="shared" si="453"/>
        <v>9.0704141508631861E-2</v>
      </c>
      <c r="N142" s="27">
        <f t="shared" si="453"/>
        <v>0.15533232583637069</v>
      </c>
      <c r="O142" s="27">
        <f t="shared" si="453"/>
        <v>0.1613377324535093</v>
      </c>
      <c r="P142" s="27">
        <f t="shared" si="453"/>
        <v>0.20548255852731262</v>
      </c>
      <c r="Q142" s="27">
        <f t="shared" si="453"/>
        <v>0.19607939411049871</v>
      </c>
      <c r="R142" s="138">
        <f t="shared" si="453"/>
        <v>0.18106990220435909</v>
      </c>
      <c r="S142" s="27">
        <f t="shared" si="453"/>
        <v>0.15067574282023255</v>
      </c>
      <c r="T142" s="27">
        <f t="shared" si="453"/>
        <v>0.13049400178113052</v>
      </c>
      <c r="U142" s="27">
        <f t="shared" si="453"/>
        <v>0.16846419062342788</v>
      </c>
      <c r="V142" s="27">
        <f t="shared" si="453"/>
        <v>0.16803965680075791</v>
      </c>
      <c r="W142" s="138">
        <f t="shared" si="453"/>
        <v>0.15486417557406221</v>
      </c>
      <c r="X142" s="27">
        <f t="shared" si="453"/>
        <v>0.16777519173404551</v>
      </c>
      <c r="Y142" s="27">
        <f t="shared" si="453"/>
        <v>0.16818813669711141</v>
      </c>
      <c r="Z142" s="27">
        <f t="shared" si="453"/>
        <v>0.1685887131441314</v>
      </c>
      <c r="AA142" s="27">
        <f t="shared" si="453"/>
        <v>0.17019416436873974</v>
      </c>
      <c r="AB142" s="138">
        <f t="shared" si="453"/>
        <v>0.16869901716888105</v>
      </c>
      <c r="AC142" s="27">
        <f t="shared" si="453"/>
        <v>0.16963566656615783</v>
      </c>
      <c r="AD142" s="27">
        <f t="shared" si="453"/>
        <v>0.17022169897630635</v>
      </c>
      <c r="AE142" s="27">
        <f t="shared" si="453"/>
        <v>0.17077476551412385</v>
      </c>
      <c r="AF142" s="27">
        <f t="shared" si="453"/>
        <v>0.1724542561471854</v>
      </c>
      <c r="AG142" s="138">
        <f t="shared" si="453"/>
        <v>0.17078650555542749</v>
      </c>
      <c r="AH142" s="27">
        <f t="shared" si="453"/>
        <v>0.17164740413055313</v>
      </c>
      <c r="AI142" s="27">
        <f t="shared" si="453"/>
        <v>0.17237018958922565</v>
      </c>
      <c r="AJ142" s="27">
        <f t="shared" si="453"/>
        <v>0.17303904901938552</v>
      </c>
      <c r="AK142" s="27">
        <f t="shared" si="453"/>
        <v>0.17481348979936986</v>
      </c>
      <c r="AL142" s="29">
        <f t="shared" si="453"/>
        <v>0.17298468053172306</v>
      </c>
      <c r="AM142" s="27">
        <f t="shared" si="453"/>
        <v>0.17378689312147486</v>
      </c>
      <c r="AN142" s="27">
        <f t="shared" si="453"/>
        <v>0.17462295095251193</v>
      </c>
      <c r="AO142" s="27">
        <f t="shared" si="453"/>
        <v>0.17538691375566712</v>
      </c>
      <c r="AP142" s="27">
        <f t="shared" si="453"/>
        <v>0.17727507282212135</v>
      </c>
      <c r="AQ142" s="29">
        <f t="shared" si="453"/>
        <v>0.1752873132148843</v>
      </c>
      <c r="AR142" s="27">
        <f t="shared" si="453"/>
        <v>0.17604542477919879</v>
      </c>
      <c r="AS142" s="27">
        <f t="shared" si="453"/>
        <v>0.17698011190213708</v>
      </c>
      <c r="AT142" s="27">
        <f t="shared" si="453"/>
        <v>0.1778281759907398</v>
      </c>
      <c r="AU142" s="27">
        <f t="shared" si="453"/>
        <v>0.17984747475515545</v>
      </c>
      <c r="AV142" s="29">
        <f t="shared" si="453"/>
        <v>0.17769696132044616</v>
      </c>
    </row>
    <row r="143" spans="2:48" s="23" customFormat="1" outlineLevel="1" x14ac:dyDescent="0.55000000000000004">
      <c r="B143" s="286" t="s">
        <v>2</v>
      </c>
      <c r="C143" s="287"/>
      <c r="D143" s="27">
        <f t="shared" ref="D143:K143" si="454">D24/D23</f>
        <v>0.2124287933713101</v>
      </c>
      <c r="E143" s="27">
        <f t="shared" si="454"/>
        <v>0.1965853658536586</v>
      </c>
      <c r="F143" s="27">
        <f t="shared" si="454"/>
        <v>0.18110799689903978</v>
      </c>
      <c r="G143" s="118">
        <f t="shared" si="454"/>
        <v>0.20083682008368189</v>
      </c>
      <c r="H143" s="138">
        <f t="shared" si="454"/>
        <v>0.19515471765706843</v>
      </c>
      <c r="I143" s="118">
        <f t="shared" si="454"/>
        <v>0.22600104913446431</v>
      </c>
      <c r="J143" s="118">
        <f t="shared" si="454"/>
        <v>0.16760635571501836</v>
      </c>
      <c r="K143" s="118">
        <f t="shared" si="454"/>
        <v>0.16490147783251249</v>
      </c>
      <c r="L143" s="118">
        <v>0.25</v>
      </c>
      <c r="M143" s="138">
        <f t="shared" ref="M143:U143" si="455">M24/M23</f>
        <v>0.20585709378220463</v>
      </c>
      <c r="N143" s="118">
        <f t="shared" si="455"/>
        <v>0.23023629840405785</v>
      </c>
      <c r="O143" s="118">
        <f t="shared" si="455"/>
        <v>0.25901786717608721</v>
      </c>
      <c r="P143" s="118">
        <f t="shared" si="455"/>
        <v>0.18217246510309659</v>
      </c>
      <c r="Q143" s="118">
        <f t="shared" si="455"/>
        <v>0.21489588894821143</v>
      </c>
      <c r="R143" s="138">
        <f t="shared" si="455"/>
        <v>0.21591906068581893</v>
      </c>
      <c r="S143" s="118">
        <f t="shared" si="455"/>
        <v>0.23183358433734938</v>
      </c>
      <c r="T143" s="118">
        <f t="shared" si="455"/>
        <v>0.22954000684853323</v>
      </c>
      <c r="U143" s="118">
        <f t="shared" si="455"/>
        <v>0.23360174467371256</v>
      </c>
      <c r="V143" s="35">
        <v>0.24</v>
      </c>
      <c r="W143" s="138">
        <f>W24/W23</f>
        <v>0.23413050764527021</v>
      </c>
      <c r="X143" s="34">
        <v>0.24</v>
      </c>
      <c r="Y143" s="34">
        <v>0.24</v>
      </c>
      <c r="Z143" s="34">
        <v>0.24</v>
      </c>
      <c r="AA143" s="34">
        <v>0.24</v>
      </c>
      <c r="AB143" s="138">
        <f>AB24/AB23</f>
        <v>0.24000000000000005</v>
      </c>
      <c r="AC143" s="34">
        <f>AVERAGE(X143,Y143,Z143,AA143)</f>
        <v>0.24</v>
      </c>
      <c r="AD143" s="34">
        <f>AVERAGE(Y143,Z143,AA143,AC143)</f>
        <v>0.24</v>
      </c>
      <c r="AE143" s="34">
        <f>AVERAGE(Z143,AA143,AC143,AD143)</f>
        <v>0.24</v>
      </c>
      <c r="AF143" s="34">
        <f>AVERAGE(AA143,AC143,AD143,AE143)</f>
        <v>0.24</v>
      </c>
      <c r="AG143" s="29">
        <f>AG24/AG23</f>
        <v>0.24000000000000016</v>
      </c>
      <c r="AH143" s="34">
        <f>AVERAGE(AC143,AD143,AE143,AF143)</f>
        <v>0.24</v>
      </c>
      <c r="AI143" s="34">
        <f>AVERAGE(AD143,AE143,AF143,AH143)</f>
        <v>0.24</v>
      </c>
      <c r="AJ143" s="34">
        <f>AVERAGE(AE143,AF143,AH143,AI143)</f>
        <v>0.24</v>
      </c>
      <c r="AK143" s="34">
        <f>AVERAGE(AF143,AH143,AI143,AJ143)</f>
        <v>0.24</v>
      </c>
      <c r="AL143" s="29">
        <f>AL24/AL23</f>
        <v>0.24000000000000013</v>
      </c>
      <c r="AM143" s="34">
        <f>AVERAGE(AH143,AI143,AJ143,AK143)</f>
        <v>0.24</v>
      </c>
      <c r="AN143" s="34">
        <f>AVERAGE(AI143,AJ143,AK143,AM143)</f>
        <v>0.24</v>
      </c>
      <c r="AO143" s="34">
        <f>AVERAGE(AJ143,AK143,AM143,AN143)</f>
        <v>0.24</v>
      </c>
      <c r="AP143" s="34">
        <f>AVERAGE(AK143,AM143,AN143,AO143)</f>
        <v>0.24</v>
      </c>
      <c r="AQ143" s="29">
        <f>AQ24/AQ23</f>
        <v>0.23999999999999994</v>
      </c>
      <c r="AR143" s="34">
        <f>AVERAGE(AM143,AN143,AO143,AP143)</f>
        <v>0.24</v>
      </c>
      <c r="AS143" s="34">
        <f>AVERAGE(AN143,AO143,AP143,AR143)</f>
        <v>0.24</v>
      </c>
      <c r="AT143" s="34">
        <f>AVERAGE(AO143,AP143,AR143,AS143)</f>
        <v>0.24</v>
      </c>
      <c r="AU143" s="34">
        <f>AVERAGE(AP143,AR143,AS143,AT143)</f>
        <v>0.24</v>
      </c>
      <c r="AV143" s="29">
        <f>AV24/AV23</f>
        <v>0.23999999999999991</v>
      </c>
    </row>
    <row r="144" spans="2:48" s="23" customFormat="1" outlineLevel="1" x14ac:dyDescent="0.55000000000000004">
      <c r="B144" s="286" t="s">
        <v>78</v>
      </c>
      <c r="C144" s="287"/>
      <c r="D144" s="27"/>
      <c r="E144" s="27"/>
      <c r="F144" s="27"/>
      <c r="G144" s="27"/>
      <c r="H144" s="29"/>
      <c r="I144" s="27"/>
      <c r="J144" s="27"/>
      <c r="K144" s="27"/>
      <c r="L144" s="27"/>
      <c r="M144" s="29"/>
      <c r="N144" s="27"/>
      <c r="O144" s="27"/>
      <c r="P144" s="27"/>
      <c r="Q144" s="27"/>
      <c r="R144" s="138"/>
      <c r="S144" s="27"/>
      <c r="T144" s="27"/>
      <c r="U144" s="27"/>
      <c r="V144" s="35"/>
      <c r="W144" s="138"/>
      <c r="X144" s="35"/>
      <c r="Y144" s="35"/>
      <c r="Z144" s="35"/>
      <c r="AA144" s="35"/>
      <c r="AB144" s="138"/>
      <c r="AC144" s="35"/>
      <c r="AD144" s="35"/>
      <c r="AE144" s="35"/>
      <c r="AF144" s="35"/>
      <c r="AG144" s="29"/>
      <c r="AH144" s="35"/>
      <c r="AI144" s="35"/>
      <c r="AJ144" s="35"/>
      <c r="AK144" s="35"/>
      <c r="AL144" s="29"/>
      <c r="AM144" s="35"/>
      <c r="AN144" s="35"/>
      <c r="AO144" s="35"/>
      <c r="AP144" s="35"/>
      <c r="AQ144" s="29"/>
      <c r="AR144" s="35"/>
      <c r="AS144" s="35"/>
      <c r="AT144" s="35"/>
      <c r="AU144" s="35"/>
      <c r="AV144" s="29"/>
    </row>
    <row r="145" spans="2:48" s="23" customFormat="1" outlineLevel="1" x14ac:dyDescent="0.55000000000000004">
      <c r="B145" s="286" t="s">
        <v>79</v>
      </c>
      <c r="C145" s="287"/>
      <c r="D145" s="27"/>
      <c r="E145" s="27"/>
      <c r="F145" s="27"/>
      <c r="G145" s="27"/>
      <c r="H145" s="29"/>
      <c r="I145" s="27"/>
      <c r="J145" s="27"/>
      <c r="K145" s="27"/>
      <c r="L145" s="27"/>
      <c r="M145" s="29"/>
      <c r="N145" s="224"/>
      <c r="O145" s="224"/>
      <c r="P145" s="224"/>
      <c r="Q145" s="224"/>
      <c r="R145" s="29"/>
      <c r="S145" s="224"/>
      <c r="T145" s="224"/>
      <c r="U145" s="224"/>
      <c r="V145" s="225"/>
      <c r="W145" s="138"/>
      <c r="X145" s="35"/>
      <c r="Y145" s="35"/>
      <c r="Z145" s="35"/>
      <c r="AA145" s="35"/>
      <c r="AB145" s="138"/>
      <c r="AC145" s="35"/>
      <c r="AD145" s="35"/>
      <c r="AE145" s="35"/>
      <c r="AF145" s="35"/>
      <c r="AG145" s="29"/>
      <c r="AH145" s="35"/>
      <c r="AI145" s="35"/>
      <c r="AJ145" s="35"/>
      <c r="AK145" s="35"/>
      <c r="AL145" s="29"/>
      <c r="AM145" s="35"/>
      <c r="AN145" s="35"/>
      <c r="AO145" s="35"/>
      <c r="AP145" s="35"/>
      <c r="AQ145" s="29"/>
      <c r="AR145" s="35"/>
      <c r="AS145" s="35"/>
      <c r="AT145" s="35"/>
      <c r="AU145" s="35"/>
      <c r="AV145" s="29"/>
    </row>
    <row r="146" spans="2:48" s="23" customFormat="1" outlineLevel="1" x14ac:dyDescent="0.55000000000000004">
      <c r="B146" s="209" t="s">
        <v>187</v>
      </c>
      <c r="C146" s="210"/>
      <c r="D146" s="113"/>
      <c r="E146" s="113"/>
      <c r="F146" s="113"/>
      <c r="G146" s="113"/>
      <c r="H146" s="138"/>
      <c r="I146" s="113"/>
      <c r="J146" s="113"/>
      <c r="K146" s="113"/>
      <c r="L146" s="113"/>
      <c r="M146" s="138"/>
      <c r="N146" s="226"/>
      <c r="O146" s="226"/>
      <c r="P146" s="226"/>
      <c r="Q146" s="226"/>
      <c r="R146" s="138"/>
      <c r="S146" s="226"/>
      <c r="T146" s="226"/>
      <c r="U146" s="226"/>
      <c r="V146" s="226"/>
      <c r="W146" s="138">
        <f>W33/(R33-0.1)-1</f>
        <v>-0.16557016527122925</v>
      </c>
      <c r="X146" s="113"/>
      <c r="Y146" s="113"/>
      <c r="Z146" s="113"/>
      <c r="AA146" s="113"/>
      <c r="AB146" s="138"/>
      <c r="AC146" s="113"/>
      <c r="AD146" s="113"/>
      <c r="AE146" s="113"/>
      <c r="AF146" s="113"/>
      <c r="AG146" s="138"/>
      <c r="AH146" s="113"/>
      <c r="AI146" s="113"/>
      <c r="AJ146" s="113"/>
      <c r="AK146" s="113"/>
      <c r="AL146" s="138"/>
      <c r="AM146" s="113"/>
      <c r="AN146" s="113"/>
      <c r="AO146" s="113"/>
      <c r="AP146" s="113"/>
      <c r="AQ146" s="138"/>
      <c r="AR146" s="113"/>
      <c r="AS146" s="113"/>
      <c r="AT146" s="113"/>
      <c r="AU146" s="113"/>
      <c r="AV146" s="138"/>
    </row>
    <row r="147" spans="2:48" s="23" customFormat="1" outlineLevel="1" x14ac:dyDescent="0.55000000000000004">
      <c r="B147" s="209" t="s">
        <v>139</v>
      </c>
      <c r="C147" s="210"/>
      <c r="D147" s="27"/>
      <c r="E147" s="27"/>
      <c r="F147" s="27"/>
      <c r="G147" s="27"/>
      <c r="H147" s="29"/>
      <c r="I147" s="27">
        <f t="shared" ref="I147:V147" si="456">I34/D34-1</f>
        <v>5.9389868457878192E-2</v>
      </c>
      <c r="J147" s="27">
        <f t="shared" si="456"/>
        <v>-0.47460546003783222</v>
      </c>
      <c r="K147" s="27">
        <f t="shared" si="456"/>
        <v>-1.5922286955663072</v>
      </c>
      <c r="L147" s="113">
        <f t="shared" si="456"/>
        <v>-0.26631134736842188</v>
      </c>
      <c r="M147" s="138">
        <f t="shared" si="456"/>
        <v>-0.59372113780519853</v>
      </c>
      <c r="N147" s="113">
        <f t="shared" si="456"/>
        <v>-0.23228377390823718</v>
      </c>
      <c r="O147" s="113">
        <f t="shared" si="456"/>
        <v>0.96992458477270005</v>
      </c>
      <c r="P147" s="113">
        <f t="shared" si="456"/>
        <v>-3.1776350920116565</v>
      </c>
      <c r="Q147" s="113">
        <f t="shared" si="456"/>
        <v>0.95350602232643134</v>
      </c>
      <c r="R147" s="29">
        <f t="shared" si="456"/>
        <v>1.8162682861720394</v>
      </c>
      <c r="S147" s="113">
        <f t="shared" si="456"/>
        <v>0.18036058258616094</v>
      </c>
      <c r="T147" s="113">
        <f t="shared" si="456"/>
        <v>-5.6546752866856842E-2</v>
      </c>
      <c r="U147" s="113">
        <f t="shared" si="456"/>
        <v>-0.16448812865885809</v>
      </c>
      <c r="V147" s="113">
        <f t="shared" si="456"/>
        <v>-0.14953574698745453</v>
      </c>
      <c r="W147" s="138">
        <f>W34/(R34-0.1-0.04)-1</f>
        <v>-3.5130883499872922E-2</v>
      </c>
      <c r="X147" s="113">
        <f t="shared" ref="X147:AV147" si="457">X34/S34-1</f>
        <v>0.18960435411739596</v>
      </c>
      <c r="Y147" s="113">
        <f t="shared" si="457"/>
        <v>0.49619966355494172</v>
      </c>
      <c r="Z147" s="113">
        <f t="shared" si="457"/>
        <v>6.3312821851421841E-2</v>
      </c>
      <c r="AA147" s="113">
        <f t="shared" si="457"/>
        <v>8.7590529134343953E-2</v>
      </c>
      <c r="AB147" s="138">
        <f t="shared" si="457"/>
        <v>0.18542456185156353</v>
      </c>
      <c r="AC147" s="113">
        <f t="shared" si="457"/>
        <v>8.1483857857004294E-2</v>
      </c>
      <c r="AD147" s="113">
        <f t="shared" si="457"/>
        <v>8.0662886329944561E-2</v>
      </c>
      <c r="AE147" s="113">
        <f t="shared" si="457"/>
        <v>7.9173636244762591E-2</v>
      </c>
      <c r="AF147" s="113">
        <f t="shared" si="457"/>
        <v>7.6722754098126122E-2</v>
      </c>
      <c r="AG147" s="138">
        <f t="shared" si="457"/>
        <v>7.9484213263881998E-2</v>
      </c>
      <c r="AH147" s="113">
        <f t="shared" si="457"/>
        <v>7.3813044492777591E-2</v>
      </c>
      <c r="AI147" s="113">
        <f t="shared" si="457"/>
        <v>7.5328658008956939E-2</v>
      </c>
      <c r="AJ147" s="113">
        <f t="shared" si="457"/>
        <v>7.6153950141090831E-2</v>
      </c>
      <c r="AK147" s="113">
        <f t="shared" si="457"/>
        <v>7.6710663912691102E-2</v>
      </c>
      <c r="AL147" s="29">
        <f t="shared" si="457"/>
        <v>7.5527707204147587E-2</v>
      </c>
      <c r="AM147" s="113">
        <f t="shared" si="457"/>
        <v>7.4121734143652418E-2</v>
      </c>
      <c r="AN147" s="113">
        <f t="shared" si="457"/>
        <v>7.5476910567739086E-2</v>
      </c>
      <c r="AO147" s="113">
        <f t="shared" si="457"/>
        <v>7.6128538757634479E-2</v>
      </c>
      <c r="AP147" s="113">
        <f t="shared" si="457"/>
        <v>7.6907477331422669E-2</v>
      </c>
      <c r="AQ147" s="29">
        <f t="shared" si="457"/>
        <v>7.5684618992360564E-2</v>
      </c>
      <c r="AR147" s="113">
        <f t="shared" si="457"/>
        <v>7.4516912527468948E-2</v>
      </c>
      <c r="AS147" s="113">
        <f t="shared" si="457"/>
        <v>7.5816139139233796E-2</v>
      </c>
      <c r="AT147" s="113">
        <f t="shared" si="457"/>
        <v>7.6392080146620023E-2</v>
      </c>
      <c r="AU147" s="113">
        <f t="shared" si="457"/>
        <v>7.7368055668155966E-2</v>
      </c>
      <c r="AV147" s="29">
        <f t="shared" si="457"/>
        <v>7.6050723136680487E-2</v>
      </c>
    </row>
    <row r="148" spans="2:48" s="23" customFormat="1" outlineLevel="1" x14ac:dyDescent="0.55000000000000004">
      <c r="B148" s="209" t="s">
        <v>140</v>
      </c>
      <c r="C148" s="210"/>
      <c r="D148" s="27"/>
      <c r="E148" s="27"/>
      <c r="F148" s="27"/>
      <c r="G148" s="27"/>
      <c r="H148" s="29"/>
      <c r="I148" s="27"/>
      <c r="J148" s="27"/>
      <c r="K148" s="27"/>
      <c r="L148" s="113"/>
      <c r="M148" s="138"/>
      <c r="N148" s="113"/>
      <c r="O148" s="113"/>
      <c r="P148" s="113"/>
      <c r="Q148" s="113"/>
      <c r="R148" s="29"/>
      <c r="S148" s="113"/>
      <c r="T148" s="113"/>
      <c r="U148" s="113"/>
      <c r="V148" s="113"/>
      <c r="W148" s="138"/>
      <c r="X148" s="113"/>
      <c r="Y148" s="113"/>
      <c r="Z148" s="113"/>
      <c r="AA148" s="113"/>
      <c r="AB148" s="138"/>
      <c r="AC148" s="113"/>
      <c r="AD148" s="113"/>
      <c r="AE148" s="113"/>
      <c r="AF148" s="113"/>
      <c r="AG148" s="138"/>
      <c r="AH148" s="113"/>
      <c r="AI148" s="113"/>
      <c r="AJ148" s="113"/>
      <c r="AK148" s="113"/>
      <c r="AL148" s="29"/>
      <c r="AM148" s="113"/>
      <c r="AN148" s="113"/>
      <c r="AO148" s="113"/>
      <c r="AP148" s="113"/>
      <c r="AQ148" s="29"/>
      <c r="AR148" s="113"/>
      <c r="AS148" s="113"/>
      <c r="AT148" s="113"/>
      <c r="AU148" s="113"/>
      <c r="AV148" s="29"/>
    </row>
    <row r="149" spans="2:48" s="23" customFormat="1" outlineLevel="1" x14ac:dyDescent="0.55000000000000004">
      <c r="B149" s="209" t="s">
        <v>141</v>
      </c>
      <c r="C149" s="210"/>
      <c r="D149" s="27"/>
      <c r="E149" s="27"/>
      <c r="F149" s="27"/>
      <c r="G149" s="27"/>
      <c r="H149" s="29"/>
      <c r="I149" s="27"/>
      <c r="J149" s="27"/>
      <c r="K149" s="27"/>
      <c r="L149" s="113"/>
      <c r="M149" s="138"/>
      <c r="N149" s="113"/>
      <c r="O149" s="113"/>
      <c r="P149" s="113"/>
      <c r="Q149" s="113"/>
      <c r="R149" s="29"/>
      <c r="S149" s="113"/>
      <c r="T149" s="113"/>
      <c r="U149" s="113"/>
      <c r="V149" s="113"/>
      <c r="W149" s="138"/>
      <c r="X149" s="113"/>
      <c r="Y149" s="113"/>
      <c r="Z149" s="113"/>
      <c r="AA149" s="113"/>
      <c r="AB149" s="138"/>
      <c r="AC149" s="113"/>
      <c r="AD149" s="113"/>
      <c r="AE149" s="113"/>
      <c r="AF149" s="113"/>
      <c r="AG149" s="138"/>
      <c r="AH149" s="113"/>
      <c r="AI149" s="113"/>
      <c r="AJ149" s="113"/>
      <c r="AK149" s="113"/>
      <c r="AL149" s="29"/>
      <c r="AM149" s="113"/>
      <c r="AN149" s="113"/>
      <c r="AO149" s="113"/>
      <c r="AP149" s="113"/>
      <c r="AQ149" s="29"/>
      <c r="AR149" s="113"/>
      <c r="AS149" s="113"/>
      <c r="AT149" s="113"/>
      <c r="AU149" s="113"/>
      <c r="AV149" s="29"/>
    </row>
    <row r="150" spans="2:48" ht="17.100000000000001" x14ac:dyDescent="0.85">
      <c r="B150" s="282" t="s">
        <v>130</v>
      </c>
      <c r="C150" s="283"/>
      <c r="D150" s="14" t="s">
        <v>19</v>
      </c>
      <c r="E150" s="14" t="s">
        <v>81</v>
      </c>
      <c r="F150" s="14" t="s">
        <v>85</v>
      </c>
      <c r="G150" s="14" t="s">
        <v>95</v>
      </c>
      <c r="H150" s="40" t="s">
        <v>96</v>
      </c>
      <c r="I150" s="14" t="s">
        <v>97</v>
      </c>
      <c r="J150" s="14" t="s">
        <v>98</v>
      </c>
      <c r="K150" s="14" t="s">
        <v>99</v>
      </c>
      <c r="L150" s="14" t="s">
        <v>143</v>
      </c>
      <c r="M150" s="40" t="s">
        <v>144</v>
      </c>
      <c r="N150" s="14" t="s">
        <v>150</v>
      </c>
      <c r="O150" s="14" t="s">
        <v>158</v>
      </c>
      <c r="P150" s="14" t="s">
        <v>160</v>
      </c>
      <c r="Q150" s="14" t="s">
        <v>173</v>
      </c>
      <c r="R150" s="40" t="s">
        <v>174</v>
      </c>
      <c r="S150" s="14" t="s">
        <v>189</v>
      </c>
      <c r="T150" s="14" t="s">
        <v>190</v>
      </c>
      <c r="U150" s="14" t="s">
        <v>205</v>
      </c>
      <c r="V150" s="12" t="s">
        <v>25</v>
      </c>
      <c r="W150" s="278" t="s">
        <v>26</v>
      </c>
      <c r="X150" s="12" t="s">
        <v>27</v>
      </c>
      <c r="Y150" s="12" t="s">
        <v>28</v>
      </c>
      <c r="Z150" s="12" t="s">
        <v>29</v>
      </c>
      <c r="AA150" s="12" t="s">
        <v>30</v>
      </c>
      <c r="AB150" s="42" t="s">
        <v>31</v>
      </c>
      <c r="AC150" s="12" t="s">
        <v>90</v>
      </c>
      <c r="AD150" s="12" t="s">
        <v>91</v>
      </c>
      <c r="AE150" s="12" t="s">
        <v>92</v>
      </c>
      <c r="AF150" s="12" t="s">
        <v>93</v>
      </c>
      <c r="AG150" s="42" t="s">
        <v>94</v>
      </c>
      <c r="AH150" s="12" t="s">
        <v>109</v>
      </c>
      <c r="AI150" s="12" t="s">
        <v>110</v>
      </c>
      <c r="AJ150" s="12" t="s">
        <v>111</v>
      </c>
      <c r="AK150" s="12" t="s">
        <v>112</v>
      </c>
      <c r="AL150" s="42" t="s">
        <v>113</v>
      </c>
      <c r="AM150" s="12" t="s">
        <v>165</v>
      </c>
      <c r="AN150" s="12" t="s">
        <v>166</v>
      </c>
      <c r="AO150" s="12" t="s">
        <v>167</v>
      </c>
      <c r="AP150" s="12" t="s">
        <v>168</v>
      </c>
      <c r="AQ150" s="42" t="s">
        <v>169</v>
      </c>
      <c r="AR150" s="12" t="s">
        <v>196</v>
      </c>
      <c r="AS150" s="12" t="s">
        <v>197</v>
      </c>
      <c r="AT150" s="12" t="s">
        <v>198</v>
      </c>
      <c r="AU150" s="12" t="s">
        <v>199</v>
      </c>
      <c r="AV150" s="42" t="s">
        <v>200</v>
      </c>
    </row>
    <row r="151" spans="2:48" outlineLevel="1" x14ac:dyDescent="0.55000000000000004">
      <c r="B151" s="286" t="s">
        <v>209</v>
      </c>
      <c r="C151" s="287"/>
      <c r="D151" s="27"/>
      <c r="E151" s="27">
        <f t="shared" ref="E151:G151" si="458">(E30+E155+E158+E161)/D30-1</f>
        <v>2.777764747303535E-2</v>
      </c>
      <c r="F151" s="27">
        <f t="shared" si="458"/>
        <v>-1.7269004124131682E-2</v>
      </c>
      <c r="G151" s="27">
        <f t="shared" si="458"/>
        <v>1.9258933156590885E-2</v>
      </c>
      <c r="H151" s="9"/>
      <c r="I151" s="27">
        <f>(I30+I155+I158+I161)/G30-1</f>
        <v>-1.436336111538794E-2</v>
      </c>
      <c r="J151" s="27">
        <f t="shared" ref="J151:L151" si="459">(J30+J155+J158+J161)/I30-1</f>
        <v>-1.1333810572689007E-3</v>
      </c>
      <c r="K151" s="27">
        <f t="shared" si="459"/>
        <v>-2.8161802355349819E-3</v>
      </c>
      <c r="L151" s="27">
        <f t="shared" si="459"/>
        <v>-9.5210569021197955E-4</v>
      </c>
      <c r="M151" s="9"/>
      <c r="N151" s="27">
        <f>(N30+N155+N158+N161)/L30-1</f>
        <v>6.5210015787404707E-3</v>
      </c>
      <c r="O151" s="27">
        <f t="shared" ref="O151:Q151" si="460">(O30+O155+O158+O161)/N30-1</f>
        <v>2.1276595744681437E-3</v>
      </c>
      <c r="P151" s="27">
        <f t="shared" si="460"/>
        <v>8.4925690021231404E-4</v>
      </c>
      <c r="Q151" s="27">
        <f t="shared" si="460"/>
        <v>8.4925690021231404E-4</v>
      </c>
      <c r="R151" s="9"/>
      <c r="S151" s="27">
        <f>(S30+S155+S158+S161)/Q30-1</f>
        <v>1.7994180128374726E-2</v>
      </c>
      <c r="T151" s="27">
        <f>(T30+T155+T158+T161)/S30-1</f>
        <v>-1.2989686217510177E-2</v>
      </c>
      <c r="U151" s="27">
        <f>(U30+U155+U158+U161)/T30-1</f>
        <v>-1.9143752175426743E-3</v>
      </c>
      <c r="V151" s="35">
        <f>U151</f>
        <v>-1.9143752175426743E-3</v>
      </c>
      <c r="W151" s="279"/>
      <c r="X151" s="35">
        <v>0</v>
      </c>
      <c r="Y151" s="35">
        <v>0</v>
      </c>
      <c r="Z151" s="35">
        <v>0</v>
      </c>
      <c r="AA151" s="35">
        <v>0</v>
      </c>
      <c r="AB151" s="9"/>
      <c r="AC151" s="35">
        <v>0</v>
      </c>
      <c r="AD151" s="35">
        <v>0</v>
      </c>
      <c r="AE151" s="35">
        <v>0</v>
      </c>
      <c r="AF151" s="35">
        <v>0</v>
      </c>
      <c r="AG151" s="9"/>
      <c r="AH151" s="35">
        <v>0</v>
      </c>
      <c r="AI151" s="35">
        <v>0</v>
      </c>
      <c r="AJ151" s="35">
        <v>0</v>
      </c>
      <c r="AK151" s="35">
        <v>0</v>
      </c>
      <c r="AL151" s="9"/>
      <c r="AM151" s="35">
        <v>0</v>
      </c>
      <c r="AN151" s="35">
        <v>0</v>
      </c>
      <c r="AO151" s="35">
        <v>0</v>
      </c>
      <c r="AP151" s="35">
        <v>0</v>
      </c>
      <c r="AQ151" s="9"/>
      <c r="AR151" s="35">
        <v>0</v>
      </c>
      <c r="AS151" s="35">
        <v>0</v>
      </c>
      <c r="AT151" s="35">
        <v>0</v>
      </c>
      <c r="AU151" s="35">
        <v>0</v>
      </c>
      <c r="AV151" s="9"/>
    </row>
    <row r="152" spans="2:48" outlineLevel="1" x14ac:dyDescent="0.55000000000000004">
      <c r="B152" s="286" t="s">
        <v>210</v>
      </c>
      <c r="C152" s="287"/>
      <c r="D152" s="27"/>
      <c r="E152" s="27">
        <f t="shared" ref="E152:G152" si="461">(E31+E155+E158+E161)/D31-1</f>
        <v>2.7604785512613583E-2</v>
      </c>
      <c r="F152" s="27">
        <f t="shared" si="461"/>
        <v>-1.6710442080933863E-2</v>
      </c>
      <c r="G152" s="27">
        <f t="shared" si="461"/>
        <v>1.9089589576967603E-2</v>
      </c>
      <c r="H152" s="9"/>
      <c r="I152" s="27">
        <f>(I31+I155+I158+I161)/G31-1</f>
        <v>-1.5386652077945762E-2</v>
      </c>
      <c r="J152" s="27">
        <f t="shared" ref="J152:L152" si="462">(J31+J155+J158+J161)/I31-1</f>
        <v>-2.5506658270361138E-3</v>
      </c>
      <c r="K152" s="27">
        <f t="shared" si="462"/>
        <v>-1.0332853392055585E-2</v>
      </c>
      <c r="L152" s="27">
        <f t="shared" si="462"/>
        <v>8.9858793324775199E-3</v>
      </c>
      <c r="M152" s="9"/>
      <c r="N152" s="27">
        <f>(N31+N155+N158+N161)/L31-1</f>
        <v>3.392705682782049E-3</v>
      </c>
      <c r="O152" s="27">
        <f t="shared" ref="O152:Q152" si="463">(O31+O155+O158+O161)/N31-1</f>
        <v>1.5215553677092597E-3</v>
      </c>
      <c r="P152" s="27">
        <f t="shared" si="463"/>
        <v>1.1816340310601969E-3</v>
      </c>
      <c r="Q152" s="27">
        <f t="shared" si="463"/>
        <v>1.4331478671387732E-3</v>
      </c>
      <c r="R152" s="9"/>
      <c r="S152" s="27">
        <f>(S31+S155+S158+S161)/Q31-1</f>
        <v>1.6689115245390962E-2</v>
      </c>
      <c r="T152" s="27">
        <f>(T31+T155+T158+T161)/S31-1</f>
        <v>-1.4867191058983376E-2</v>
      </c>
      <c r="U152" s="27">
        <f>(U31+U155+U158+U161)/T31-1</f>
        <v>-2.5132160499177214E-3</v>
      </c>
      <c r="V152" s="35">
        <f>U152</f>
        <v>-2.5132160499177214E-3</v>
      </c>
      <c r="W152" s="279"/>
      <c r="X152" s="35">
        <v>0</v>
      </c>
      <c r="Y152" s="35">
        <v>0</v>
      </c>
      <c r="Z152" s="35">
        <v>0</v>
      </c>
      <c r="AA152" s="35">
        <v>0</v>
      </c>
      <c r="AB152" s="9"/>
      <c r="AC152" s="35">
        <v>0</v>
      </c>
      <c r="AD152" s="35">
        <v>0</v>
      </c>
      <c r="AE152" s="35">
        <v>0</v>
      </c>
      <c r="AF152" s="35">
        <v>0</v>
      </c>
      <c r="AG152" s="9"/>
      <c r="AH152" s="35">
        <v>0</v>
      </c>
      <c r="AI152" s="35">
        <v>0</v>
      </c>
      <c r="AJ152" s="35">
        <v>0</v>
      </c>
      <c r="AK152" s="35">
        <v>0</v>
      </c>
      <c r="AL152" s="9"/>
      <c r="AM152" s="35">
        <v>0</v>
      </c>
      <c r="AN152" s="35">
        <v>0</v>
      </c>
      <c r="AO152" s="35">
        <v>0</v>
      </c>
      <c r="AP152" s="35">
        <v>0</v>
      </c>
      <c r="AQ152" s="9"/>
      <c r="AR152" s="35">
        <v>0</v>
      </c>
      <c r="AS152" s="35">
        <v>0</v>
      </c>
      <c r="AT152" s="35">
        <v>0</v>
      </c>
      <c r="AU152" s="35">
        <v>0</v>
      </c>
      <c r="AV152" s="9"/>
    </row>
    <row r="153" spans="2:48" outlineLevel="1" x14ac:dyDescent="0.55000000000000004">
      <c r="B153" s="312" t="s">
        <v>137</v>
      </c>
      <c r="C153" s="313"/>
      <c r="D153" s="256"/>
      <c r="E153" s="145">
        <v>69.922678056926543</v>
      </c>
      <c r="F153" s="145">
        <v>83.13076202744692</v>
      </c>
      <c r="G153" s="145">
        <v>92.52</v>
      </c>
      <c r="H153" s="257"/>
      <c r="I153" s="145">
        <v>85.23</v>
      </c>
      <c r="J153" s="145">
        <v>78.08</v>
      </c>
      <c r="K153" s="145">
        <v>0</v>
      </c>
      <c r="L153" s="145">
        <v>0</v>
      </c>
      <c r="M153" s="257"/>
      <c r="N153" s="145">
        <v>0</v>
      </c>
      <c r="O153" s="145">
        <v>0</v>
      </c>
      <c r="P153" s="145">
        <v>0</v>
      </c>
      <c r="Q153" s="145">
        <v>0</v>
      </c>
      <c r="R153" s="257"/>
      <c r="S153" s="145">
        <v>113.12</v>
      </c>
      <c r="T153" s="145">
        <v>94.51</v>
      </c>
      <c r="U153" s="145">
        <v>0</v>
      </c>
      <c r="V153" s="258">
        <f>+U153</f>
        <v>0</v>
      </c>
      <c r="W153" s="280"/>
      <c r="X153" s="258">
        <v>88</v>
      </c>
      <c r="Y153" s="258">
        <f>+X153</f>
        <v>88</v>
      </c>
      <c r="Z153" s="258">
        <f>+Y153</f>
        <v>88</v>
      </c>
      <c r="AA153" s="258">
        <f>+Z153</f>
        <v>88</v>
      </c>
      <c r="AB153" s="257"/>
      <c r="AC153" s="258">
        <f>+AA153</f>
        <v>88</v>
      </c>
      <c r="AD153" s="258">
        <f>+AC153</f>
        <v>88</v>
      </c>
      <c r="AE153" s="258">
        <f>+AD153</f>
        <v>88</v>
      </c>
      <c r="AF153" s="258">
        <f>+AE153</f>
        <v>88</v>
      </c>
      <c r="AG153" s="257"/>
      <c r="AH153" s="258">
        <f>+AF153</f>
        <v>88</v>
      </c>
      <c r="AI153" s="258">
        <f>+AH153</f>
        <v>88</v>
      </c>
      <c r="AJ153" s="258">
        <f>+AI153</f>
        <v>88</v>
      </c>
      <c r="AK153" s="258">
        <f>+AJ153</f>
        <v>88</v>
      </c>
      <c r="AL153" s="257"/>
      <c r="AM153" s="258">
        <f>+AK153</f>
        <v>88</v>
      </c>
      <c r="AN153" s="258">
        <f>+AM153</f>
        <v>88</v>
      </c>
      <c r="AO153" s="258">
        <f>+AN153</f>
        <v>88</v>
      </c>
      <c r="AP153" s="258">
        <f>+AO153</f>
        <v>88</v>
      </c>
      <c r="AQ153" s="257"/>
      <c r="AR153" s="258">
        <f>+AP153</f>
        <v>88</v>
      </c>
      <c r="AS153" s="258">
        <f>+AR153</f>
        <v>88</v>
      </c>
      <c r="AT153" s="258">
        <f>+AS153</f>
        <v>88</v>
      </c>
      <c r="AU153" s="258">
        <f>+AT153</f>
        <v>88</v>
      </c>
      <c r="AV153" s="257"/>
    </row>
    <row r="154" spans="2:48" outlineLevel="1" x14ac:dyDescent="0.55000000000000004">
      <c r="B154" s="286" t="s">
        <v>138</v>
      </c>
      <c r="C154" s="287"/>
      <c r="D154" s="16"/>
      <c r="E154" s="105">
        <v>713.2</v>
      </c>
      <c r="F154" s="105">
        <f>954.3-713.2</f>
        <v>241.09999999999991</v>
      </c>
      <c r="G154" s="101">
        <v>2177.1942404399997</v>
      </c>
      <c r="H154" s="17">
        <f>+SUM(D154:G154)</f>
        <v>3131.4942404399999</v>
      </c>
      <c r="I154" s="101">
        <v>1107.9389472300002</v>
      </c>
      <c r="J154" s="101">
        <v>567.02921856000012</v>
      </c>
      <c r="K154" s="101">
        <v>0</v>
      </c>
      <c r="L154" s="101">
        <v>0</v>
      </c>
      <c r="M154" s="17">
        <f>+SUM(I154:L154)</f>
        <v>1674.9681657900003</v>
      </c>
      <c r="N154" s="101">
        <v>0</v>
      </c>
      <c r="O154" s="101">
        <v>0</v>
      </c>
      <c r="P154" s="101">
        <v>0</v>
      </c>
      <c r="Q154" s="101">
        <v>0</v>
      </c>
      <c r="R154" s="17">
        <f>+SUM(N154:Q154)</f>
        <v>0</v>
      </c>
      <c r="S154" s="101">
        <f>S155*S153</f>
        <v>3520.86</v>
      </c>
      <c r="T154" s="101">
        <f>T155*T153</f>
        <v>492.13842613000003</v>
      </c>
      <c r="U154" s="101">
        <v>0</v>
      </c>
      <c r="V154" s="33">
        <f>U154</f>
        <v>0</v>
      </c>
      <c r="W154" s="170">
        <f>+SUM(S154:V154)</f>
        <v>4012.9984261300001</v>
      </c>
      <c r="X154" s="33">
        <v>500</v>
      </c>
      <c r="Y154" s="33">
        <v>500</v>
      </c>
      <c r="Z154" s="33">
        <v>500</v>
      </c>
      <c r="AA154" s="33">
        <v>500</v>
      </c>
      <c r="AB154" s="17">
        <f>+SUM(X154:AA154)</f>
        <v>2000</v>
      </c>
      <c r="AC154" s="33">
        <v>250</v>
      </c>
      <c r="AD154" s="33">
        <v>250</v>
      </c>
      <c r="AE154" s="33">
        <v>250</v>
      </c>
      <c r="AF154" s="33">
        <v>250</v>
      </c>
      <c r="AG154" s="17">
        <f>+SUM(AC154:AF154)</f>
        <v>1000</v>
      </c>
      <c r="AH154" s="33">
        <v>250</v>
      </c>
      <c r="AI154" s="33">
        <v>250</v>
      </c>
      <c r="AJ154" s="33">
        <v>250</v>
      </c>
      <c r="AK154" s="33">
        <v>250</v>
      </c>
      <c r="AL154" s="17">
        <f>+SUM(AH154:AK154)</f>
        <v>1000</v>
      </c>
      <c r="AM154" s="33">
        <v>250</v>
      </c>
      <c r="AN154" s="33">
        <v>250</v>
      </c>
      <c r="AO154" s="33">
        <v>250</v>
      </c>
      <c r="AP154" s="33">
        <v>250</v>
      </c>
      <c r="AQ154" s="17">
        <f>+SUM(AM154:AP154)</f>
        <v>1000</v>
      </c>
      <c r="AR154" s="33">
        <v>250</v>
      </c>
      <c r="AS154" s="33">
        <v>250</v>
      </c>
      <c r="AT154" s="33">
        <v>250</v>
      </c>
      <c r="AU154" s="33">
        <v>250</v>
      </c>
      <c r="AV154" s="17">
        <f>+SUM(AR154:AU154)</f>
        <v>1000</v>
      </c>
    </row>
    <row r="155" spans="2:48" outlineLevel="1" x14ac:dyDescent="0.55000000000000004">
      <c r="B155" s="286" t="s">
        <v>208</v>
      </c>
      <c r="C155" s="287"/>
      <c r="D155" s="140"/>
      <c r="E155" s="140">
        <f>IF((E154)&gt;0,(E154/E153),0)</f>
        <v>10.199838161509755</v>
      </c>
      <c r="F155" s="143">
        <f>IF((F154)&gt;0,(F154/F153),0)</f>
        <v>2.9002500893760241</v>
      </c>
      <c r="G155" s="143">
        <f>IF((G154)&gt;0,(G154/G153),0)</f>
        <v>23.532146999999998</v>
      </c>
      <c r="H155" s="49">
        <f>+SUM(D155:G155)</f>
        <v>36.632235250885778</v>
      </c>
      <c r="I155" s="140">
        <f>IF((I154)&gt;0,(I154/I153),0)</f>
        <v>12.999401000000001</v>
      </c>
      <c r="J155" s="143">
        <f>IF((J154)&gt;0,(J154/J153),0)</f>
        <v>7.262157000000002</v>
      </c>
      <c r="K155" s="140">
        <f>IF((K154)&gt;0,(K154/K153),0)</f>
        <v>0</v>
      </c>
      <c r="L155" s="140">
        <f>IF((L154)&gt;0,(L154/L153),0)</f>
        <v>0</v>
      </c>
      <c r="M155" s="49">
        <f>+SUM(I155:L155)</f>
        <v>20.261558000000001</v>
      </c>
      <c r="N155" s="140">
        <f>IF((N154)&gt;0,(N154/N153),0)</f>
        <v>0</v>
      </c>
      <c r="O155" s="140">
        <f>IF((O154)&gt;0,(O154/O153),0)</f>
        <v>0</v>
      </c>
      <c r="P155" s="140">
        <f>IF((P154)&gt;0,(P154/P153),0)</f>
        <v>0</v>
      </c>
      <c r="Q155" s="140">
        <f>IF((Q154)&gt;0,(Q154/Q153),0)</f>
        <v>0</v>
      </c>
      <c r="R155" s="49">
        <f>+SUM(N155:Q155)</f>
        <v>0</v>
      </c>
      <c r="S155" s="140">
        <v>31.125</v>
      </c>
      <c r="T155" s="143">
        <v>5.2072630000000002</v>
      </c>
      <c r="U155" s="143">
        <f>IF((U154)&gt;0,(U154/U153),0)</f>
        <v>0</v>
      </c>
      <c r="V155" s="140">
        <f>IF((V154)&gt;0,(V154/V153),0)</f>
        <v>0</v>
      </c>
      <c r="W155" s="49">
        <f>+SUM(S155:V155)</f>
        <v>36.332262999999998</v>
      </c>
      <c r="X155" s="140">
        <f>IF((X154)&gt;0,(X154/X153),0)</f>
        <v>5.6818181818181817</v>
      </c>
      <c r="Y155" s="140">
        <f>IF((Y154)&gt;0,(Y154/Y153),0)</f>
        <v>5.6818181818181817</v>
      </c>
      <c r="Z155" s="140">
        <f>IF((Z154)&gt;0,(Z154/Z153),0)</f>
        <v>5.6818181818181817</v>
      </c>
      <c r="AA155" s="140">
        <f>IF((AA154)&gt;0,(AA154/AA153),0)</f>
        <v>5.6818181818181817</v>
      </c>
      <c r="AB155" s="49">
        <f>+SUM(X155:AA155)</f>
        <v>22.727272727272727</v>
      </c>
      <c r="AC155" s="140">
        <f>IF((AC154)&gt;0,(AC154/AC153),0)</f>
        <v>2.8409090909090908</v>
      </c>
      <c r="AD155" s="140">
        <f>IF((AD154)&gt;0,(AD154/AD153),0)</f>
        <v>2.8409090909090908</v>
      </c>
      <c r="AE155" s="140">
        <f>IF((AE154)&gt;0,(AE154/AE153),0)</f>
        <v>2.8409090909090908</v>
      </c>
      <c r="AF155" s="140">
        <f>IF((AF154)&gt;0,(AF154/AF153),0)</f>
        <v>2.8409090909090908</v>
      </c>
      <c r="AG155" s="49">
        <f>+SUM(AC155:AF155)</f>
        <v>11.363636363636363</v>
      </c>
      <c r="AH155" s="140">
        <f>IF((AH154)&gt;0,(AH154/AH153),0)</f>
        <v>2.8409090909090908</v>
      </c>
      <c r="AI155" s="140">
        <f>IF((AI154)&gt;0,(AI154/AI153),0)</f>
        <v>2.8409090909090908</v>
      </c>
      <c r="AJ155" s="140">
        <f>IF((AJ154)&gt;0,(AJ154/AJ153),0)</f>
        <v>2.8409090909090908</v>
      </c>
      <c r="AK155" s="140">
        <f>IF((AK154)&gt;0,(AK154/AK153),0)</f>
        <v>2.8409090909090908</v>
      </c>
      <c r="AL155" s="49">
        <f>+SUM(AH155:AK155)</f>
        <v>11.363636363636363</v>
      </c>
      <c r="AM155" s="140">
        <f>IF((AM154)&gt;0,(AM154/AM153),0)</f>
        <v>2.8409090909090908</v>
      </c>
      <c r="AN155" s="140">
        <f>IF((AN154)&gt;0,(AN154/AN153),0)</f>
        <v>2.8409090909090908</v>
      </c>
      <c r="AO155" s="140">
        <f>IF((AO154)&gt;0,(AO154/AO153),0)</f>
        <v>2.8409090909090908</v>
      </c>
      <c r="AP155" s="140">
        <f>IF((AP154)&gt;0,(AP154/AP153),0)</f>
        <v>2.8409090909090908</v>
      </c>
      <c r="AQ155" s="49">
        <f>+SUM(AM155:AP155)</f>
        <v>11.363636363636363</v>
      </c>
      <c r="AR155" s="140">
        <f>IF((AR154)&gt;0,(AR154/AR153),0)</f>
        <v>2.8409090909090908</v>
      </c>
      <c r="AS155" s="140">
        <f>IF((AS154)&gt;0,(AS154/AS153),0)</f>
        <v>2.8409090909090908</v>
      </c>
      <c r="AT155" s="140">
        <f>IF((AT154)&gt;0,(AT154/AT153),0)</f>
        <v>2.8409090909090908</v>
      </c>
      <c r="AU155" s="140">
        <f>IF((AU154)&gt;0,(AU154/AU153),0)</f>
        <v>2.8409090909090908</v>
      </c>
      <c r="AV155" s="49">
        <f>+SUM(AR155:AU155)</f>
        <v>11.363636363636363</v>
      </c>
    </row>
    <row r="156" spans="2:48" outlineLevel="1" x14ac:dyDescent="0.55000000000000004">
      <c r="B156" s="314" t="s">
        <v>131</v>
      </c>
      <c r="C156" s="315"/>
      <c r="D156" s="144">
        <v>55.58</v>
      </c>
      <c r="E156" s="145">
        <v>65.03</v>
      </c>
      <c r="F156" s="96"/>
      <c r="G156" s="96"/>
      <c r="H156" s="76"/>
      <c r="I156" s="96"/>
      <c r="J156" s="96"/>
      <c r="K156" s="96"/>
      <c r="L156" s="96"/>
      <c r="M156" s="76"/>
      <c r="N156" s="96"/>
      <c r="O156" s="96"/>
      <c r="P156" s="96"/>
      <c r="Q156" s="96"/>
      <c r="R156" s="76"/>
      <c r="S156" s="96"/>
      <c r="T156" s="96"/>
      <c r="U156" s="96"/>
      <c r="V156" s="96"/>
      <c r="W156" s="76"/>
      <c r="X156" s="96"/>
      <c r="Y156" s="96"/>
      <c r="Z156" s="96"/>
      <c r="AA156" s="96"/>
      <c r="AB156" s="76"/>
      <c r="AC156" s="96"/>
      <c r="AD156" s="96"/>
      <c r="AE156" s="96"/>
      <c r="AF156" s="96"/>
      <c r="AG156" s="76"/>
      <c r="AH156" s="96"/>
      <c r="AI156" s="96"/>
      <c r="AJ156" s="96"/>
      <c r="AK156" s="96"/>
      <c r="AL156" s="76"/>
      <c r="AM156" s="96"/>
      <c r="AN156" s="96"/>
      <c r="AO156" s="96"/>
      <c r="AP156" s="96"/>
      <c r="AQ156" s="76"/>
      <c r="AR156" s="96"/>
      <c r="AS156" s="96"/>
      <c r="AT156" s="96"/>
      <c r="AU156" s="96"/>
      <c r="AV156" s="76"/>
    </row>
    <row r="157" spans="2:48" outlineLevel="1" x14ac:dyDescent="0.55000000000000004">
      <c r="B157" s="310" t="s">
        <v>132</v>
      </c>
      <c r="C157" s="311"/>
      <c r="D157" s="146">
        <f>71.968334*55.58</f>
        <v>4000.0000037199998</v>
      </c>
      <c r="E157" s="147">
        <v>318.64700000000005</v>
      </c>
      <c r="F157" s="140"/>
      <c r="G157" s="140"/>
      <c r="H157" s="49"/>
      <c r="I157" s="140"/>
      <c r="J157" s="140"/>
      <c r="K157" s="140"/>
      <c r="L157" s="140"/>
      <c r="M157" s="49"/>
      <c r="N157" s="140"/>
      <c r="O157" s="140"/>
      <c r="P157" s="140"/>
      <c r="Q157" s="140"/>
      <c r="R157" s="49"/>
      <c r="S157" s="140"/>
      <c r="T157" s="140"/>
      <c r="U157" s="143"/>
      <c r="V157" s="140"/>
      <c r="W157" s="138"/>
      <c r="X157" s="140"/>
      <c r="Y157" s="140"/>
      <c r="Z157" s="140"/>
      <c r="AA157" s="140"/>
      <c r="AB157" s="49"/>
      <c r="AC157" s="140"/>
      <c r="AD157" s="140"/>
      <c r="AE157" s="140"/>
      <c r="AF157" s="140"/>
      <c r="AG157" s="49"/>
      <c r="AH157" s="140"/>
      <c r="AI157" s="140"/>
      <c r="AJ157" s="140"/>
      <c r="AK157" s="140"/>
      <c r="AL157" s="49"/>
      <c r="AM157" s="140"/>
      <c r="AN157" s="140"/>
      <c r="AO157" s="140"/>
      <c r="AP157" s="140"/>
      <c r="AQ157" s="49"/>
      <c r="AR157" s="140"/>
      <c r="AS157" s="140"/>
      <c r="AT157" s="140"/>
      <c r="AU157" s="140"/>
      <c r="AV157" s="49"/>
    </row>
    <row r="158" spans="2:48" outlineLevel="1" x14ac:dyDescent="0.55000000000000004">
      <c r="B158" s="316" t="s">
        <v>133</v>
      </c>
      <c r="C158" s="317"/>
      <c r="D158" s="148">
        <f>IF((D157)&gt;0,(D157/D156),0)</f>
        <v>71.968333999999999</v>
      </c>
      <c r="E158" s="141">
        <f>IF((E157)&gt;0,(E157/E156),0)</f>
        <v>4.9000000000000004</v>
      </c>
      <c r="F158" s="141"/>
      <c r="G158" s="141"/>
      <c r="H158" s="142"/>
      <c r="I158" s="141"/>
      <c r="J158" s="141"/>
      <c r="K158" s="141"/>
      <c r="L158" s="141"/>
      <c r="M158" s="142"/>
      <c r="N158" s="141"/>
      <c r="O158" s="141"/>
      <c r="P158" s="141"/>
      <c r="Q158" s="141"/>
      <c r="R158" s="142"/>
      <c r="S158" s="141"/>
      <c r="T158" s="141"/>
      <c r="U158" s="141"/>
      <c r="V158" s="141"/>
      <c r="W158" s="208"/>
      <c r="X158" s="141"/>
      <c r="Y158" s="141"/>
      <c r="Z158" s="141"/>
      <c r="AA158" s="141"/>
      <c r="AB158" s="142"/>
      <c r="AC158" s="141"/>
      <c r="AD158" s="141"/>
      <c r="AE158" s="141"/>
      <c r="AF158" s="141"/>
      <c r="AG158" s="142"/>
      <c r="AH158" s="141"/>
      <c r="AI158" s="141"/>
      <c r="AJ158" s="141"/>
      <c r="AK158" s="141"/>
      <c r="AL158" s="142"/>
      <c r="AM158" s="141"/>
      <c r="AN158" s="141"/>
      <c r="AO158" s="141"/>
      <c r="AP158" s="141"/>
      <c r="AQ158" s="142"/>
      <c r="AR158" s="141"/>
      <c r="AS158" s="141"/>
      <c r="AT158" s="141"/>
      <c r="AU158" s="141"/>
      <c r="AV158" s="142"/>
    </row>
    <row r="159" spans="2:48" outlineLevel="1" x14ac:dyDescent="0.55000000000000004">
      <c r="B159" s="209" t="s">
        <v>134</v>
      </c>
      <c r="C159" s="210"/>
      <c r="D159" s="140"/>
      <c r="E159" s="36">
        <v>71.959999999999994</v>
      </c>
      <c r="F159" s="36">
        <v>76.5</v>
      </c>
      <c r="G159" s="140"/>
      <c r="H159" s="49"/>
      <c r="I159" s="140"/>
      <c r="J159" s="140"/>
      <c r="K159" s="140"/>
      <c r="L159" s="140"/>
      <c r="M159" s="49"/>
      <c r="N159" s="140"/>
      <c r="O159" s="140"/>
      <c r="P159" s="140"/>
      <c r="Q159" s="140"/>
      <c r="R159" s="49"/>
      <c r="S159" s="140"/>
      <c r="T159" s="140"/>
      <c r="U159" s="140"/>
      <c r="V159" s="140"/>
      <c r="W159" s="49"/>
      <c r="X159" s="140"/>
      <c r="Y159" s="140"/>
      <c r="Z159" s="140"/>
      <c r="AA159" s="140"/>
      <c r="AB159" s="49"/>
      <c r="AC159" s="140"/>
      <c r="AD159" s="140"/>
      <c r="AE159" s="140"/>
      <c r="AF159" s="140"/>
      <c r="AG159" s="49"/>
      <c r="AH159" s="140"/>
      <c r="AI159" s="140"/>
      <c r="AJ159" s="140"/>
      <c r="AK159" s="140"/>
      <c r="AL159" s="49"/>
      <c r="AM159" s="140"/>
      <c r="AN159" s="140"/>
      <c r="AO159" s="140"/>
      <c r="AP159" s="140"/>
      <c r="AQ159" s="49"/>
      <c r="AR159" s="140"/>
      <c r="AS159" s="140"/>
      <c r="AT159" s="140"/>
      <c r="AU159" s="140"/>
      <c r="AV159" s="49"/>
    </row>
    <row r="160" spans="2:48" outlineLevel="1" x14ac:dyDescent="0.55000000000000004">
      <c r="B160" s="209" t="s">
        <v>135</v>
      </c>
      <c r="C160" s="210"/>
      <c r="D160" s="140"/>
      <c r="E160" s="16">
        <v>1597.5119999999997</v>
      </c>
      <c r="F160" s="16">
        <v>298.35000000000002</v>
      </c>
      <c r="G160" s="140"/>
      <c r="H160" s="49"/>
      <c r="I160" s="140"/>
      <c r="J160" s="140"/>
      <c r="K160" s="140"/>
      <c r="L160" s="140"/>
      <c r="M160" s="49"/>
      <c r="N160" s="180"/>
      <c r="O160" s="140"/>
      <c r="P160" s="140"/>
      <c r="Q160" s="140"/>
      <c r="R160" s="49"/>
      <c r="S160" s="140"/>
      <c r="T160" s="140"/>
      <c r="U160" s="140"/>
      <c r="V160" s="140"/>
      <c r="W160" s="49"/>
      <c r="X160" s="140"/>
      <c r="Y160" s="140"/>
      <c r="Z160" s="140"/>
      <c r="AA160" s="140"/>
      <c r="AB160" s="49"/>
      <c r="AC160" s="140"/>
      <c r="AD160" s="140"/>
      <c r="AE160" s="140"/>
      <c r="AF160" s="140"/>
      <c r="AG160" s="49"/>
      <c r="AH160" s="140"/>
      <c r="AI160" s="140"/>
      <c r="AJ160" s="140"/>
      <c r="AK160" s="140"/>
      <c r="AL160" s="49"/>
      <c r="AM160" s="140"/>
      <c r="AN160" s="140"/>
      <c r="AO160" s="140"/>
      <c r="AP160" s="140"/>
      <c r="AQ160" s="49"/>
      <c r="AR160" s="140"/>
      <c r="AS160" s="140"/>
      <c r="AT160" s="140"/>
      <c r="AU160" s="140"/>
      <c r="AV160" s="49"/>
    </row>
    <row r="161" spans="2:48" outlineLevel="1" x14ac:dyDescent="0.55000000000000004">
      <c r="B161" s="209" t="s">
        <v>136</v>
      </c>
      <c r="C161" s="210"/>
      <c r="D161" s="140"/>
      <c r="E161" s="140">
        <f>IF((E160)&gt;0,(E160/E159),0)</f>
        <v>22.2</v>
      </c>
      <c r="F161" s="140">
        <f>IF((F160)&gt;0,(F160/F159),0)</f>
        <v>3.9000000000000004</v>
      </c>
      <c r="G161" s="140"/>
      <c r="H161" s="49"/>
      <c r="I161" s="140"/>
      <c r="J161" s="140"/>
      <c r="K161" s="140"/>
      <c r="L161" s="140"/>
      <c r="M161" s="49"/>
      <c r="N161" s="140"/>
      <c r="O161" s="140"/>
      <c r="P161" s="140"/>
      <c r="Q161" s="140"/>
      <c r="R161" s="49"/>
      <c r="S161" s="140"/>
      <c r="T161" s="140"/>
      <c r="U161" s="140"/>
      <c r="V161" s="140"/>
      <c r="W161" s="49"/>
      <c r="X161" s="140"/>
      <c r="Y161" s="140"/>
      <c r="Z161" s="140"/>
      <c r="AA161" s="140"/>
      <c r="AB161" s="49"/>
      <c r="AC161" s="140"/>
      <c r="AD161" s="140"/>
      <c r="AE161" s="140"/>
      <c r="AF161" s="140"/>
      <c r="AG161" s="49"/>
      <c r="AH161" s="140"/>
      <c r="AI161" s="140"/>
      <c r="AJ161" s="140"/>
      <c r="AK161" s="140"/>
      <c r="AL161" s="49"/>
      <c r="AM161" s="140"/>
      <c r="AN161" s="140"/>
      <c r="AO161" s="140"/>
      <c r="AP161" s="140"/>
      <c r="AQ161" s="49"/>
      <c r="AR161" s="140"/>
      <c r="AS161" s="140"/>
      <c r="AT161" s="140"/>
      <c r="AU161" s="140"/>
      <c r="AV161" s="49"/>
    </row>
    <row r="162" spans="2:48" ht="17.100000000000001" x14ac:dyDescent="0.85">
      <c r="B162" s="282" t="s">
        <v>12</v>
      </c>
      <c r="C162" s="283"/>
      <c r="D162" s="14" t="s">
        <v>19</v>
      </c>
      <c r="E162" s="14" t="s">
        <v>81</v>
      </c>
      <c r="F162" s="14" t="s">
        <v>85</v>
      </c>
      <c r="G162" s="14" t="s">
        <v>95</v>
      </c>
      <c r="H162" s="40" t="s">
        <v>96</v>
      </c>
      <c r="I162" s="14" t="s">
        <v>97</v>
      </c>
      <c r="J162" s="14" t="s">
        <v>98</v>
      </c>
      <c r="K162" s="14" t="s">
        <v>99</v>
      </c>
      <c r="L162" s="14" t="s">
        <v>143</v>
      </c>
      <c r="M162" s="40" t="s">
        <v>144</v>
      </c>
      <c r="N162" s="14" t="s">
        <v>150</v>
      </c>
      <c r="O162" s="14" t="s">
        <v>158</v>
      </c>
      <c r="P162" s="14" t="s">
        <v>160</v>
      </c>
      <c r="Q162" s="14" t="s">
        <v>173</v>
      </c>
      <c r="R162" s="40" t="s">
        <v>174</v>
      </c>
      <c r="S162" s="14" t="s">
        <v>189</v>
      </c>
      <c r="T162" s="14" t="s">
        <v>190</v>
      </c>
      <c r="U162" s="14" t="s">
        <v>205</v>
      </c>
      <c r="V162" s="12" t="s">
        <v>25</v>
      </c>
      <c r="W162" s="42" t="s">
        <v>26</v>
      </c>
      <c r="X162" s="12" t="s">
        <v>27</v>
      </c>
      <c r="Y162" s="12" t="s">
        <v>28</v>
      </c>
      <c r="Z162" s="12" t="s">
        <v>29</v>
      </c>
      <c r="AA162" s="12" t="s">
        <v>30</v>
      </c>
      <c r="AB162" s="42" t="s">
        <v>31</v>
      </c>
      <c r="AC162" s="12" t="s">
        <v>90</v>
      </c>
      <c r="AD162" s="12" t="s">
        <v>91</v>
      </c>
      <c r="AE162" s="12" t="s">
        <v>92</v>
      </c>
      <c r="AF162" s="12" t="s">
        <v>93</v>
      </c>
      <c r="AG162" s="42" t="s">
        <v>94</v>
      </c>
      <c r="AH162" s="12" t="s">
        <v>109</v>
      </c>
      <c r="AI162" s="12" t="s">
        <v>110</v>
      </c>
      <c r="AJ162" s="12" t="s">
        <v>111</v>
      </c>
      <c r="AK162" s="12" t="s">
        <v>112</v>
      </c>
      <c r="AL162" s="42" t="s">
        <v>113</v>
      </c>
      <c r="AM162" s="12" t="s">
        <v>165</v>
      </c>
      <c r="AN162" s="12" t="s">
        <v>166</v>
      </c>
      <c r="AO162" s="12" t="s">
        <v>167</v>
      </c>
      <c r="AP162" s="12" t="s">
        <v>168</v>
      </c>
      <c r="AQ162" s="42" t="s">
        <v>169</v>
      </c>
      <c r="AR162" s="12" t="s">
        <v>196</v>
      </c>
      <c r="AS162" s="12" t="s">
        <v>197</v>
      </c>
      <c r="AT162" s="12" t="s">
        <v>198</v>
      </c>
      <c r="AU162" s="12" t="s">
        <v>199</v>
      </c>
      <c r="AV162" s="42" t="s">
        <v>200</v>
      </c>
    </row>
    <row r="163" spans="2:48" outlineLevel="1" x14ac:dyDescent="0.55000000000000004">
      <c r="B163" s="286" t="s">
        <v>65</v>
      </c>
      <c r="C163" s="287"/>
      <c r="D163" s="102">
        <f>-(22+5.3+0.6+20.9)</f>
        <v>-48.8</v>
      </c>
      <c r="E163" s="102">
        <v>-45.1</v>
      </c>
      <c r="F163" s="102">
        <v>-39.6</v>
      </c>
      <c r="G163" s="102">
        <f>-146.2+133.5</f>
        <v>-12.699999999999989</v>
      </c>
      <c r="H163" s="160">
        <f>SUM(D163:G163)</f>
        <v>-146.19999999999999</v>
      </c>
      <c r="I163" s="102">
        <v>-7.1</v>
      </c>
      <c r="J163" s="102">
        <v>0.1</v>
      </c>
      <c r="K163" s="105">
        <f>-K14</f>
        <v>-78.099999999999994</v>
      </c>
      <c r="L163" s="101">
        <v>-195.5</v>
      </c>
      <c r="M163" s="170"/>
      <c r="N163" s="101">
        <v>-72.2</v>
      </c>
      <c r="O163" s="101">
        <v>-23</v>
      </c>
      <c r="P163" s="101">
        <v>-19.8</v>
      </c>
      <c r="Q163" s="101">
        <v>-55.5</v>
      </c>
      <c r="R163" s="17"/>
      <c r="S163" s="16">
        <v>7.5</v>
      </c>
      <c r="T163" s="16">
        <v>-4.4000000000000004</v>
      </c>
      <c r="U163" s="16">
        <v>-14</v>
      </c>
      <c r="V163" s="33">
        <v>-14</v>
      </c>
      <c r="W163" s="17"/>
      <c r="X163" s="33">
        <f>V163</f>
        <v>-14</v>
      </c>
      <c r="Y163" s="33">
        <f t="shared" ref="Y163:AA163" si="464">X163</f>
        <v>-14</v>
      </c>
      <c r="Z163" s="33">
        <f t="shared" si="464"/>
        <v>-14</v>
      </c>
      <c r="AA163" s="33">
        <f t="shared" si="464"/>
        <v>-14</v>
      </c>
      <c r="AB163" s="17"/>
      <c r="AC163" s="33">
        <f>AA163</f>
        <v>-14</v>
      </c>
      <c r="AD163" s="33">
        <f t="shared" ref="AD163:AF163" si="465">AC163</f>
        <v>-14</v>
      </c>
      <c r="AE163" s="33">
        <f t="shared" si="465"/>
        <v>-14</v>
      </c>
      <c r="AF163" s="33">
        <f t="shared" si="465"/>
        <v>-14</v>
      </c>
      <c r="AG163" s="17"/>
      <c r="AH163" s="33">
        <f>AF163</f>
        <v>-14</v>
      </c>
      <c r="AI163" s="33">
        <f t="shared" ref="AI163:AK163" si="466">AH163</f>
        <v>-14</v>
      </c>
      <c r="AJ163" s="33">
        <f t="shared" si="466"/>
        <v>-14</v>
      </c>
      <c r="AK163" s="33">
        <f t="shared" si="466"/>
        <v>-14</v>
      </c>
      <c r="AL163" s="17"/>
      <c r="AM163" s="33">
        <f>AK163</f>
        <v>-14</v>
      </c>
      <c r="AN163" s="33">
        <f t="shared" ref="AN163:AP163" si="467">AM163</f>
        <v>-14</v>
      </c>
      <c r="AO163" s="33">
        <f t="shared" si="467"/>
        <v>-14</v>
      </c>
      <c r="AP163" s="33">
        <f t="shared" si="467"/>
        <v>-14</v>
      </c>
      <c r="AQ163" s="17"/>
      <c r="AR163" s="33">
        <f>AP163</f>
        <v>-14</v>
      </c>
      <c r="AS163" s="33">
        <f t="shared" ref="AS163:AU163" si="468">AR163</f>
        <v>-14</v>
      </c>
      <c r="AT163" s="33">
        <f t="shared" si="468"/>
        <v>-14</v>
      </c>
      <c r="AU163" s="33">
        <f t="shared" si="468"/>
        <v>-14</v>
      </c>
      <c r="AV163" s="17"/>
    </row>
    <row r="164" spans="2:48" outlineLevel="1" x14ac:dyDescent="0.55000000000000004">
      <c r="B164" s="209" t="s">
        <v>64</v>
      </c>
      <c r="C164" s="210"/>
      <c r="D164" s="102">
        <f>-(5.3+0.5)</f>
        <v>-5.8</v>
      </c>
      <c r="E164" s="102">
        <v>-4.3</v>
      </c>
      <c r="F164" s="102">
        <v>-2.2999999999999998</v>
      </c>
      <c r="G164" s="102">
        <v>-0.2</v>
      </c>
      <c r="H164" s="160">
        <f t="shared" ref="H164:H167" si="469">SUM(D164:G164)</f>
        <v>-12.599999999999998</v>
      </c>
      <c r="I164" s="102">
        <v>-5.6</v>
      </c>
      <c r="J164" s="102">
        <v>-6.8</v>
      </c>
      <c r="K164" s="105">
        <v>-35.04</v>
      </c>
      <c r="L164" s="101">
        <v>0</v>
      </c>
      <c r="M164" s="170"/>
      <c r="N164" s="101">
        <v>0</v>
      </c>
      <c r="O164" s="101">
        <v>0</v>
      </c>
      <c r="P164" s="101">
        <v>22.8</v>
      </c>
      <c r="Q164" s="101">
        <v>-0.1</v>
      </c>
      <c r="R164" s="17"/>
      <c r="S164" s="16"/>
      <c r="T164" s="16"/>
      <c r="U164" s="16"/>
      <c r="V164" s="33"/>
      <c r="W164" s="17"/>
      <c r="X164" s="33">
        <f t="shared" ref="X164:X167" si="470">V164</f>
        <v>0</v>
      </c>
      <c r="Y164" s="33"/>
      <c r="Z164" s="33"/>
      <c r="AA164" s="33"/>
      <c r="AB164" s="17"/>
      <c r="AC164" s="33">
        <f t="shared" ref="AC164:AC167" si="471">AA164</f>
        <v>0</v>
      </c>
      <c r="AD164" s="33"/>
      <c r="AE164" s="33"/>
      <c r="AF164" s="33"/>
      <c r="AG164" s="17"/>
      <c r="AH164" s="33">
        <f t="shared" ref="AH164:AH167" si="472">AF164</f>
        <v>0</v>
      </c>
      <c r="AI164" s="33"/>
      <c r="AJ164" s="33"/>
      <c r="AK164" s="33"/>
      <c r="AL164" s="17"/>
      <c r="AM164" s="33">
        <f t="shared" ref="AM164:AM167" si="473">AK164</f>
        <v>0</v>
      </c>
      <c r="AN164" s="33"/>
      <c r="AO164" s="33"/>
      <c r="AP164" s="33"/>
      <c r="AQ164" s="17"/>
      <c r="AR164" s="33">
        <f t="shared" ref="AR164:AR167" si="474">AP164</f>
        <v>0</v>
      </c>
      <c r="AS164" s="33"/>
      <c r="AT164" s="33"/>
      <c r="AU164" s="33"/>
      <c r="AV164" s="17"/>
    </row>
    <row r="165" spans="2:48" outlineLevel="1" x14ac:dyDescent="0.55000000000000004">
      <c r="B165" s="286" t="s">
        <v>129</v>
      </c>
      <c r="C165" s="287"/>
      <c r="D165" s="102">
        <f>-(60.6-0.3)</f>
        <v>-60.300000000000004</v>
      </c>
      <c r="E165" s="102">
        <v>-68.2</v>
      </c>
      <c r="F165" s="102">
        <v>-69</v>
      </c>
      <c r="G165" s="102">
        <f>-262+197.5</f>
        <v>-64.5</v>
      </c>
      <c r="H165" s="160">
        <f>SUM(D165:G165)</f>
        <v>-262</v>
      </c>
      <c r="I165" s="102">
        <v>-58.9</v>
      </c>
      <c r="J165" s="102">
        <v>-60.1</v>
      </c>
      <c r="K165" s="105">
        <v>-60.54</v>
      </c>
      <c r="L165" s="101">
        <v>-64</v>
      </c>
      <c r="M165" s="170"/>
      <c r="N165" s="101">
        <v>-62.7</v>
      </c>
      <c r="O165" s="101">
        <v>-65.2</v>
      </c>
      <c r="P165" s="101">
        <v>-54.7</v>
      </c>
      <c r="Q165" s="101">
        <v>-59.6</v>
      </c>
      <c r="R165" s="17"/>
      <c r="S165" s="16">
        <f>0.1-42.8</f>
        <v>-42.699999999999996</v>
      </c>
      <c r="T165" s="16">
        <v>-43.1</v>
      </c>
      <c r="U165" s="16">
        <v>-63.5</v>
      </c>
      <c r="V165" s="33">
        <v>-64</v>
      </c>
      <c r="W165" s="17"/>
      <c r="X165" s="33">
        <f t="shared" si="470"/>
        <v>-64</v>
      </c>
      <c r="Y165" s="33">
        <f t="shared" ref="Y165:AA165" si="475">X165</f>
        <v>-64</v>
      </c>
      <c r="Z165" s="33">
        <f t="shared" si="475"/>
        <v>-64</v>
      </c>
      <c r="AA165" s="33">
        <f t="shared" si="475"/>
        <v>-64</v>
      </c>
      <c r="AB165" s="17"/>
      <c r="AC165" s="33">
        <f t="shared" si="471"/>
        <v>-64</v>
      </c>
      <c r="AD165" s="33">
        <f t="shared" ref="AD165:AF165" si="476">AC165</f>
        <v>-64</v>
      </c>
      <c r="AE165" s="33">
        <f t="shared" si="476"/>
        <v>-64</v>
      </c>
      <c r="AF165" s="33">
        <f t="shared" si="476"/>
        <v>-64</v>
      </c>
      <c r="AG165" s="17"/>
      <c r="AH165" s="33">
        <f t="shared" si="472"/>
        <v>-64</v>
      </c>
      <c r="AI165" s="33">
        <f t="shared" ref="AI165:AK165" si="477">AH165</f>
        <v>-64</v>
      </c>
      <c r="AJ165" s="33">
        <f t="shared" si="477"/>
        <v>-64</v>
      </c>
      <c r="AK165" s="33">
        <f t="shared" si="477"/>
        <v>-64</v>
      </c>
      <c r="AL165" s="17"/>
      <c r="AM165" s="33">
        <f t="shared" si="473"/>
        <v>-64</v>
      </c>
      <c r="AN165" s="33">
        <f t="shared" ref="AN165:AP165" si="478">AM165</f>
        <v>-64</v>
      </c>
      <c r="AO165" s="33">
        <f t="shared" si="478"/>
        <v>-64</v>
      </c>
      <c r="AP165" s="33">
        <f t="shared" si="478"/>
        <v>-64</v>
      </c>
      <c r="AQ165" s="17"/>
      <c r="AR165" s="33">
        <f t="shared" si="474"/>
        <v>-64</v>
      </c>
      <c r="AS165" s="33">
        <f t="shared" ref="AS165:AU165" si="479">AR165</f>
        <v>-64</v>
      </c>
      <c r="AT165" s="33">
        <f t="shared" si="479"/>
        <v>-64</v>
      </c>
      <c r="AU165" s="33">
        <f t="shared" si="479"/>
        <v>-64</v>
      </c>
      <c r="AV165" s="17"/>
    </row>
    <row r="166" spans="2:48" outlineLevel="1" x14ac:dyDescent="0.55000000000000004">
      <c r="B166" s="209" t="s">
        <v>66</v>
      </c>
      <c r="C166" s="210"/>
      <c r="D166" s="102">
        <v>-23.1</v>
      </c>
      <c r="E166" s="102">
        <v>-23.8</v>
      </c>
      <c r="F166" s="102">
        <v>-14.4</v>
      </c>
      <c r="G166" s="102">
        <v>0</v>
      </c>
      <c r="H166" s="160">
        <f t="shared" si="469"/>
        <v>-61.300000000000004</v>
      </c>
      <c r="I166" s="102"/>
      <c r="J166" s="102"/>
      <c r="K166" s="101"/>
      <c r="L166" s="101"/>
      <c r="M166" s="170"/>
      <c r="N166" s="101"/>
      <c r="O166" s="101"/>
      <c r="P166" s="101"/>
      <c r="Q166" s="101"/>
      <c r="R166" s="17"/>
      <c r="S166" s="16"/>
      <c r="T166" s="16"/>
      <c r="U166" s="16"/>
      <c r="V166" s="33"/>
      <c r="W166" s="17"/>
      <c r="X166" s="33">
        <f t="shared" si="470"/>
        <v>0</v>
      </c>
      <c r="Y166" s="33"/>
      <c r="Z166" s="33"/>
      <c r="AA166" s="33"/>
      <c r="AB166" s="17"/>
      <c r="AC166" s="33">
        <f t="shared" si="471"/>
        <v>0</v>
      </c>
      <c r="AD166" s="33"/>
      <c r="AE166" s="33"/>
      <c r="AF166" s="33"/>
      <c r="AG166" s="17"/>
      <c r="AH166" s="33">
        <f t="shared" si="472"/>
        <v>0</v>
      </c>
      <c r="AI166" s="33"/>
      <c r="AJ166" s="33"/>
      <c r="AK166" s="33"/>
      <c r="AL166" s="17"/>
      <c r="AM166" s="33">
        <f t="shared" si="473"/>
        <v>0</v>
      </c>
      <c r="AN166" s="33"/>
      <c r="AO166" s="33"/>
      <c r="AP166" s="33"/>
      <c r="AQ166" s="17"/>
      <c r="AR166" s="33">
        <f t="shared" si="474"/>
        <v>0</v>
      </c>
      <c r="AS166" s="33"/>
      <c r="AT166" s="33"/>
      <c r="AU166" s="33"/>
      <c r="AV166" s="17"/>
    </row>
    <row r="167" spans="2:48" ht="16.2" outlineLevel="1" x14ac:dyDescent="0.85">
      <c r="B167" s="209" t="s">
        <v>80</v>
      </c>
      <c r="C167" s="210"/>
      <c r="D167" s="139">
        <v>0</v>
      </c>
      <c r="E167" s="139">
        <v>0</v>
      </c>
      <c r="F167" s="139">
        <v>0</v>
      </c>
      <c r="G167" s="139">
        <v>0</v>
      </c>
      <c r="H167" s="161">
        <f t="shared" si="469"/>
        <v>0</v>
      </c>
      <c r="I167" s="139">
        <v>0</v>
      </c>
      <c r="J167" s="139">
        <v>0</v>
      </c>
      <c r="K167" s="112">
        <v>0</v>
      </c>
      <c r="L167" s="112">
        <v>0</v>
      </c>
      <c r="M167" s="170"/>
      <c r="N167" s="112">
        <v>0</v>
      </c>
      <c r="O167" s="112">
        <v>0</v>
      </c>
      <c r="P167" s="112">
        <v>0</v>
      </c>
      <c r="Q167" s="112">
        <v>0</v>
      </c>
      <c r="R167" s="17"/>
      <c r="S167" s="112">
        <v>0</v>
      </c>
      <c r="T167" s="112">
        <v>0</v>
      </c>
      <c r="U167" s="112">
        <v>0</v>
      </c>
      <c r="V167" s="32">
        <v>0</v>
      </c>
      <c r="W167" s="17"/>
      <c r="X167" s="32">
        <f t="shared" si="470"/>
        <v>0</v>
      </c>
      <c r="Y167" s="32">
        <v>0</v>
      </c>
      <c r="Z167" s="32">
        <v>0</v>
      </c>
      <c r="AA167" s="32">
        <v>0</v>
      </c>
      <c r="AB167" s="17"/>
      <c r="AC167" s="32">
        <f t="shared" si="471"/>
        <v>0</v>
      </c>
      <c r="AD167" s="32">
        <v>0</v>
      </c>
      <c r="AE167" s="32">
        <v>0</v>
      </c>
      <c r="AF167" s="32">
        <v>0</v>
      </c>
      <c r="AG167" s="17"/>
      <c r="AH167" s="32">
        <f t="shared" si="472"/>
        <v>0</v>
      </c>
      <c r="AI167" s="32">
        <v>0</v>
      </c>
      <c r="AJ167" s="32">
        <v>0</v>
      </c>
      <c r="AK167" s="32">
        <v>0</v>
      </c>
      <c r="AL167" s="17"/>
      <c r="AM167" s="32">
        <f t="shared" si="473"/>
        <v>0</v>
      </c>
      <c r="AN167" s="32">
        <v>0</v>
      </c>
      <c r="AO167" s="32">
        <v>0</v>
      </c>
      <c r="AP167" s="32">
        <v>0</v>
      </c>
      <c r="AQ167" s="17"/>
      <c r="AR167" s="32">
        <f t="shared" si="474"/>
        <v>0</v>
      </c>
      <c r="AS167" s="32">
        <v>0</v>
      </c>
      <c r="AT167" s="32">
        <v>0</v>
      </c>
      <c r="AU167" s="32">
        <v>0</v>
      </c>
      <c r="AV167" s="17"/>
    </row>
    <row r="168" spans="2:48" s="8" customFormat="1" outlineLevel="1" x14ac:dyDescent="0.55000000000000004">
      <c r="B168" s="214" t="s">
        <v>67</v>
      </c>
      <c r="C168" s="211"/>
      <c r="D168" s="103">
        <f t="shared" ref="D168:L168" si="480">SUM(D163:D167)</f>
        <v>-138</v>
      </c>
      <c r="E168" s="103">
        <f t="shared" si="480"/>
        <v>-141.4</v>
      </c>
      <c r="F168" s="103">
        <f t="shared" si="480"/>
        <v>-125.30000000000001</v>
      </c>
      <c r="G168" s="103">
        <f t="shared" si="480"/>
        <v>-77.399999999999991</v>
      </c>
      <c r="H168" s="172">
        <f t="shared" si="480"/>
        <v>-482.09999999999997</v>
      </c>
      <c r="I168" s="103">
        <f t="shared" si="480"/>
        <v>-71.599999999999994</v>
      </c>
      <c r="J168" s="103">
        <f t="shared" si="480"/>
        <v>-66.8</v>
      </c>
      <c r="K168" s="103">
        <f t="shared" si="480"/>
        <v>-173.67999999999998</v>
      </c>
      <c r="L168" s="103">
        <f t="shared" si="480"/>
        <v>-259.5</v>
      </c>
      <c r="M168" s="151"/>
      <c r="N168" s="103">
        <f>SUM(N163:N167)</f>
        <v>-134.9</v>
      </c>
      <c r="O168" s="103">
        <f>SUM(O163:O167)</f>
        <v>-88.2</v>
      </c>
      <c r="P168" s="103">
        <f>SUM(P163:P167)</f>
        <v>-51.7</v>
      </c>
      <c r="Q168" s="103">
        <f>SUM(Q163:Q167)</f>
        <v>-115.2</v>
      </c>
      <c r="R168" s="22"/>
      <c r="S168" s="103">
        <f>SUM(S163:S167)</f>
        <v>-35.199999999999996</v>
      </c>
      <c r="T168" s="50">
        <f>SUM(T163:T167)</f>
        <v>-47.5</v>
      </c>
      <c r="U168" s="50">
        <f>SUM(U163:U167)</f>
        <v>-77.5</v>
      </c>
      <c r="V168" s="50">
        <f>SUM(V163:V167)</f>
        <v>-78</v>
      </c>
      <c r="W168" s="22"/>
      <c r="X168" s="50">
        <f>SUM(X163:X167)</f>
        <v>-78</v>
      </c>
      <c r="Y168" s="50">
        <f>SUM(Y163:Y167)</f>
        <v>-78</v>
      </c>
      <c r="Z168" s="50">
        <f>SUM(Z163:Z167)</f>
        <v>-78</v>
      </c>
      <c r="AA168" s="50">
        <f>SUM(AA163:AA167)</f>
        <v>-78</v>
      </c>
      <c r="AB168" s="22"/>
      <c r="AC168" s="50">
        <f>SUM(AC163:AC167)</f>
        <v>-78</v>
      </c>
      <c r="AD168" s="50">
        <f>SUM(AD163:AD167)</f>
        <v>-78</v>
      </c>
      <c r="AE168" s="50">
        <f>SUM(AE163:AE167)</f>
        <v>-78</v>
      </c>
      <c r="AF168" s="50">
        <f>SUM(AF163:AF167)</f>
        <v>-78</v>
      </c>
      <c r="AG168" s="22"/>
      <c r="AH168" s="50">
        <f>SUM(AH163:AH167)</f>
        <v>-78</v>
      </c>
      <c r="AI168" s="50">
        <f>SUM(AI163:AI167)</f>
        <v>-78</v>
      </c>
      <c r="AJ168" s="50">
        <f>SUM(AJ163:AJ167)</f>
        <v>-78</v>
      </c>
      <c r="AK168" s="50">
        <f>SUM(AK163:AK167)</f>
        <v>-78</v>
      </c>
      <c r="AL168" s="22"/>
      <c r="AM168" s="50">
        <f>SUM(AM163:AM167)</f>
        <v>-78</v>
      </c>
      <c r="AN168" s="50">
        <f>SUM(AN163:AN167)</f>
        <v>-78</v>
      </c>
      <c r="AO168" s="50">
        <f>SUM(AO163:AO167)</f>
        <v>-78</v>
      </c>
      <c r="AP168" s="50">
        <f>SUM(AP163:AP167)</f>
        <v>-78</v>
      </c>
      <c r="AQ168" s="22"/>
      <c r="AR168" s="50">
        <f>SUM(AR163:AR167)</f>
        <v>-78</v>
      </c>
      <c r="AS168" s="50">
        <f>SUM(AS163:AS167)</f>
        <v>-78</v>
      </c>
      <c r="AT168" s="50">
        <f>SUM(AT163:AT167)</f>
        <v>-78</v>
      </c>
      <c r="AU168" s="50">
        <f>SUM(AU163:AU167)</f>
        <v>-78</v>
      </c>
      <c r="AV168" s="22"/>
    </row>
    <row r="169" spans="2:48" ht="16.2" outlineLevel="1" x14ac:dyDescent="0.85">
      <c r="B169" s="209" t="s">
        <v>156</v>
      </c>
      <c r="C169" s="210"/>
      <c r="D169" s="104">
        <v>0</v>
      </c>
      <c r="E169" s="104">
        <v>0</v>
      </c>
      <c r="F169" s="104">
        <v>0</v>
      </c>
      <c r="G169" s="104">
        <v>0</v>
      </c>
      <c r="H169" s="170"/>
      <c r="I169" s="104">
        <v>0</v>
      </c>
      <c r="J169" s="104">
        <v>0</v>
      </c>
      <c r="K169" s="104">
        <v>0</v>
      </c>
      <c r="L169" s="104">
        <v>0</v>
      </c>
      <c r="M169" s="170"/>
      <c r="N169" s="104">
        <v>0</v>
      </c>
      <c r="O169" s="104">
        <v>0</v>
      </c>
      <c r="P169" s="104">
        <v>0</v>
      </c>
      <c r="Q169" s="104">
        <v>0</v>
      </c>
      <c r="R169" s="17"/>
      <c r="S169" s="104">
        <v>0</v>
      </c>
      <c r="T169" s="52">
        <v>0</v>
      </c>
      <c r="U169" s="52">
        <v>0</v>
      </c>
      <c r="V169" s="52">
        <v>0</v>
      </c>
      <c r="W169" s="17"/>
      <c r="X169" s="52">
        <v>0</v>
      </c>
      <c r="Y169" s="52">
        <v>0</v>
      </c>
      <c r="Z169" s="52">
        <v>0</v>
      </c>
      <c r="AA169" s="52">
        <v>0</v>
      </c>
      <c r="AB169" s="17"/>
      <c r="AC169" s="52">
        <v>0</v>
      </c>
      <c r="AD169" s="52">
        <v>0</v>
      </c>
      <c r="AE169" s="52">
        <v>0</v>
      </c>
      <c r="AF169" s="52">
        <v>0</v>
      </c>
      <c r="AG169" s="17"/>
      <c r="AH169" s="52">
        <v>0</v>
      </c>
      <c r="AI169" s="52">
        <v>0</v>
      </c>
      <c r="AJ169" s="52">
        <v>0</v>
      </c>
      <c r="AK169" s="52">
        <v>0</v>
      </c>
      <c r="AL169" s="17"/>
      <c r="AM169" s="52">
        <v>0</v>
      </c>
      <c r="AN169" s="52">
        <v>0</v>
      </c>
      <c r="AO169" s="52">
        <v>0</v>
      </c>
      <c r="AP169" s="52">
        <v>0</v>
      </c>
      <c r="AQ169" s="17"/>
      <c r="AR169" s="52">
        <v>0</v>
      </c>
      <c r="AS169" s="52">
        <v>0</v>
      </c>
      <c r="AT169" s="52">
        <v>0</v>
      </c>
      <c r="AU169" s="52">
        <v>0</v>
      </c>
      <c r="AV169" s="17"/>
    </row>
    <row r="170" spans="2:48" s="8" customFormat="1" outlineLevel="1" x14ac:dyDescent="0.55000000000000004">
      <c r="B170" s="214" t="s">
        <v>68</v>
      </c>
      <c r="C170" s="211"/>
      <c r="D170" s="103">
        <f t="shared" ref="D170:G170" si="481">-D168+D169</f>
        <v>138</v>
      </c>
      <c r="E170" s="103">
        <f t="shared" si="481"/>
        <v>141.4</v>
      </c>
      <c r="F170" s="103">
        <f t="shared" si="481"/>
        <v>125.30000000000001</v>
      </c>
      <c r="G170" s="103">
        <f t="shared" si="481"/>
        <v>77.399999999999991</v>
      </c>
      <c r="H170" s="151"/>
      <c r="I170" s="103">
        <f t="shared" ref="I170:L170" si="482">-I168+I169</f>
        <v>71.599999999999994</v>
      </c>
      <c r="J170" s="103">
        <f t="shared" si="482"/>
        <v>66.8</v>
      </c>
      <c r="K170" s="103">
        <f t="shared" si="482"/>
        <v>173.67999999999998</v>
      </c>
      <c r="L170" s="103">
        <f t="shared" si="482"/>
        <v>259.5</v>
      </c>
      <c r="M170" s="151"/>
      <c r="N170" s="103">
        <f t="shared" ref="N170:P170" si="483">-N168+N169</f>
        <v>134.9</v>
      </c>
      <c r="O170" s="103">
        <f t="shared" si="483"/>
        <v>88.2</v>
      </c>
      <c r="P170" s="103">
        <f t="shared" si="483"/>
        <v>51.7</v>
      </c>
      <c r="Q170" s="103">
        <f>-Q168+Q169</f>
        <v>115.2</v>
      </c>
      <c r="R170" s="22"/>
      <c r="S170" s="103">
        <f t="shared" ref="S170:V170" si="484">-S168+S169</f>
        <v>35.199999999999996</v>
      </c>
      <c r="T170" s="50">
        <f t="shared" si="484"/>
        <v>47.5</v>
      </c>
      <c r="U170" s="50">
        <f t="shared" si="484"/>
        <v>77.5</v>
      </c>
      <c r="V170" s="50">
        <f t="shared" si="484"/>
        <v>78</v>
      </c>
      <c r="W170" s="22"/>
      <c r="X170" s="50">
        <f t="shared" ref="X170:AA170" si="485">-X168+X169</f>
        <v>78</v>
      </c>
      <c r="Y170" s="50">
        <f t="shared" si="485"/>
        <v>78</v>
      </c>
      <c r="Z170" s="50">
        <f t="shared" si="485"/>
        <v>78</v>
      </c>
      <c r="AA170" s="50">
        <f t="shared" si="485"/>
        <v>78</v>
      </c>
      <c r="AB170" s="22"/>
      <c r="AC170" s="50">
        <f t="shared" ref="AC170:AF170" si="486">-AC168+AC169</f>
        <v>78</v>
      </c>
      <c r="AD170" s="50">
        <f t="shared" si="486"/>
        <v>78</v>
      </c>
      <c r="AE170" s="50">
        <f t="shared" si="486"/>
        <v>78</v>
      </c>
      <c r="AF170" s="50">
        <f t="shared" si="486"/>
        <v>78</v>
      </c>
      <c r="AG170" s="22"/>
      <c r="AH170" s="50">
        <f t="shared" ref="AH170:AK170" si="487">-AH168+AH169</f>
        <v>78</v>
      </c>
      <c r="AI170" s="50">
        <f t="shared" si="487"/>
        <v>78</v>
      </c>
      <c r="AJ170" s="50">
        <f t="shared" si="487"/>
        <v>78</v>
      </c>
      <c r="AK170" s="50">
        <f t="shared" si="487"/>
        <v>78</v>
      </c>
      <c r="AL170" s="22"/>
      <c r="AM170" s="50">
        <f t="shared" ref="AM170:AP170" si="488">-AM168+AM169</f>
        <v>78</v>
      </c>
      <c r="AN170" s="50">
        <f t="shared" si="488"/>
        <v>78</v>
      </c>
      <c r="AO170" s="50">
        <f t="shared" si="488"/>
        <v>78</v>
      </c>
      <c r="AP170" s="50">
        <f t="shared" si="488"/>
        <v>78</v>
      </c>
      <c r="AQ170" s="22"/>
      <c r="AR170" s="50">
        <f t="shared" ref="AR170:AU170" si="489">-AR168+AR169</f>
        <v>78</v>
      </c>
      <c r="AS170" s="50">
        <f t="shared" si="489"/>
        <v>78</v>
      </c>
      <c r="AT170" s="50">
        <f t="shared" si="489"/>
        <v>78</v>
      </c>
      <c r="AU170" s="50">
        <f t="shared" si="489"/>
        <v>78</v>
      </c>
      <c r="AV170" s="22"/>
    </row>
    <row r="171" spans="2:48" outlineLevel="1" x14ac:dyDescent="0.55000000000000004">
      <c r="B171" s="209" t="s">
        <v>69</v>
      </c>
      <c r="C171" s="210"/>
      <c r="D171" s="105">
        <v>0</v>
      </c>
      <c r="E171" s="101">
        <f>-0.02*E31</f>
        <v>-25.014000000000003</v>
      </c>
      <c r="F171" s="101">
        <f>0.49*F31</f>
        <v>599.27</v>
      </c>
      <c r="G171" s="101">
        <v>0</v>
      </c>
      <c r="H171" s="170"/>
      <c r="I171" s="101">
        <v>0</v>
      </c>
      <c r="J171" s="101">
        <v>0</v>
      </c>
      <c r="K171" s="101">
        <v>0</v>
      </c>
      <c r="L171" s="101">
        <v>0</v>
      </c>
      <c r="M171" s="170"/>
      <c r="N171" s="101">
        <v>0</v>
      </c>
      <c r="O171" s="101">
        <v>0</v>
      </c>
      <c r="P171" s="101">
        <v>0</v>
      </c>
      <c r="Q171" s="101">
        <f>0.73*Q31</f>
        <v>867.16700000000003</v>
      </c>
      <c r="R171" s="17"/>
      <c r="S171" s="101">
        <v>0</v>
      </c>
      <c r="T171" s="101">
        <f>0.03*T31</f>
        <v>34.617000000000004</v>
      </c>
      <c r="U171" s="101">
        <v>0</v>
      </c>
      <c r="V171" s="33">
        <v>0</v>
      </c>
      <c r="W171" s="17"/>
      <c r="X171" s="33">
        <v>0</v>
      </c>
      <c r="Y171" s="33">
        <v>0</v>
      </c>
      <c r="Z171" s="33">
        <v>0</v>
      </c>
      <c r="AA171" s="33">
        <v>0</v>
      </c>
      <c r="AB171" s="17"/>
      <c r="AC171" s="33">
        <v>0</v>
      </c>
      <c r="AD171" s="33">
        <v>0</v>
      </c>
      <c r="AE171" s="33">
        <v>0</v>
      </c>
      <c r="AF171" s="33">
        <v>0</v>
      </c>
      <c r="AG171" s="17"/>
      <c r="AH171" s="33">
        <v>0</v>
      </c>
      <c r="AI171" s="33">
        <v>0</v>
      </c>
      <c r="AJ171" s="33">
        <v>0</v>
      </c>
      <c r="AK171" s="33">
        <v>0</v>
      </c>
      <c r="AL171" s="17"/>
      <c r="AM171" s="33">
        <v>0</v>
      </c>
      <c r="AN171" s="33">
        <v>0</v>
      </c>
      <c r="AO171" s="33">
        <v>0</v>
      </c>
      <c r="AP171" s="33">
        <v>0</v>
      </c>
      <c r="AQ171" s="17"/>
      <c r="AR171" s="33">
        <v>0</v>
      </c>
      <c r="AS171" s="33">
        <v>0</v>
      </c>
      <c r="AT171" s="33">
        <v>0</v>
      </c>
      <c r="AU171" s="33">
        <v>0</v>
      </c>
      <c r="AV171" s="17"/>
    </row>
    <row r="172" spans="2:48" outlineLevel="1" x14ac:dyDescent="0.55000000000000004">
      <c r="B172" s="286" t="s">
        <v>75</v>
      </c>
      <c r="C172" s="287"/>
      <c r="D172" s="105">
        <v>-41.449999999998646</v>
      </c>
      <c r="E172" s="101">
        <v>79.193999999999548</v>
      </c>
      <c r="F172" s="101">
        <v>-55.109999999999197</v>
      </c>
      <c r="G172" s="101">
        <v>30</v>
      </c>
      <c r="H172" s="170"/>
      <c r="I172" s="101">
        <v>11</v>
      </c>
      <c r="J172" s="101">
        <v>23</v>
      </c>
      <c r="K172" s="101">
        <f>0.03*K31</f>
        <v>35.055</v>
      </c>
      <c r="L172" s="101">
        <v>50.810000000000372</v>
      </c>
      <c r="M172" s="170"/>
      <c r="N172" s="101">
        <f>0.03*N31</f>
        <v>35.49</v>
      </c>
      <c r="O172" s="101">
        <f>0.01*O31</f>
        <v>11.847999999999999</v>
      </c>
      <c r="P172" s="101">
        <f>0.01*P31</f>
        <v>11.862</v>
      </c>
      <c r="Q172" s="101">
        <f>-0.144*Q31</f>
        <v>-171.05760000000001</v>
      </c>
      <c r="R172" s="17"/>
      <c r="S172" s="101">
        <v>3.9480000000003299</v>
      </c>
      <c r="T172" s="16">
        <f>0.01*T31</f>
        <v>11.539000000000001</v>
      </c>
      <c r="U172" s="16">
        <f>0.02*U31</f>
        <v>23.02</v>
      </c>
      <c r="V172" s="16">
        <f t="shared" ref="V172" si="490">+V170*V173</f>
        <v>23.168516129032255</v>
      </c>
      <c r="W172" s="17"/>
      <c r="X172" s="16">
        <f>+X170*X173</f>
        <v>23.168516129032255</v>
      </c>
      <c r="Y172" s="16">
        <f>+Y170*Y173</f>
        <v>23.168516129032255</v>
      </c>
      <c r="Z172" s="16">
        <f t="shared" ref="Z172:AA172" si="491">+Z170*Z173</f>
        <v>23.168516129032255</v>
      </c>
      <c r="AA172" s="16">
        <f t="shared" si="491"/>
        <v>23.168516129032255</v>
      </c>
      <c r="AB172" s="17"/>
      <c r="AC172" s="16">
        <f>+AC170*AC173</f>
        <v>23.168516129032255</v>
      </c>
      <c r="AD172" s="16">
        <f>+AD170*AD173</f>
        <v>23.168516129032255</v>
      </c>
      <c r="AE172" s="16">
        <f t="shared" ref="AE172:AF172" si="492">+AE170*AE173</f>
        <v>23.168516129032255</v>
      </c>
      <c r="AF172" s="16">
        <f t="shared" si="492"/>
        <v>23.168516129032255</v>
      </c>
      <c r="AG172" s="17"/>
      <c r="AH172" s="16">
        <f>+AH170*AH173</f>
        <v>23.168516129032255</v>
      </c>
      <c r="AI172" s="16">
        <f>+AI170*AI173</f>
        <v>23.168516129032255</v>
      </c>
      <c r="AJ172" s="16">
        <f t="shared" ref="AJ172:AK172" si="493">+AJ170*AJ173</f>
        <v>23.168516129032255</v>
      </c>
      <c r="AK172" s="16">
        <f t="shared" si="493"/>
        <v>23.168516129032255</v>
      </c>
      <c r="AL172" s="17"/>
      <c r="AM172" s="16">
        <f>+AM170*AM173</f>
        <v>23.168516129032255</v>
      </c>
      <c r="AN172" s="16">
        <f>+AN170*AN173</f>
        <v>23.168516129032255</v>
      </c>
      <c r="AO172" s="16">
        <f t="shared" ref="AO172:AP172" si="494">+AO170*AO173</f>
        <v>23.168516129032255</v>
      </c>
      <c r="AP172" s="16">
        <f t="shared" si="494"/>
        <v>23.168516129032255</v>
      </c>
      <c r="AQ172" s="17"/>
      <c r="AR172" s="16">
        <f>+AR170*AR173</f>
        <v>23.168516129032255</v>
      </c>
      <c r="AS172" s="16">
        <f>+AS170*AS173</f>
        <v>23.168516129032255</v>
      </c>
      <c r="AT172" s="16">
        <f t="shared" ref="AT172:AU172" si="495">+AT170*AT173</f>
        <v>23.168516129032255</v>
      </c>
      <c r="AU172" s="16">
        <f t="shared" si="495"/>
        <v>23.168516129032255</v>
      </c>
      <c r="AV172" s="17"/>
    </row>
    <row r="173" spans="2:48" outlineLevel="1" x14ac:dyDescent="0.55000000000000004">
      <c r="B173" s="212" t="s">
        <v>76</v>
      </c>
      <c r="C173" s="213"/>
      <c r="D173" s="220">
        <f t="shared" ref="D173:G173" si="496">D172/D170</f>
        <v>-0.30036231884056991</v>
      </c>
      <c r="E173" s="220">
        <f t="shared" si="496"/>
        <v>0.56007072135784686</v>
      </c>
      <c r="F173" s="220">
        <f t="shared" si="496"/>
        <v>-0.43982442138866074</v>
      </c>
      <c r="G173" s="220">
        <f t="shared" si="496"/>
        <v>0.38759689922480622</v>
      </c>
      <c r="H173" s="221"/>
      <c r="I173" s="220">
        <f t="shared" ref="I173:U173" si="497">I172/I170</f>
        <v>0.15363128491620112</v>
      </c>
      <c r="J173" s="220">
        <f t="shared" si="497"/>
        <v>0.34431137724550898</v>
      </c>
      <c r="K173" s="220">
        <f t="shared" si="497"/>
        <v>0.20183671119299865</v>
      </c>
      <c r="L173" s="220">
        <f t="shared" si="497"/>
        <v>0.1957996146435467</v>
      </c>
      <c r="M173" s="221"/>
      <c r="N173" s="220">
        <f t="shared" si="497"/>
        <v>0.26308376575240922</v>
      </c>
      <c r="O173" s="220">
        <f t="shared" si="497"/>
        <v>0.13433106575963719</v>
      </c>
      <c r="P173" s="220">
        <f t="shared" si="497"/>
        <v>0.22943907156673113</v>
      </c>
      <c r="Q173" s="220">
        <f t="shared" si="497"/>
        <v>-1.4848749999999999</v>
      </c>
      <c r="R173" s="37"/>
      <c r="S173" s="220">
        <f t="shared" si="497"/>
        <v>0.1121590909091003</v>
      </c>
      <c r="T173" s="220">
        <f t="shared" si="497"/>
        <v>0.24292631578947371</v>
      </c>
      <c r="U173" s="220">
        <f t="shared" si="497"/>
        <v>0.29703225806451611</v>
      </c>
      <c r="V173" s="94">
        <f>U173</f>
        <v>0.29703225806451611</v>
      </c>
      <c r="W173" s="37"/>
      <c r="X173" s="94">
        <f>V173</f>
        <v>0.29703225806451611</v>
      </c>
      <c r="Y173" s="94">
        <f>X173</f>
        <v>0.29703225806451611</v>
      </c>
      <c r="Z173" s="94">
        <f>Y173</f>
        <v>0.29703225806451611</v>
      </c>
      <c r="AA173" s="94">
        <f>Z173</f>
        <v>0.29703225806451611</v>
      </c>
      <c r="AB173" s="37"/>
      <c r="AC173" s="94">
        <f>AA173</f>
        <v>0.29703225806451611</v>
      </c>
      <c r="AD173" s="94">
        <f>AC173</f>
        <v>0.29703225806451611</v>
      </c>
      <c r="AE173" s="94">
        <f>AD173</f>
        <v>0.29703225806451611</v>
      </c>
      <c r="AF173" s="94">
        <f>AE173</f>
        <v>0.29703225806451611</v>
      </c>
      <c r="AG173" s="37"/>
      <c r="AH173" s="94">
        <f>AF173</f>
        <v>0.29703225806451611</v>
      </c>
      <c r="AI173" s="94">
        <f>AH173</f>
        <v>0.29703225806451611</v>
      </c>
      <c r="AJ173" s="94">
        <f>AI173</f>
        <v>0.29703225806451611</v>
      </c>
      <c r="AK173" s="94">
        <f>AJ173</f>
        <v>0.29703225806451611</v>
      </c>
      <c r="AL173" s="37"/>
      <c r="AM173" s="94">
        <f>AK173</f>
        <v>0.29703225806451611</v>
      </c>
      <c r="AN173" s="94">
        <f>AM173</f>
        <v>0.29703225806451611</v>
      </c>
      <c r="AO173" s="94">
        <f>AN173</f>
        <v>0.29703225806451611</v>
      </c>
      <c r="AP173" s="94">
        <f>AO173</f>
        <v>0.29703225806451611</v>
      </c>
      <c r="AQ173" s="37"/>
      <c r="AR173" s="94">
        <f>AP173</f>
        <v>0.29703225806451611</v>
      </c>
      <c r="AS173" s="94">
        <f>AR173</f>
        <v>0.29703225806451611</v>
      </c>
      <c r="AT173" s="94">
        <f>AS173</f>
        <v>0.29703225806451611</v>
      </c>
      <c r="AU173" s="94">
        <f>AT173</f>
        <v>0.29703225806451611</v>
      </c>
      <c r="AV173" s="37"/>
    </row>
    <row r="176" spans="2:48" ht="14.55" customHeight="1" x14ac:dyDescent="0.55000000000000004"/>
    <row r="177" spans="1:1" ht="14.55" customHeight="1" x14ac:dyDescent="0.55000000000000004"/>
    <row r="178" spans="1:1" ht="14.55" customHeight="1" x14ac:dyDescent="0.55000000000000004">
      <c r="A178" s="162"/>
    </row>
    <row r="179" spans="1:1" s="23" customFormat="1" ht="14.55" customHeight="1" x14ac:dyDescent="0.55000000000000004">
      <c r="A179" s="162"/>
    </row>
    <row r="180" spans="1:1" s="23" customFormat="1" ht="14.55" customHeight="1" x14ac:dyDescent="0.55000000000000004">
      <c r="A180" s="162"/>
    </row>
    <row r="181" spans="1:1" ht="16.2" customHeight="1" x14ac:dyDescent="0.55000000000000004">
      <c r="A181" s="162"/>
    </row>
    <row r="182" spans="1:1" ht="14.55" customHeight="1" x14ac:dyDescent="0.55000000000000004">
      <c r="A182" s="162"/>
    </row>
    <row r="183" spans="1:1" ht="14.55" customHeight="1" x14ac:dyDescent="0.55000000000000004">
      <c r="A183" s="162"/>
    </row>
    <row r="184" spans="1:1" ht="14.55" customHeight="1" x14ac:dyDescent="0.55000000000000004">
      <c r="A184" s="162"/>
    </row>
    <row r="185" spans="1:1" s="8" customFormat="1" x14ac:dyDescent="0.55000000000000004">
      <c r="A185" s="162"/>
    </row>
    <row r="186" spans="1:1" s="8" customFormat="1" x14ac:dyDescent="0.55000000000000004">
      <c r="A186" s="162"/>
    </row>
    <row r="187" spans="1:1" s="8" customFormat="1" x14ac:dyDescent="0.55000000000000004">
      <c r="A187" s="162"/>
    </row>
    <row r="188" spans="1:1" s="8" customFormat="1" x14ac:dyDescent="0.55000000000000004">
      <c r="A188" s="162"/>
    </row>
    <row r="189" spans="1:1" s="8" customFormat="1" x14ac:dyDescent="0.55000000000000004">
      <c r="A189" s="162"/>
    </row>
    <row r="190" spans="1:1" x14ac:dyDescent="0.55000000000000004">
      <c r="A190" s="162"/>
    </row>
    <row r="191" spans="1:1" x14ac:dyDescent="0.55000000000000004">
      <c r="A191" s="162"/>
    </row>
    <row r="192" spans="1:1" x14ac:dyDescent="0.55000000000000004">
      <c r="A192" s="162"/>
    </row>
    <row r="193" spans="1:1" s="23" customFormat="1" x14ac:dyDescent="0.55000000000000004">
      <c r="A193" s="162"/>
    </row>
    <row r="194" spans="1:1" x14ac:dyDescent="0.55000000000000004">
      <c r="A194" s="162"/>
    </row>
    <row r="195" spans="1:1" x14ac:dyDescent="0.55000000000000004">
      <c r="A195" s="162"/>
    </row>
    <row r="196" spans="1:1" x14ac:dyDescent="0.55000000000000004">
      <c r="A196" s="162"/>
    </row>
    <row r="197" spans="1:1" x14ac:dyDescent="0.55000000000000004">
      <c r="A197" s="162"/>
    </row>
    <row r="198" spans="1:1" x14ac:dyDescent="0.55000000000000004">
      <c r="A198" s="162"/>
    </row>
    <row r="199" spans="1:1" x14ac:dyDescent="0.55000000000000004">
      <c r="A199" s="162"/>
    </row>
    <row r="200" spans="1:1" x14ac:dyDescent="0.55000000000000004">
      <c r="A200" s="162"/>
    </row>
    <row r="201" spans="1:1" x14ac:dyDescent="0.55000000000000004">
      <c r="A201" s="162"/>
    </row>
    <row r="202" spans="1:1" x14ac:dyDescent="0.55000000000000004">
      <c r="A202" s="162"/>
    </row>
    <row r="203" spans="1:1" x14ac:dyDescent="0.55000000000000004">
      <c r="A203" s="162"/>
    </row>
    <row r="204" spans="1:1" x14ac:dyDescent="0.55000000000000004">
      <c r="A204" s="162"/>
    </row>
    <row r="205" spans="1:1" ht="15.75" customHeight="1" x14ac:dyDescent="0.55000000000000004">
      <c r="A205" s="162"/>
    </row>
    <row r="206" spans="1:1" x14ac:dyDescent="0.55000000000000004">
      <c r="A206" s="162"/>
    </row>
    <row r="219" s="23" customFormat="1" x14ac:dyDescent="0.55000000000000004"/>
    <row r="221" s="23" customFormat="1" x14ac:dyDescent="0.55000000000000004"/>
    <row r="222" s="23" customFormat="1" x14ac:dyDescent="0.55000000000000004"/>
    <row r="223" s="23" customFormat="1" x14ac:dyDescent="0.55000000000000004"/>
    <row r="224" s="23" customFormat="1" x14ac:dyDescent="0.55000000000000004"/>
    <row r="225" spans="2:7" s="23" customFormat="1" x14ac:dyDescent="0.55000000000000004"/>
    <row r="226" spans="2:7" s="23" customFormat="1" x14ac:dyDescent="0.55000000000000004"/>
    <row r="227" spans="2:7" s="23" customFormat="1" x14ac:dyDescent="0.55000000000000004"/>
    <row r="228" spans="2:7" s="23" customFormat="1" x14ac:dyDescent="0.55000000000000004"/>
    <row r="230" spans="2:7" x14ac:dyDescent="0.55000000000000004">
      <c r="B230" s="7"/>
      <c r="C230" s="7"/>
      <c r="D230" s="4"/>
      <c r="E230" s="4"/>
      <c r="F230" s="4"/>
      <c r="G230" s="4"/>
    </row>
    <row r="270" s="23" customFormat="1" x14ac:dyDescent="0.55000000000000004"/>
    <row r="271" s="23" customFormat="1" x14ac:dyDescent="0.55000000000000004"/>
    <row r="272" s="23" customFormat="1" x14ac:dyDescent="0.55000000000000004"/>
    <row r="281" spans="4:48" s="23" customFormat="1" x14ac:dyDescent="0.55000000000000004"/>
    <row r="282" spans="4:48" s="23" customFormat="1" x14ac:dyDescent="0.55000000000000004"/>
    <row r="283" spans="4:48" s="23" customFormat="1" x14ac:dyDescent="0.55000000000000004"/>
    <row r="285" spans="4:48" s="63" customFormat="1" x14ac:dyDescent="0.55000000000000004"/>
    <row r="286" spans="4:48" x14ac:dyDescent="0.55000000000000004">
      <c r="D286" s="10"/>
      <c r="E286" s="10"/>
      <c r="F286" s="10"/>
      <c r="G286" s="10"/>
      <c r="H286" s="10"/>
      <c r="I286" s="10"/>
      <c r="J286" s="10"/>
      <c r="K286" s="10"/>
      <c r="L286" s="10"/>
      <c r="M286" s="10"/>
      <c r="N286" s="10"/>
      <c r="O286" s="10"/>
      <c r="P286" s="10"/>
      <c r="Q286" s="10"/>
      <c r="R286" s="10"/>
      <c r="S286" s="10"/>
      <c r="T286" s="10"/>
      <c r="U286" s="10"/>
      <c r="V286" s="10"/>
      <c r="W286" s="10"/>
      <c r="X286" s="10"/>
      <c r="AC286" s="10"/>
      <c r="AD286" s="10"/>
      <c r="AE286" s="10"/>
      <c r="AF286" s="10"/>
      <c r="AG286" s="10"/>
      <c r="AH286" s="10"/>
      <c r="AI286" s="10"/>
      <c r="AJ286" s="10"/>
      <c r="AK286" s="10"/>
      <c r="AL286" s="10"/>
      <c r="AM286" s="10"/>
      <c r="AN286" s="10"/>
      <c r="AO286" s="10"/>
      <c r="AP286" s="10"/>
      <c r="AQ286" s="10"/>
      <c r="AR286" s="10"/>
      <c r="AS286" s="10"/>
      <c r="AT286" s="10"/>
      <c r="AU286" s="10"/>
      <c r="AV286" s="10"/>
    </row>
    <row r="287" spans="4:48" x14ac:dyDescent="0.55000000000000004">
      <c r="D287" s="164"/>
      <c r="E287" s="5"/>
      <c r="F287" s="5"/>
      <c r="G287" s="5"/>
      <c r="H287" s="5"/>
      <c r="I287" s="5"/>
      <c r="J287" s="5"/>
      <c r="K287" s="5"/>
      <c r="L287" s="5"/>
      <c r="M287" s="5"/>
      <c r="N287" s="5"/>
      <c r="O287" s="5"/>
      <c r="P287" s="5"/>
      <c r="Q287" s="5"/>
      <c r="R287" s="5"/>
      <c r="S287" s="5"/>
      <c r="T287" s="5"/>
      <c r="U287" s="5"/>
      <c r="V287" s="5"/>
      <c r="W287" s="5"/>
      <c r="X287" s="5"/>
      <c r="AC287" s="5"/>
      <c r="AD287" s="5"/>
      <c r="AE287" s="5"/>
      <c r="AF287" s="5"/>
      <c r="AG287" s="5"/>
      <c r="AH287" s="5"/>
      <c r="AI287" s="5"/>
      <c r="AJ287" s="5"/>
      <c r="AK287" s="5"/>
      <c r="AL287" s="5"/>
      <c r="AM287" s="5"/>
      <c r="AN287" s="5"/>
      <c r="AO287" s="5"/>
      <c r="AP287" s="5"/>
      <c r="AQ287" s="5"/>
      <c r="AR287" s="5"/>
      <c r="AS287" s="5"/>
      <c r="AT287" s="5"/>
      <c r="AU287" s="5"/>
      <c r="AV287" s="5"/>
    </row>
    <row r="288" spans="4:48" x14ac:dyDescent="0.55000000000000004">
      <c r="D288" s="165"/>
    </row>
    <row r="289" spans="4:48" x14ac:dyDescent="0.55000000000000004">
      <c r="D289" s="165"/>
    </row>
    <row r="290" spans="4:48" x14ac:dyDescent="0.55000000000000004">
      <c r="D290" s="165"/>
    </row>
    <row r="291" spans="4:48" x14ac:dyDescent="0.55000000000000004">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row>
    <row r="293" spans="4:48" ht="15" customHeight="1" x14ac:dyDescent="0.55000000000000004"/>
    <row r="295" spans="4:48" x14ac:dyDescent="0.55000000000000004">
      <c r="D295" s="164"/>
    </row>
    <row r="296" spans="4:48" x14ac:dyDescent="0.55000000000000004">
      <c r="D296" s="165"/>
    </row>
    <row r="297" spans="4:48" x14ac:dyDescent="0.55000000000000004">
      <c r="D297" s="165"/>
    </row>
    <row r="298" spans="4:48" x14ac:dyDescent="0.55000000000000004">
      <c r="D298" s="165"/>
    </row>
    <row r="299" spans="4:48" x14ac:dyDescent="0.55000000000000004">
      <c r="D299" s="165"/>
    </row>
    <row r="300" spans="4:48" x14ac:dyDescent="0.55000000000000004">
      <c r="D300" s="165"/>
    </row>
    <row r="301" spans="4:48" x14ac:dyDescent="0.55000000000000004">
      <c r="D301" s="165"/>
    </row>
    <row r="302" spans="4:48" x14ac:dyDescent="0.55000000000000004">
      <c r="D302" s="165"/>
    </row>
    <row r="303" spans="4:48" x14ac:dyDescent="0.55000000000000004">
      <c r="D303" s="165"/>
    </row>
    <row r="304" spans="4:48" x14ac:dyDescent="0.55000000000000004">
      <c r="D304" s="165"/>
    </row>
    <row r="305" spans="4:4" x14ac:dyDescent="0.55000000000000004">
      <c r="D305" s="165"/>
    </row>
    <row r="306" spans="4:4" x14ac:dyDescent="0.55000000000000004">
      <c r="D306" s="165"/>
    </row>
    <row r="307" spans="4:4" x14ac:dyDescent="0.55000000000000004">
      <c r="D307" s="165"/>
    </row>
    <row r="308" spans="4:4" x14ac:dyDescent="0.55000000000000004">
      <c r="D308" s="165"/>
    </row>
    <row r="309" spans="4:4" x14ac:dyDescent="0.55000000000000004">
      <c r="D309" s="165"/>
    </row>
    <row r="310" spans="4:4" x14ac:dyDescent="0.55000000000000004">
      <c r="D310" s="165"/>
    </row>
    <row r="311" spans="4:4" x14ac:dyDescent="0.55000000000000004">
      <c r="D311" s="165"/>
    </row>
    <row r="312" spans="4:4" x14ac:dyDescent="0.55000000000000004">
      <c r="D312" s="165"/>
    </row>
    <row r="313" spans="4:4" x14ac:dyDescent="0.55000000000000004">
      <c r="D313" s="165"/>
    </row>
    <row r="314" spans="4:4" x14ac:dyDescent="0.55000000000000004">
      <c r="D314" s="165"/>
    </row>
    <row r="315" spans="4:4" x14ac:dyDescent="0.55000000000000004">
      <c r="D315" s="165"/>
    </row>
    <row r="316" spans="4:4" x14ac:dyDescent="0.55000000000000004">
      <c r="D316" s="165"/>
    </row>
  </sheetData>
  <dataConsolidate/>
  <mergeCells count="61">
    <mergeCell ref="B162:C162"/>
    <mergeCell ref="B163:C163"/>
    <mergeCell ref="B165:C165"/>
    <mergeCell ref="B172:C172"/>
    <mergeCell ref="B158:C158"/>
    <mergeCell ref="B155:C155"/>
    <mergeCell ref="B156:C156"/>
    <mergeCell ref="B143:C143"/>
    <mergeCell ref="B144:C144"/>
    <mergeCell ref="B145:C145"/>
    <mergeCell ref="B150:C150"/>
    <mergeCell ref="B151:C151"/>
    <mergeCell ref="B157:C157"/>
    <mergeCell ref="B142:C142"/>
    <mergeCell ref="B93:C93"/>
    <mergeCell ref="B107:C107"/>
    <mergeCell ref="B108:C108"/>
    <mergeCell ref="B110:C110"/>
    <mergeCell ref="B122:C122"/>
    <mergeCell ref="B123:C123"/>
    <mergeCell ref="B125:C125"/>
    <mergeCell ref="B132:C132"/>
    <mergeCell ref="B138:C138"/>
    <mergeCell ref="B140:C140"/>
    <mergeCell ref="B141:C141"/>
    <mergeCell ref="B152:C152"/>
    <mergeCell ref="B153:C153"/>
    <mergeCell ref="B154:C154"/>
    <mergeCell ref="B92:C92"/>
    <mergeCell ref="B50:C50"/>
    <mergeCell ref="B54:C54"/>
    <mergeCell ref="B55:C55"/>
    <mergeCell ref="B59:C59"/>
    <mergeCell ref="B60:C60"/>
    <mergeCell ref="B73:C73"/>
    <mergeCell ref="B74:C74"/>
    <mergeCell ref="B78:C78"/>
    <mergeCell ref="B83:C83"/>
    <mergeCell ref="B87:C87"/>
    <mergeCell ref="B88:C88"/>
    <mergeCell ref="B7:C7"/>
    <mergeCell ref="B8:C8"/>
    <mergeCell ref="B9:C9"/>
    <mergeCell ref="B16:C16"/>
    <mergeCell ref="B45:C45"/>
    <mergeCell ref="B23:C23"/>
    <mergeCell ref="B24:C24"/>
    <mergeCell ref="B25:C25"/>
    <mergeCell ref="B30:C30"/>
    <mergeCell ref="B31:C31"/>
    <mergeCell ref="B32:C32"/>
    <mergeCell ref="B33:C33"/>
    <mergeCell ref="B38:C38"/>
    <mergeCell ref="B39:C39"/>
    <mergeCell ref="B40:C40"/>
    <mergeCell ref="B41:C41"/>
    <mergeCell ref="A3:A4"/>
    <mergeCell ref="B3:C3"/>
    <mergeCell ref="B4:C4"/>
    <mergeCell ref="B5:C5"/>
    <mergeCell ref="B6:C6"/>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138"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A11E0-E4D5-4473-97D9-C605001D7A4C}">
  <dimension ref="A1"/>
  <sheetViews>
    <sheetView topLeftCell="A7" workbookViewId="0">
      <selection activeCell="O49" sqref="O49"/>
    </sheetView>
  </sheetViews>
  <sheetFormatPr defaultRowHeight="14.4" x14ac:dyDescent="0.55000000000000004"/>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Income Statement &amp; Segments</vt:lpstr>
      <vt:lpstr>Recon of ASRs</vt:lpstr>
      <vt:lpstr>'Income Statement &amp; Segments'!Print_Area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John Moschella</cp:lastModifiedBy>
  <cp:lastPrinted>2015-01-03T01:11:29Z</cp:lastPrinted>
  <dcterms:created xsi:type="dcterms:W3CDTF">2014-10-18T18:34:10Z</dcterms:created>
  <dcterms:modified xsi:type="dcterms:W3CDTF">2022-09-18T20:54:21Z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