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autoCompressPictures="0" defaultThemeVersion="124226"/>
  <mc:AlternateContent xmlns:mc="http://schemas.openxmlformats.org/markup-compatibility/2006">
    <mc:Choice Requires="x15">
      <x15ac:absPath xmlns:x15ac="http://schemas.microsoft.com/office/spreadsheetml/2010/11/ac" url="C:\Users\Admin\Documents\Articles (2-15-2016)\FL (FootLocker)\"/>
    </mc:Choice>
  </mc:AlternateContent>
  <bookViews>
    <workbookView xWindow="0" yWindow="0" windowWidth="22980" windowHeight="4104"/>
  </bookViews>
  <sheets>
    <sheet name="Earnings Model" sheetId="4" r:id="rId1"/>
  </sheets>
  <externalReferences>
    <externalReference r:id="rId2"/>
  </externalReferences>
  <definedNames>
    <definedName name="DATA">'[1]Estimates by Analyst'!$B$6:$M$50</definedName>
    <definedName name="_xlnm.Print_Area" localSheetId="0">'Earnings Model'!$A$1:$AG$246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26" i="4" l="1"/>
  <c r="C218" i="4" l="1"/>
  <c r="P142" i="4"/>
  <c r="P138" i="4"/>
  <c r="P130" i="4"/>
  <c r="P92" i="4"/>
  <c r="O92" i="4"/>
  <c r="N92" i="4"/>
  <c r="P88" i="4"/>
  <c r="P89" i="4"/>
  <c r="P90" i="4"/>
  <c r="P91" i="4"/>
  <c r="P93" i="4"/>
  <c r="P94" i="4"/>
  <c r="P85" i="4"/>
  <c r="P86" i="4" s="1"/>
  <c r="P81" i="4"/>
  <c r="P27" i="4"/>
  <c r="O84" i="4"/>
  <c r="N84" i="4"/>
  <c r="L84" i="4"/>
  <c r="K84" i="4"/>
  <c r="J84" i="4"/>
  <c r="I84" i="4"/>
  <c r="G84" i="4"/>
  <c r="F84" i="4"/>
  <c r="E84" i="4"/>
  <c r="D84" i="4"/>
  <c r="P176" i="4"/>
  <c r="P74" i="4"/>
  <c r="P70" i="4"/>
  <c r="P66" i="4"/>
  <c r="P62" i="4"/>
  <c r="P58" i="4"/>
  <c r="P54" i="4"/>
  <c r="P50" i="4"/>
  <c r="P46" i="4"/>
  <c r="P42" i="4"/>
  <c r="P38" i="4"/>
  <c r="P34" i="4"/>
  <c r="O77" i="4" l="1"/>
  <c r="N77" i="4"/>
  <c r="L77" i="4"/>
  <c r="K77" i="4"/>
  <c r="J77" i="4"/>
  <c r="I77" i="4"/>
  <c r="G77" i="4"/>
  <c r="O73" i="4"/>
  <c r="N73" i="4"/>
  <c r="L73" i="4"/>
  <c r="K73" i="4"/>
  <c r="J73" i="4"/>
  <c r="I73" i="4"/>
  <c r="G73" i="4"/>
  <c r="F73" i="4"/>
  <c r="E73" i="4"/>
  <c r="D73" i="4"/>
  <c r="O69" i="4"/>
  <c r="N69" i="4"/>
  <c r="L69" i="4"/>
  <c r="K69" i="4"/>
  <c r="J69" i="4"/>
  <c r="I69" i="4"/>
  <c r="G69" i="4"/>
  <c r="F69" i="4"/>
  <c r="E69" i="4"/>
  <c r="D69" i="4"/>
  <c r="O65" i="4"/>
  <c r="N65" i="4"/>
  <c r="L65" i="4"/>
  <c r="K65" i="4"/>
  <c r="J65" i="4"/>
  <c r="I65" i="4"/>
  <c r="G65" i="4"/>
  <c r="F65" i="4"/>
  <c r="E65" i="4"/>
  <c r="D65" i="4"/>
  <c r="O61" i="4"/>
  <c r="N61" i="4"/>
  <c r="L61" i="4"/>
  <c r="O57" i="4"/>
  <c r="N57" i="4"/>
  <c r="L57" i="4"/>
  <c r="O53" i="4"/>
  <c r="N53" i="4"/>
  <c r="L53" i="4"/>
  <c r="K53" i="4"/>
  <c r="J53" i="4"/>
  <c r="I53" i="4"/>
  <c r="G53" i="4"/>
  <c r="F53" i="4"/>
  <c r="E53" i="4"/>
  <c r="D53" i="4"/>
  <c r="O49" i="4"/>
  <c r="N49" i="4"/>
  <c r="L49" i="4"/>
  <c r="K49" i="4"/>
  <c r="J49" i="4"/>
  <c r="I49" i="4"/>
  <c r="G49" i="4"/>
  <c r="F49" i="4"/>
  <c r="E49" i="4"/>
  <c r="D49" i="4"/>
  <c r="O45" i="4"/>
  <c r="N45" i="4"/>
  <c r="L45" i="4"/>
  <c r="K45" i="4"/>
  <c r="J45" i="4"/>
  <c r="I45" i="4"/>
  <c r="G45" i="4"/>
  <c r="F45" i="4"/>
  <c r="E45" i="4"/>
  <c r="D45" i="4"/>
  <c r="O41" i="4"/>
  <c r="N41" i="4"/>
  <c r="L41" i="4"/>
  <c r="K41" i="4"/>
  <c r="J41" i="4"/>
  <c r="I41" i="4"/>
  <c r="G41" i="4"/>
  <c r="F41" i="4"/>
  <c r="E41" i="4"/>
  <c r="D41" i="4"/>
  <c r="O37" i="4"/>
  <c r="N37" i="4"/>
  <c r="L37" i="4"/>
  <c r="K37" i="4"/>
  <c r="J37" i="4"/>
  <c r="I37" i="4"/>
  <c r="E37" i="4"/>
  <c r="F37" i="4"/>
  <c r="G37" i="4"/>
  <c r="D37" i="4"/>
  <c r="O34" i="4"/>
  <c r="AL184" i="4" l="1"/>
  <c r="AL182" i="4"/>
  <c r="AL181" i="4"/>
  <c r="AL180" i="4"/>
  <c r="AL179" i="4"/>
  <c r="AK178" i="4"/>
  <c r="AL177" i="4"/>
  <c r="AK175" i="4"/>
  <c r="AJ175" i="4"/>
  <c r="AI175" i="4"/>
  <c r="AH175" i="4"/>
  <c r="AL171" i="4"/>
  <c r="AL165" i="4"/>
  <c r="AL164" i="4"/>
  <c r="AL159" i="4"/>
  <c r="AL158" i="4"/>
  <c r="AL157" i="4"/>
  <c r="AL156" i="4"/>
  <c r="AL155" i="4"/>
  <c r="AL153" i="4"/>
  <c r="AG184" i="4"/>
  <c r="AG182" i="4"/>
  <c r="AG181" i="4"/>
  <c r="AG180" i="4"/>
  <c r="AG179" i="4"/>
  <c r="AF178" i="4"/>
  <c r="AH178" i="4" s="1"/>
  <c r="AG177" i="4"/>
  <c r="AF175" i="4"/>
  <c r="AE175" i="4"/>
  <c r="AD175" i="4"/>
  <c r="AC175" i="4"/>
  <c r="AG171" i="4"/>
  <c r="AG165" i="4"/>
  <c r="AG164" i="4"/>
  <c r="AG159" i="4"/>
  <c r="AG158" i="4"/>
  <c r="AG157" i="4"/>
  <c r="AG156" i="4"/>
  <c r="AG155" i="4"/>
  <c r="AG153" i="4"/>
  <c r="AB184" i="4"/>
  <c r="AB182" i="4"/>
  <c r="AB181" i="4"/>
  <c r="AB180" i="4"/>
  <c r="AB179" i="4"/>
  <c r="AA178" i="4"/>
  <c r="AC178" i="4" s="1"/>
  <c r="AB177" i="4"/>
  <c r="AA175" i="4"/>
  <c r="Z175" i="4"/>
  <c r="Y175" i="4"/>
  <c r="X175" i="4"/>
  <c r="AB171" i="4"/>
  <c r="AB165" i="4"/>
  <c r="AB164" i="4"/>
  <c r="AB159" i="4"/>
  <c r="AB158" i="4"/>
  <c r="AB157" i="4"/>
  <c r="AB156" i="4"/>
  <c r="AB155" i="4"/>
  <c r="AB153" i="4"/>
  <c r="W184" i="4"/>
  <c r="W182" i="4"/>
  <c r="W181" i="4"/>
  <c r="W180" i="4"/>
  <c r="W179" i="4"/>
  <c r="V178" i="4"/>
  <c r="X178" i="4" s="1"/>
  <c r="W177" i="4"/>
  <c r="V175" i="4"/>
  <c r="U175" i="4"/>
  <c r="W171" i="4"/>
  <c r="W165" i="4"/>
  <c r="W164" i="4"/>
  <c r="W159" i="4"/>
  <c r="W158" i="4"/>
  <c r="W157" i="4"/>
  <c r="W156" i="4"/>
  <c r="W155" i="4"/>
  <c r="W153" i="4"/>
  <c r="T175" i="4"/>
  <c r="S175" i="4"/>
  <c r="R182" i="4"/>
  <c r="R177" i="4"/>
  <c r="R165" i="4"/>
  <c r="R159" i="4"/>
  <c r="R158" i="4"/>
  <c r="R155" i="4"/>
  <c r="R153" i="4"/>
  <c r="W175" i="4" l="1"/>
  <c r="Y178" i="4"/>
  <c r="AB178" i="4" s="1"/>
  <c r="AD178" i="4"/>
  <c r="AG178" i="4" s="1"/>
  <c r="AI178" i="4"/>
  <c r="AL178" i="4" s="1"/>
  <c r="AL175" i="4"/>
  <c r="AG175" i="4"/>
  <c r="AB175" i="4"/>
  <c r="AL79" i="4"/>
  <c r="AG79" i="4"/>
  <c r="AB79" i="4"/>
  <c r="W79" i="4"/>
  <c r="M119" i="4"/>
  <c r="P175" i="4"/>
  <c r="P99" i="4"/>
  <c r="S99" i="4"/>
  <c r="T99" i="4"/>
  <c r="U99" i="4"/>
  <c r="V99" i="4"/>
  <c r="X99" i="4"/>
  <c r="Y99" i="4"/>
  <c r="Z99" i="4"/>
  <c r="AA99" i="4"/>
  <c r="AC99" i="4"/>
  <c r="AD99" i="4"/>
  <c r="AE99" i="4"/>
  <c r="AF99" i="4"/>
  <c r="AH99" i="4"/>
  <c r="AI99" i="4"/>
  <c r="AJ99" i="4"/>
  <c r="AK99" i="4"/>
  <c r="Q175" i="4"/>
  <c r="O97" i="4"/>
  <c r="O99" i="4" s="1"/>
  <c r="Q99" i="4"/>
  <c r="Q120" i="4"/>
  <c r="N97" i="4"/>
  <c r="N99" i="4" s="1"/>
  <c r="K97" i="4"/>
  <c r="K99" i="4" s="1"/>
  <c r="K96" i="4" s="1"/>
  <c r="J97" i="4"/>
  <c r="J99" i="4" s="1"/>
  <c r="J95" i="4" s="1"/>
  <c r="I97" i="4"/>
  <c r="I99" i="4" s="1"/>
  <c r="I95" i="4" s="1"/>
  <c r="E97" i="4"/>
  <c r="E99" i="4" s="1"/>
  <c r="E95" i="4" s="1"/>
  <c r="D97" i="4"/>
  <c r="D99" i="4" s="1"/>
  <c r="O93" i="4"/>
  <c r="Q93" i="4" s="1"/>
  <c r="S93" i="4" s="1"/>
  <c r="T93" i="4" s="1"/>
  <c r="U93" i="4" s="1"/>
  <c r="V93" i="4" s="1"/>
  <c r="X93" i="4" s="1"/>
  <c r="Y93" i="4" s="1"/>
  <c r="Z93" i="4" s="1"/>
  <c r="AA93" i="4" s="1"/>
  <c r="AC93" i="4" s="1"/>
  <c r="AD93" i="4" s="1"/>
  <c r="AE93" i="4" s="1"/>
  <c r="AF93" i="4" s="1"/>
  <c r="AH93" i="4" s="1"/>
  <c r="AI93" i="4" s="1"/>
  <c r="AJ93" i="4" s="1"/>
  <c r="AK93" i="4" s="1"/>
  <c r="N93" i="4"/>
  <c r="J93" i="4"/>
  <c r="K93" i="4"/>
  <c r="L93" i="4"/>
  <c r="N80" i="4"/>
  <c r="N78" i="4" s="1"/>
  <c r="O80" i="4"/>
  <c r="O74" i="4"/>
  <c r="N74" i="4"/>
  <c r="O70" i="4"/>
  <c r="N70" i="4"/>
  <c r="O66" i="4"/>
  <c r="N66" i="4"/>
  <c r="O62" i="4"/>
  <c r="N62" i="4"/>
  <c r="O58" i="4"/>
  <c r="N58" i="4"/>
  <c r="O54" i="4"/>
  <c r="N54" i="4"/>
  <c r="O50" i="4"/>
  <c r="N50" i="4"/>
  <c r="L54" i="4"/>
  <c r="K54" i="4"/>
  <c r="J54" i="4"/>
  <c r="I54" i="4"/>
  <c r="L74" i="4"/>
  <c r="K74" i="4"/>
  <c r="J74" i="4"/>
  <c r="I74" i="4"/>
  <c r="L70" i="4"/>
  <c r="K70" i="4"/>
  <c r="J70" i="4"/>
  <c r="I70" i="4"/>
  <c r="L66" i="4"/>
  <c r="K66" i="4"/>
  <c r="J66" i="4"/>
  <c r="I66" i="4"/>
  <c r="L62" i="4"/>
  <c r="K62" i="4"/>
  <c r="J62" i="4"/>
  <c r="I62" i="4"/>
  <c r="L58" i="4"/>
  <c r="K58" i="4"/>
  <c r="J58" i="4"/>
  <c r="I58" i="4"/>
  <c r="L50" i="4"/>
  <c r="K50" i="4"/>
  <c r="J50" i="4"/>
  <c r="I50" i="4"/>
  <c r="L80" i="4"/>
  <c r="K80" i="4"/>
  <c r="K78" i="4" s="1"/>
  <c r="J80" i="4"/>
  <c r="J78" i="4" s="1"/>
  <c r="I80" i="4"/>
  <c r="I78" i="4" s="1"/>
  <c r="K82" i="4"/>
  <c r="K83" i="4" s="1"/>
  <c r="J82" i="4"/>
  <c r="J83" i="4" s="1"/>
  <c r="I82" i="4"/>
  <c r="I83" i="4" s="1"/>
  <c r="G54" i="4"/>
  <c r="F54" i="4"/>
  <c r="E54" i="4"/>
  <c r="G74" i="4"/>
  <c r="F74" i="4"/>
  <c r="E74" i="4"/>
  <c r="G70" i="4"/>
  <c r="F70" i="4"/>
  <c r="E70" i="4"/>
  <c r="G66" i="4"/>
  <c r="F66" i="4"/>
  <c r="E66" i="4"/>
  <c r="G62" i="4"/>
  <c r="F62" i="4"/>
  <c r="E62" i="4"/>
  <c r="G58" i="4"/>
  <c r="F58" i="4"/>
  <c r="E58" i="4"/>
  <c r="G80" i="4"/>
  <c r="F80" i="4"/>
  <c r="F78" i="4" s="1"/>
  <c r="E80" i="4"/>
  <c r="E78" i="4" s="1"/>
  <c r="D80" i="4"/>
  <c r="D78" i="4" s="1"/>
  <c r="G50" i="4"/>
  <c r="F50" i="4"/>
  <c r="E50" i="4"/>
  <c r="D82" i="4"/>
  <c r="D83" i="4" s="1"/>
  <c r="E82" i="4"/>
  <c r="E83" i="4" s="1"/>
  <c r="F82" i="4"/>
  <c r="F83" i="4" s="1"/>
  <c r="G82" i="4"/>
  <c r="H82" i="4" s="1"/>
  <c r="L82" i="4"/>
  <c r="M82" i="4" s="1"/>
  <c r="N82" i="4"/>
  <c r="N83" i="4" s="1"/>
  <c r="O82" i="4"/>
  <c r="R184" i="4"/>
  <c r="Q128" i="4"/>
  <c r="R128" i="4" s="1"/>
  <c r="P131" i="4"/>
  <c r="Q131" i="4" s="1"/>
  <c r="R131" i="4" s="1"/>
  <c r="Q111" i="4"/>
  <c r="R111" i="4" s="1"/>
  <c r="O46" i="4"/>
  <c r="N46" i="4"/>
  <c r="L46" i="4"/>
  <c r="K46" i="4"/>
  <c r="J46" i="4"/>
  <c r="I46" i="4"/>
  <c r="G46" i="4"/>
  <c r="F46" i="4"/>
  <c r="E46" i="4"/>
  <c r="O42" i="4"/>
  <c r="N42" i="4"/>
  <c r="L42" i="4"/>
  <c r="K42" i="4"/>
  <c r="J42" i="4"/>
  <c r="I42" i="4"/>
  <c r="G42" i="4"/>
  <c r="F42" i="4"/>
  <c r="E42" i="4"/>
  <c r="O38" i="4"/>
  <c r="N38" i="4"/>
  <c r="L38" i="4"/>
  <c r="K38" i="4"/>
  <c r="J38" i="4"/>
  <c r="I38" i="4"/>
  <c r="G38" i="4"/>
  <c r="F38" i="4"/>
  <c r="E38" i="4"/>
  <c r="N34" i="4"/>
  <c r="K34" i="4"/>
  <c r="L34" i="4"/>
  <c r="J34" i="4"/>
  <c r="I34" i="4"/>
  <c r="F34" i="4"/>
  <c r="G34" i="4"/>
  <c r="E34" i="4"/>
  <c r="O30" i="4"/>
  <c r="N30" i="4"/>
  <c r="L30" i="4"/>
  <c r="K30" i="4"/>
  <c r="J30" i="4"/>
  <c r="I30" i="4"/>
  <c r="E30" i="4"/>
  <c r="F30" i="4"/>
  <c r="G30" i="4"/>
  <c r="M17" i="4"/>
  <c r="M12" i="4"/>
  <c r="O14" i="4"/>
  <c r="O18" i="4"/>
  <c r="O86" i="4"/>
  <c r="C219" i="4"/>
  <c r="H122" i="4"/>
  <c r="H118" i="4"/>
  <c r="H20" i="4"/>
  <c r="H23" i="4"/>
  <c r="H12" i="4"/>
  <c r="H13" i="4"/>
  <c r="H15" i="4"/>
  <c r="H16" i="4"/>
  <c r="H17" i="4"/>
  <c r="H91" i="4" s="1"/>
  <c r="H21" i="4"/>
  <c r="C223" i="4"/>
  <c r="C225" i="4" s="1"/>
  <c r="N86" i="4"/>
  <c r="AL83" i="4"/>
  <c r="AG83" i="4"/>
  <c r="AB83" i="4"/>
  <c r="W83" i="4"/>
  <c r="N14" i="4"/>
  <c r="N18" i="4"/>
  <c r="M13" i="4"/>
  <c r="M15" i="4"/>
  <c r="M16" i="4"/>
  <c r="L14" i="4"/>
  <c r="L88" i="4" s="1"/>
  <c r="L18" i="4"/>
  <c r="K14" i="4"/>
  <c r="K88" i="4" s="1"/>
  <c r="K18" i="4"/>
  <c r="J14" i="4"/>
  <c r="J88" i="4" s="1"/>
  <c r="J18" i="4"/>
  <c r="I14" i="4"/>
  <c r="I88" i="4" s="1"/>
  <c r="I18" i="4"/>
  <c r="O90" i="4"/>
  <c r="N90" i="4"/>
  <c r="L90" i="4"/>
  <c r="K90" i="4"/>
  <c r="J90" i="4"/>
  <c r="I90" i="4"/>
  <c r="E14" i="4"/>
  <c r="E88" i="4" s="1"/>
  <c r="E18" i="4"/>
  <c r="F14" i="4"/>
  <c r="F88" i="4" s="1"/>
  <c r="F18" i="4"/>
  <c r="G14" i="4"/>
  <c r="G88" i="4" s="1"/>
  <c r="G18" i="4"/>
  <c r="D14" i="4"/>
  <c r="D88" i="4" s="1"/>
  <c r="D18" i="4"/>
  <c r="O91" i="4"/>
  <c r="N91" i="4"/>
  <c r="L91" i="4"/>
  <c r="K91" i="4"/>
  <c r="J91" i="4"/>
  <c r="I91" i="4"/>
  <c r="E91" i="4"/>
  <c r="F91" i="4"/>
  <c r="G91" i="4"/>
  <c r="D91" i="4"/>
  <c r="D90" i="4"/>
  <c r="M81" i="4"/>
  <c r="O138" i="4"/>
  <c r="O139" i="4" s="1"/>
  <c r="L86" i="4"/>
  <c r="I86" i="4"/>
  <c r="K86" i="4"/>
  <c r="J86" i="4"/>
  <c r="F86" i="4"/>
  <c r="G86" i="4"/>
  <c r="E86" i="4"/>
  <c r="O170" i="4"/>
  <c r="O198" i="4" s="1"/>
  <c r="N198" i="4"/>
  <c r="L170" i="4"/>
  <c r="L198" i="4" s="1"/>
  <c r="K198" i="4"/>
  <c r="J198" i="4"/>
  <c r="I198" i="4"/>
  <c r="H170" i="4"/>
  <c r="M153" i="4"/>
  <c r="I154" i="4"/>
  <c r="I196" i="4" s="1"/>
  <c r="J154" i="4"/>
  <c r="J196" i="4" s="1"/>
  <c r="K154" i="4"/>
  <c r="K196" i="4" s="1"/>
  <c r="L154" i="4"/>
  <c r="L196" i="4" s="1"/>
  <c r="M155" i="4"/>
  <c r="J156" i="4"/>
  <c r="K156" i="4" s="1"/>
  <c r="L156" i="4" s="1"/>
  <c r="J157" i="4"/>
  <c r="M158" i="4"/>
  <c r="M159" i="4"/>
  <c r="J162" i="4"/>
  <c r="J163" i="4"/>
  <c r="J164" i="4"/>
  <c r="M165" i="4"/>
  <c r="J166" i="4"/>
  <c r="K166" i="4" s="1"/>
  <c r="L166" i="4" s="1"/>
  <c r="H153" i="4"/>
  <c r="D154" i="4"/>
  <c r="E154" i="4"/>
  <c r="E196" i="4" s="1"/>
  <c r="F154" i="4"/>
  <c r="F196" i="4" s="1"/>
  <c r="G154" i="4"/>
  <c r="G196" i="4" s="1"/>
  <c r="H155" i="4"/>
  <c r="G156" i="4"/>
  <c r="H156" i="4" s="1"/>
  <c r="E157" i="4"/>
  <c r="H158" i="4"/>
  <c r="G159" i="4"/>
  <c r="H159" i="4" s="1"/>
  <c r="E162" i="4"/>
  <c r="E163" i="4"/>
  <c r="E164" i="4"/>
  <c r="H165" i="4"/>
  <c r="E166" i="4"/>
  <c r="F198" i="4"/>
  <c r="G198" i="4"/>
  <c r="E198" i="4"/>
  <c r="K199" i="4"/>
  <c r="J199" i="4"/>
  <c r="I199" i="4"/>
  <c r="F199" i="4"/>
  <c r="G199" i="4"/>
  <c r="E199" i="4"/>
  <c r="O154" i="4"/>
  <c r="N154" i="4"/>
  <c r="N196" i="4" s="1"/>
  <c r="AK139" i="4"/>
  <c r="AK143" i="4"/>
  <c r="AJ139" i="4"/>
  <c r="AJ143" i="4"/>
  <c r="AI139" i="4"/>
  <c r="AI143" i="4"/>
  <c r="AH139" i="4"/>
  <c r="AH143" i="4"/>
  <c r="AF139" i="4"/>
  <c r="AF143" i="4"/>
  <c r="AE139" i="4"/>
  <c r="AE143" i="4"/>
  <c r="AD139" i="4"/>
  <c r="AD143" i="4"/>
  <c r="AC139" i="4"/>
  <c r="AC143" i="4"/>
  <c r="AA139" i="4"/>
  <c r="AA143" i="4"/>
  <c r="Z139" i="4"/>
  <c r="Z143" i="4"/>
  <c r="Y139" i="4"/>
  <c r="Y143" i="4"/>
  <c r="X139" i="4"/>
  <c r="X143" i="4"/>
  <c r="V139" i="4"/>
  <c r="V143" i="4"/>
  <c r="U139" i="4"/>
  <c r="U143" i="4"/>
  <c r="T143" i="4"/>
  <c r="T144" i="4" s="1"/>
  <c r="S139" i="4"/>
  <c r="S143" i="4"/>
  <c r="O142" i="4"/>
  <c r="O143" i="4" s="1"/>
  <c r="P139" i="4"/>
  <c r="P143" i="4"/>
  <c r="Q139" i="4"/>
  <c r="Q143" i="4"/>
  <c r="N138" i="4"/>
  <c r="N139" i="4" s="1"/>
  <c r="N142" i="4"/>
  <c r="N143" i="4" s="1"/>
  <c r="J138" i="4"/>
  <c r="J139" i="4" s="1"/>
  <c r="J142" i="4"/>
  <c r="J143" i="4" s="1"/>
  <c r="K138" i="4"/>
  <c r="K139" i="4" s="1"/>
  <c r="K142" i="4"/>
  <c r="K143" i="4" s="1"/>
  <c r="L138" i="4"/>
  <c r="L139" i="4" s="1"/>
  <c r="L142" i="4"/>
  <c r="L143" i="4" s="1"/>
  <c r="I138" i="4"/>
  <c r="I139" i="4" s="1"/>
  <c r="I142" i="4"/>
  <c r="I143" i="4" s="1"/>
  <c r="F138" i="4"/>
  <c r="F139" i="4" s="1"/>
  <c r="F142" i="4"/>
  <c r="F143" i="4" s="1"/>
  <c r="G138" i="4"/>
  <c r="G139" i="4" s="1"/>
  <c r="G142" i="4"/>
  <c r="G143" i="4" s="1"/>
  <c r="E138" i="4"/>
  <c r="E139" i="4" s="1"/>
  <c r="E142" i="4"/>
  <c r="E143" i="4" s="1"/>
  <c r="P154" i="4"/>
  <c r="O140" i="4"/>
  <c r="N140" i="4"/>
  <c r="J140" i="4"/>
  <c r="K140" i="4"/>
  <c r="L140" i="4"/>
  <c r="I140" i="4"/>
  <c r="F140" i="4"/>
  <c r="G140" i="4"/>
  <c r="M106" i="4"/>
  <c r="E140" i="4"/>
  <c r="I175" i="4"/>
  <c r="J176" i="4"/>
  <c r="J177" i="4"/>
  <c r="K177" i="4" s="1"/>
  <c r="L177" i="4" s="1"/>
  <c r="M178" i="4"/>
  <c r="M179" i="4"/>
  <c r="J180" i="4"/>
  <c r="K180" i="4" s="1"/>
  <c r="M181" i="4"/>
  <c r="M182" i="4"/>
  <c r="M171" i="4"/>
  <c r="M184" i="4"/>
  <c r="D183" i="4"/>
  <c r="D172" i="4"/>
  <c r="E175" i="4"/>
  <c r="F175" i="4" s="1"/>
  <c r="E176" i="4"/>
  <c r="E177" i="4"/>
  <c r="F177" i="4" s="1"/>
  <c r="E172" i="4"/>
  <c r="E184" i="4"/>
  <c r="F172" i="4"/>
  <c r="G172" i="4"/>
  <c r="N183" i="4"/>
  <c r="N172" i="4"/>
  <c r="O175" i="4"/>
  <c r="O176" i="4"/>
  <c r="O178" i="4"/>
  <c r="O179" i="4"/>
  <c r="R179" i="4" s="1"/>
  <c r="O180" i="4"/>
  <c r="R180" i="4" s="1"/>
  <c r="O181" i="4"/>
  <c r="R181" i="4" s="1"/>
  <c r="O156" i="4"/>
  <c r="R156" i="4" s="1"/>
  <c r="O157" i="4"/>
  <c r="R157" i="4" s="1"/>
  <c r="O162" i="4"/>
  <c r="O163" i="4"/>
  <c r="O164" i="4"/>
  <c r="R164" i="4" s="1"/>
  <c r="O166" i="4"/>
  <c r="Q122" i="4"/>
  <c r="R122" i="4" s="1"/>
  <c r="O188" i="4"/>
  <c r="N188" i="4"/>
  <c r="H171" i="4"/>
  <c r="M122" i="4"/>
  <c r="C227" i="4" s="1"/>
  <c r="M105" i="4"/>
  <c r="M20" i="4"/>
  <c r="M21" i="4"/>
  <c r="M23" i="4"/>
  <c r="I172" i="4"/>
  <c r="I188" i="4"/>
  <c r="L188" i="4"/>
  <c r="K188" i="4"/>
  <c r="J188" i="4"/>
  <c r="G131" i="4"/>
  <c r="H128" i="4"/>
  <c r="H129" i="4"/>
  <c r="H130" i="4"/>
  <c r="H106" i="4"/>
  <c r="H107" i="4"/>
  <c r="H108" i="4"/>
  <c r="H105" i="4"/>
  <c r="H178" i="4"/>
  <c r="H179" i="4"/>
  <c r="H180" i="4"/>
  <c r="H181" i="4"/>
  <c r="H182" i="4"/>
  <c r="K172" i="4"/>
  <c r="J172" i="4"/>
  <c r="G188" i="4"/>
  <c r="F188" i="4"/>
  <c r="E188" i="4"/>
  <c r="D132" i="4"/>
  <c r="E132" i="4"/>
  <c r="F132" i="4"/>
  <c r="H111" i="4"/>
  <c r="K131" i="4"/>
  <c r="K130" i="4"/>
  <c r="K121" i="4"/>
  <c r="K124" i="4" s="1"/>
  <c r="J132" i="4"/>
  <c r="L132" i="4"/>
  <c r="H126" i="4"/>
  <c r="I126" i="4" s="1"/>
  <c r="J126" i="4" s="1"/>
  <c r="K126" i="4" s="1"/>
  <c r="L126" i="4" s="1"/>
  <c r="M126" i="4" s="1"/>
  <c r="N126" i="4" s="1"/>
  <c r="O126" i="4" s="1"/>
  <c r="P126" i="4" s="1"/>
  <c r="Q126" i="4" s="1"/>
  <c r="R126" i="4" s="1"/>
  <c r="S126" i="4" s="1"/>
  <c r="T126" i="4" s="1"/>
  <c r="U126" i="4" s="1"/>
  <c r="V126" i="4" s="1"/>
  <c r="W126" i="4" s="1"/>
  <c r="X126" i="4" s="1"/>
  <c r="Y126" i="4" s="1"/>
  <c r="Z126" i="4" s="1"/>
  <c r="AA126" i="4" s="1"/>
  <c r="AB126" i="4" s="1"/>
  <c r="AC126" i="4" s="1"/>
  <c r="AD126" i="4" s="1"/>
  <c r="AE126" i="4" s="1"/>
  <c r="AF126" i="4" s="1"/>
  <c r="AG126" i="4" s="1"/>
  <c r="AH126" i="4" s="1"/>
  <c r="AI126" i="4" s="1"/>
  <c r="AJ126" i="4" s="1"/>
  <c r="AK126" i="4" s="1"/>
  <c r="AL126" i="4" s="1"/>
  <c r="J121" i="4"/>
  <c r="J124" i="4" s="1"/>
  <c r="J109" i="4"/>
  <c r="J115" i="4" s="1"/>
  <c r="I132" i="4"/>
  <c r="I121" i="4"/>
  <c r="I124" i="4" s="1"/>
  <c r="I109" i="4"/>
  <c r="I115" i="4" s="1"/>
  <c r="M131" i="4"/>
  <c r="M128" i="4"/>
  <c r="M129" i="4"/>
  <c r="M130" i="4"/>
  <c r="L121" i="4"/>
  <c r="L124" i="4" s="1"/>
  <c r="L109" i="4"/>
  <c r="L115" i="4" s="1"/>
  <c r="M111" i="4"/>
  <c r="N132" i="4"/>
  <c r="O132" i="4"/>
  <c r="Q119" i="4"/>
  <c r="P29" i="4"/>
  <c r="Q29" i="4" s="1"/>
  <c r="S29" i="4" s="1"/>
  <c r="T29" i="4" s="1"/>
  <c r="U29" i="4" s="1"/>
  <c r="V29" i="4" s="1"/>
  <c r="X29" i="4" s="1"/>
  <c r="Y29" i="4" s="1"/>
  <c r="Z29" i="4" s="1"/>
  <c r="AA29" i="4" s="1"/>
  <c r="AC29" i="4" s="1"/>
  <c r="M85" i="4"/>
  <c r="H85" i="4"/>
  <c r="M118" i="4"/>
  <c r="M108" i="4"/>
  <c r="M107" i="4"/>
  <c r="M120" i="4"/>
  <c r="R189" i="4"/>
  <c r="W189" i="4" s="1"/>
  <c r="AB189" i="4" s="1"/>
  <c r="AG189" i="4" s="1"/>
  <c r="AL189" i="4" s="1"/>
  <c r="L99" i="4"/>
  <c r="M112" i="4"/>
  <c r="M113" i="4"/>
  <c r="M114" i="4"/>
  <c r="M123" i="4"/>
  <c r="P112" i="4"/>
  <c r="Q112" i="4" s="1"/>
  <c r="P113" i="4"/>
  <c r="Q123" i="4"/>
  <c r="R123" i="4" s="1"/>
  <c r="S123" i="4" s="1"/>
  <c r="T123" i="4" s="1"/>
  <c r="U123" i="4" s="1"/>
  <c r="V123" i="4" s="1"/>
  <c r="W123" i="4" s="1"/>
  <c r="X123" i="4" s="1"/>
  <c r="Y123" i="4" s="1"/>
  <c r="Z123" i="4" s="1"/>
  <c r="AA123" i="4" s="1"/>
  <c r="AB123" i="4" s="1"/>
  <c r="AC123" i="4" s="1"/>
  <c r="AD123" i="4" s="1"/>
  <c r="AE123" i="4" s="1"/>
  <c r="AF123" i="4" s="1"/>
  <c r="AG123" i="4" s="1"/>
  <c r="AH123" i="4" s="1"/>
  <c r="AI123" i="4" s="1"/>
  <c r="AJ123" i="4" s="1"/>
  <c r="AK123" i="4" s="1"/>
  <c r="AL123" i="4" s="1"/>
  <c r="R171" i="4"/>
  <c r="O141" i="4"/>
  <c r="M110" i="4"/>
  <c r="N141" i="4" s="1"/>
  <c r="L141" i="4"/>
  <c r="K141" i="4"/>
  <c r="J141" i="4"/>
  <c r="I141" i="4"/>
  <c r="G141" i="4"/>
  <c r="F141" i="4"/>
  <c r="E141" i="4"/>
  <c r="Q130" i="4"/>
  <c r="R130" i="4" s="1"/>
  <c r="O121" i="4"/>
  <c r="O124" i="4" s="1"/>
  <c r="O109" i="4"/>
  <c r="O115" i="4" s="1"/>
  <c r="N121" i="4"/>
  <c r="N124" i="4" s="1"/>
  <c r="N109" i="4"/>
  <c r="N115" i="4" s="1"/>
  <c r="K109" i="4"/>
  <c r="K115" i="4" s="1"/>
  <c r="H119" i="4"/>
  <c r="H120" i="4"/>
  <c r="H123" i="4"/>
  <c r="H110" i="4"/>
  <c r="H112" i="4"/>
  <c r="H113" i="4"/>
  <c r="H114" i="4"/>
  <c r="G121" i="4"/>
  <c r="G124" i="4" s="1"/>
  <c r="G109" i="4"/>
  <c r="G115" i="4" s="1"/>
  <c r="F121" i="4"/>
  <c r="F124" i="4" s="1"/>
  <c r="F109" i="4"/>
  <c r="F115" i="4" s="1"/>
  <c r="E121" i="4"/>
  <c r="E124" i="4" s="1"/>
  <c r="E109" i="4"/>
  <c r="E115" i="4" s="1"/>
  <c r="D121" i="4"/>
  <c r="D124" i="4" s="1"/>
  <c r="AB17" i="4"/>
  <c r="W17" i="4"/>
  <c r="R17" i="4"/>
  <c r="G97" i="4"/>
  <c r="G99" i="4" s="1"/>
  <c r="G96" i="4" s="1"/>
  <c r="F99" i="4"/>
  <c r="F96" i="4" s="1"/>
  <c r="AL17" i="4"/>
  <c r="AG17" i="4"/>
  <c r="I93" i="4"/>
  <c r="G93" i="4"/>
  <c r="F93" i="4"/>
  <c r="E93" i="4"/>
  <c r="D93" i="4"/>
  <c r="K92" i="4"/>
  <c r="J92" i="4"/>
  <c r="I92" i="4"/>
  <c r="G92" i="4"/>
  <c r="F92" i="4"/>
  <c r="E92" i="4"/>
  <c r="D92" i="4"/>
  <c r="G90" i="4"/>
  <c r="F90" i="4"/>
  <c r="E90" i="4"/>
  <c r="M29" i="4"/>
  <c r="H29" i="4"/>
  <c r="D30" i="4"/>
  <c r="H81" i="4"/>
  <c r="Q113" i="4" l="1"/>
  <c r="S113" i="4" s="1"/>
  <c r="T113" i="4" s="1"/>
  <c r="U113" i="4" s="1"/>
  <c r="V113" i="4" s="1"/>
  <c r="P114" i="4"/>
  <c r="Q114" i="4" s="1"/>
  <c r="R114" i="4" s="1"/>
  <c r="S114" i="4" s="1"/>
  <c r="T114" i="4" s="1"/>
  <c r="U114" i="4" s="1"/>
  <c r="V114" i="4" s="1"/>
  <c r="W114" i="4" s="1"/>
  <c r="X114" i="4" s="1"/>
  <c r="Y114" i="4" s="1"/>
  <c r="Z114" i="4" s="1"/>
  <c r="AA114" i="4" s="1"/>
  <c r="AB114" i="4" s="1"/>
  <c r="AC114" i="4" s="1"/>
  <c r="AD114" i="4" s="1"/>
  <c r="AE114" i="4" s="1"/>
  <c r="AF114" i="4" s="1"/>
  <c r="AG114" i="4" s="1"/>
  <c r="AH114" i="4" s="1"/>
  <c r="AI114" i="4" s="1"/>
  <c r="AJ114" i="4" s="1"/>
  <c r="AK114" i="4" s="1"/>
  <c r="AL114" i="4" s="1"/>
  <c r="H80" i="4"/>
  <c r="G78" i="4"/>
  <c r="P80" i="4"/>
  <c r="P78" i="4" s="1"/>
  <c r="O78" i="4"/>
  <c r="M80" i="4"/>
  <c r="L78" i="4"/>
  <c r="Q85" i="4"/>
  <c r="D133" i="4"/>
  <c r="G83" i="4"/>
  <c r="R175" i="4"/>
  <c r="M83" i="4"/>
  <c r="D19" i="4"/>
  <c r="D89" i="4" s="1"/>
  <c r="S130" i="4"/>
  <c r="T130" i="4" s="1"/>
  <c r="U130" i="4" s="1"/>
  <c r="V130" i="4" s="1"/>
  <c r="W130" i="4" s="1"/>
  <c r="X130" i="4" s="1"/>
  <c r="Y130" i="4" s="1"/>
  <c r="Z130" i="4" s="1"/>
  <c r="AA130" i="4" s="1"/>
  <c r="AB130" i="4" s="1"/>
  <c r="AC130" i="4" s="1"/>
  <c r="AD130" i="4" s="1"/>
  <c r="AE130" i="4" s="1"/>
  <c r="AF130" i="4" s="1"/>
  <c r="AG130" i="4" s="1"/>
  <c r="AH130" i="4" s="1"/>
  <c r="AI130" i="4" s="1"/>
  <c r="AJ130" i="4" s="1"/>
  <c r="AK130" i="4" s="1"/>
  <c r="AL130" i="4" s="1"/>
  <c r="Q178" i="4"/>
  <c r="S178" i="4" s="1"/>
  <c r="U144" i="4"/>
  <c r="J133" i="4"/>
  <c r="J134" i="4" s="1"/>
  <c r="W113" i="4"/>
  <c r="X113" i="4"/>
  <c r="Y113" i="4" s="1"/>
  <c r="Z113" i="4" s="1"/>
  <c r="AA113" i="4" s="1"/>
  <c r="S131" i="4"/>
  <c r="T131" i="4" s="1"/>
  <c r="U131" i="4" s="1"/>
  <c r="V131" i="4" s="1"/>
  <c r="W131" i="4" s="1"/>
  <c r="X131" i="4" s="1"/>
  <c r="Y131" i="4" s="1"/>
  <c r="Z131" i="4" s="1"/>
  <c r="AA131" i="4" s="1"/>
  <c r="AB131" i="4" s="1"/>
  <c r="AC131" i="4" s="1"/>
  <c r="AD131" i="4" s="1"/>
  <c r="AE131" i="4" s="1"/>
  <c r="AF131" i="4" s="1"/>
  <c r="AG131" i="4" s="1"/>
  <c r="AH131" i="4" s="1"/>
  <c r="AI131" i="4" s="1"/>
  <c r="AJ131" i="4" s="1"/>
  <c r="AK131" i="4" s="1"/>
  <c r="AL131" i="4" s="1"/>
  <c r="N133" i="4"/>
  <c r="N134" i="4" s="1"/>
  <c r="L133" i="4"/>
  <c r="L134" i="4" s="1"/>
  <c r="K132" i="4"/>
  <c r="K133" i="4" s="1"/>
  <c r="K134" i="4" s="1"/>
  <c r="S144" i="4"/>
  <c r="AA144" i="4"/>
  <c r="N144" i="4"/>
  <c r="P144" i="4"/>
  <c r="R85" i="4"/>
  <c r="O133" i="4"/>
  <c r="O134" i="4" s="1"/>
  <c r="G19" i="4"/>
  <c r="G89" i="4" s="1"/>
  <c r="S112" i="4"/>
  <c r="T112" i="4" s="1"/>
  <c r="U112" i="4" s="1"/>
  <c r="V112" i="4" s="1"/>
  <c r="R112" i="4"/>
  <c r="H83" i="4"/>
  <c r="AE144" i="4"/>
  <c r="AJ144" i="4"/>
  <c r="I96" i="4"/>
  <c r="O172" i="4"/>
  <c r="F19" i="4"/>
  <c r="F22" i="4" s="1"/>
  <c r="L172" i="4"/>
  <c r="V144" i="4"/>
  <c r="F95" i="4"/>
  <c r="M121" i="4"/>
  <c r="M124" i="4" s="1"/>
  <c r="I133" i="4"/>
  <c r="I134" i="4" s="1"/>
  <c r="H177" i="4"/>
  <c r="M177" i="4"/>
  <c r="AD144" i="4"/>
  <c r="AK144" i="4"/>
  <c r="L199" i="4"/>
  <c r="M170" i="4"/>
  <c r="M198" i="4" s="1"/>
  <c r="I19" i="4"/>
  <c r="I89" i="4" s="1"/>
  <c r="K19" i="4"/>
  <c r="K22" i="4" s="1"/>
  <c r="N79" i="4"/>
  <c r="J96" i="4"/>
  <c r="S122" i="4"/>
  <c r="T122" i="4" s="1"/>
  <c r="U122" i="4" s="1"/>
  <c r="V122" i="4" s="1"/>
  <c r="Q144" i="4"/>
  <c r="X144" i="4"/>
  <c r="N199" i="4"/>
  <c r="F166" i="4"/>
  <c r="G166" i="4" s="1"/>
  <c r="H166" i="4" s="1"/>
  <c r="L19" i="4"/>
  <c r="L89" i="4" s="1"/>
  <c r="H90" i="4"/>
  <c r="G95" i="4"/>
  <c r="F133" i="4"/>
  <c r="F134" i="4" s="1"/>
  <c r="M180" i="4"/>
  <c r="E19" i="4"/>
  <c r="E89" i="4" s="1"/>
  <c r="M18" i="4"/>
  <c r="M90" i="4"/>
  <c r="K95" i="4"/>
  <c r="I144" i="4"/>
  <c r="AF144" i="4"/>
  <c r="K164" i="4"/>
  <c r="L164" i="4" s="1"/>
  <c r="M91" i="4"/>
  <c r="Q26" i="4"/>
  <c r="Q25" i="4"/>
  <c r="K162" i="4"/>
  <c r="L162" i="4" s="1"/>
  <c r="S119" i="4"/>
  <c r="T119" i="4" s="1"/>
  <c r="U119" i="4" s="1"/>
  <c r="V119" i="4" s="1"/>
  <c r="R119" i="4"/>
  <c r="H131" i="4"/>
  <c r="H132" i="4" s="1"/>
  <c r="G132" i="4"/>
  <c r="G133" i="4" s="1"/>
  <c r="G134" i="4" s="1"/>
  <c r="J175" i="4"/>
  <c r="K175" i="4" s="1"/>
  <c r="L175" i="4" s="1"/>
  <c r="I183" i="4"/>
  <c r="O144" i="4"/>
  <c r="Z144" i="4"/>
  <c r="F157" i="4"/>
  <c r="G157" i="4" s="1"/>
  <c r="H157" i="4" s="1"/>
  <c r="K163" i="4"/>
  <c r="L163" i="4" s="1"/>
  <c r="J19" i="4"/>
  <c r="J89" i="4" s="1"/>
  <c r="H172" i="4"/>
  <c r="AI144" i="4"/>
  <c r="R113" i="4"/>
  <c r="Y144" i="4"/>
  <c r="H18" i="4"/>
  <c r="J144" i="4"/>
  <c r="M14" i="4"/>
  <c r="E133" i="4"/>
  <c r="E134" i="4" s="1"/>
  <c r="F144" i="4"/>
  <c r="L83" i="4"/>
  <c r="AD29" i="4"/>
  <c r="AE29" i="4" s="1"/>
  <c r="AF29" i="4" s="1"/>
  <c r="AH29" i="4" s="1"/>
  <c r="E183" i="4"/>
  <c r="F176" i="4"/>
  <c r="M109" i="4"/>
  <c r="M115" i="4" s="1"/>
  <c r="R29" i="4"/>
  <c r="E96" i="4"/>
  <c r="K157" i="4"/>
  <c r="L157" i="4" s="1"/>
  <c r="N19" i="4"/>
  <c r="N88" i="4"/>
  <c r="W29" i="4"/>
  <c r="F163" i="4"/>
  <c r="G163" i="4" s="1"/>
  <c r="H163" i="4" s="1"/>
  <c r="P170" i="4"/>
  <c r="O199" i="4"/>
  <c r="S111" i="4"/>
  <c r="T111" i="4" s="1"/>
  <c r="U111" i="4" s="1"/>
  <c r="V111" i="4" s="1"/>
  <c r="H109" i="4"/>
  <c r="H115" i="4" s="1"/>
  <c r="F184" i="4"/>
  <c r="G184" i="4" s="1"/>
  <c r="K176" i="4"/>
  <c r="L176" i="4" s="1"/>
  <c r="M132" i="4"/>
  <c r="Q108" i="4"/>
  <c r="AB29" i="4"/>
  <c r="H121" i="4"/>
  <c r="H124" i="4" s="1"/>
  <c r="AH144" i="4"/>
  <c r="O196" i="4"/>
  <c r="S120" i="4"/>
  <c r="T120" i="4" s="1"/>
  <c r="U120" i="4" s="1"/>
  <c r="V120" i="4" s="1"/>
  <c r="R120" i="4"/>
  <c r="G175" i="4"/>
  <c r="F164" i="4"/>
  <c r="F162" i="4"/>
  <c r="G162" i="4" s="1"/>
  <c r="M156" i="4"/>
  <c r="M154" i="4"/>
  <c r="H14" i="4"/>
  <c r="H198" i="4"/>
  <c r="O19" i="4"/>
  <c r="O88" i="4"/>
  <c r="S128" i="4"/>
  <c r="O183" i="4"/>
  <c r="E144" i="4"/>
  <c r="G144" i="4"/>
  <c r="L144" i="4"/>
  <c r="K144" i="4"/>
  <c r="AC144" i="4"/>
  <c r="H154" i="4"/>
  <c r="M166" i="4"/>
  <c r="O79" i="4"/>
  <c r="O83" i="4"/>
  <c r="S25" i="4" l="1"/>
  <c r="S176" i="4" s="1"/>
  <c r="Q176" i="4"/>
  <c r="Q183" i="4" s="1"/>
  <c r="S85" i="4"/>
  <c r="P183" i="4"/>
  <c r="K89" i="4"/>
  <c r="L22" i="4"/>
  <c r="L24" i="4" s="1"/>
  <c r="M133" i="4"/>
  <c r="M134" i="4" s="1"/>
  <c r="J22" i="4"/>
  <c r="J24" i="4" s="1"/>
  <c r="S183" i="4"/>
  <c r="G22" i="4"/>
  <c r="G24" i="4" s="1"/>
  <c r="M172" i="4"/>
  <c r="R178" i="4"/>
  <c r="D22" i="4"/>
  <c r="D94" i="4" s="1"/>
  <c r="Q154" i="4"/>
  <c r="R154" i="4" s="1"/>
  <c r="AB113" i="4"/>
  <c r="AC113" i="4"/>
  <c r="AD113" i="4" s="1"/>
  <c r="AE113" i="4" s="1"/>
  <c r="AF113" i="4" s="1"/>
  <c r="T178" i="4"/>
  <c r="W178" i="4" s="1"/>
  <c r="J183" i="4"/>
  <c r="W111" i="4"/>
  <c r="X111" i="4"/>
  <c r="Y111" i="4" s="1"/>
  <c r="Z111" i="4" s="1"/>
  <c r="AA111" i="4" s="1"/>
  <c r="F89" i="4"/>
  <c r="X122" i="4"/>
  <c r="Y122" i="4" s="1"/>
  <c r="Z122" i="4" s="1"/>
  <c r="AA122" i="4" s="1"/>
  <c r="W122" i="4"/>
  <c r="X119" i="4"/>
  <c r="Y119" i="4" s="1"/>
  <c r="Z119" i="4" s="1"/>
  <c r="AA119" i="4" s="1"/>
  <c r="W119" i="4"/>
  <c r="X112" i="4"/>
  <c r="Y112" i="4" s="1"/>
  <c r="Z112" i="4" s="1"/>
  <c r="AA112" i="4" s="1"/>
  <c r="W112" i="4"/>
  <c r="X120" i="4"/>
  <c r="Y120" i="4" s="1"/>
  <c r="Z120" i="4" s="1"/>
  <c r="AA120" i="4" s="1"/>
  <c r="W120" i="4"/>
  <c r="K183" i="4"/>
  <c r="R79" i="4"/>
  <c r="M164" i="4"/>
  <c r="E22" i="4"/>
  <c r="E24" i="4" s="1"/>
  <c r="AG29" i="4"/>
  <c r="I22" i="4"/>
  <c r="I24" i="4" s="1"/>
  <c r="M176" i="4"/>
  <c r="M162" i="4"/>
  <c r="T25" i="4"/>
  <c r="M157" i="4"/>
  <c r="H133" i="4"/>
  <c r="H134" i="4" s="1"/>
  <c r="M163" i="4"/>
  <c r="M19" i="4"/>
  <c r="M88" i="4"/>
  <c r="H184" i="4"/>
  <c r="R25" i="4"/>
  <c r="Q80" i="4"/>
  <c r="O89" i="4"/>
  <c r="O22" i="4"/>
  <c r="S26" i="4"/>
  <c r="R26" i="4"/>
  <c r="P82" i="4"/>
  <c r="T128" i="4"/>
  <c r="U128" i="4" s="1"/>
  <c r="V128" i="4" s="1"/>
  <c r="W128" i="4" s="1"/>
  <c r="X128" i="4" s="1"/>
  <c r="Y128" i="4" s="1"/>
  <c r="Z128" i="4" s="1"/>
  <c r="AA128" i="4" s="1"/>
  <c r="AB128" i="4" s="1"/>
  <c r="AC128" i="4" s="1"/>
  <c r="AD128" i="4" s="1"/>
  <c r="AE128" i="4" s="1"/>
  <c r="AF128" i="4" s="1"/>
  <c r="AG128" i="4" s="1"/>
  <c r="AH128" i="4" s="1"/>
  <c r="AI128" i="4" s="1"/>
  <c r="AJ128" i="4" s="1"/>
  <c r="AK128" i="4" s="1"/>
  <c r="AL128" i="4" s="1"/>
  <c r="P172" i="4"/>
  <c r="Q170" i="4"/>
  <c r="Q172" i="4" s="1"/>
  <c r="H19" i="4"/>
  <c r="H88" i="4"/>
  <c r="H162" i="4"/>
  <c r="L183" i="4"/>
  <c r="M175" i="4"/>
  <c r="W81" i="4"/>
  <c r="F24" i="4"/>
  <c r="F94" i="4"/>
  <c r="F183" i="4"/>
  <c r="G176" i="4"/>
  <c r="G183" i="4" s="1"/>
  <c r="K94" i="4"/>
  <c r="K24" i="4"/>
  <c r="J94" i="4"/>
  <c r="G164" i="4"/>
  <c r="H164" i="4" s="1"/>
  <c r="H175" i="4"/>
  <c r="R108" i="4"/>
  <c r="S108" i="4" s="1"/>
  <c r="Q166" i="4"/>
  <c r="R166" i="4" s="1"/>
  <c r="N22" i="4"/>
  <c r="N89" i="4"/>
  <c r="AI29" i="4"/>
  <c r="AJ29" i="4" s="1"/>
  <c r="AK29" i="4" s="1"/>
  <c r="S80" i="4" l="1"/>
  <c r="T80" i="4" s="1"/>
  <c r="U80" i="4" s="1"/>
  <c r="V80" i="4" s="1"/>
  <c r="X80" i="4" s="1"/>
  <c r="Q35" i="4"/>
  <c r="Q71" i="4"/>
  <c r="Q43" i="4"/>
  <c r="Q59" i="4"/>
  <c r="Q51" i="4"/>
  <c r="Q75" i="4"/>
  <c r="Q47" i="4"/>
  <c r="Q39" i="4"/>
  <c r="Q63" i="4"/>
  <c r="Q55" i="4"/>
  <c r="Q67" i="4"/>
  <c r="R176" i="4"/>
  <c r="U25" i="4"/>
  <c r="T176" i="4"/>
  <c r="T85" i="4"/>
  <c r="L94" i="4"/>
  <c r="D24" i="4"/>
  <c r="D152" i="4" s="1"/>
  <c r="G94" i="4"/>
  <c r="I94" i="4"/>
  <c r="R170" i="4"/>
  <c r="R172" i="4" s="1"/>
  <c r="H176" i="4"/>
  <c r="H183" i="4" s="1"/>
  <c r="R183" i="4"/>
  <c r="AB122" i="4"/>
  <c r="AC122" i="4"/>
  <c r="AD122" i="4" s="1"/>
  <c r="AE122" i="4" s="1"/>
  <c r="AF122" i="4" s="1"/>
  <c r="AB119" i="4"/>
  <c r="AC119" i="4"/>
  <c r="AD119" i="4" s="1"/>
  <c r="AE119" i="4" s="1"/>
  <c r="AF119" i="4" s="1"/>
  <c r="AB112" i="4"/>
  <c r="AC112" i="4"/>
  <c r="AD112" i="4" s="1"/>
  <c r="AE112" i="4" s="1"/>
  <c r="AF112" i="4" s="1"/>
  <c r="T183" i="4"/>
  <c r="AB111" i="4"/>
  <c r="AC111" i="4"/>
  <c r="AD111" i="4" s="1"/>
  <c r="AE111" i="4" s="1"/>
  <c r="AF111" i="4" s="1"/>
  <c r="Q110" i="4"/>
  <c r="AB120" i="4"/>
  <c r="AC120" i="4"/>
  <c r="AD120" i="4" s="1"/>
  <c r="AE120" i="4" s="1"/>
  <c r="AF120" i="4" s="1"/>
  <c r="AG113" i="4"/>
  <c r="AH113" i="4"/>
  <c r="AI113" i="4" s="1"/>
  <c r="AJ113" i="4" s="1"/>
  <c r="AK113" i="4" s="1"/>
  <c r="AL113" i="4" s="1"/>
  <c r="E94" i="4"/>
  <c r="M183" i="4"/>
  <c r="AL29" i="4"/>
  <c r="AB81" i="4"/>
  <c r="M89" i="4"/>
  <c r="M22" i="4"/>
  <c r="R80" i="4"/>
  <c r="N94" i="4"/>
  <c r="N24" i="4"/>
  <c r="S166" i="4"/>
  <c r="T108" i="4"/>
  <c r="U108" i="4" s="1"/>
  <c r="H22" i="4"/>
  <c r="H89" i="4"/>
  <c r="G152" i="4"/>
  <c r="G167" i="4" s="1"/>
  <c r="G27" i="4"/>
  <c r="G28" i="4"/>
  <c r="T26" i="4"/>
  <c r="U26" i="4" s="1"/>
  <c r="V26" i="4" s="1"/>
  <c r="X26" i="4" s="1"/>
  <c r="O94" i="4"/>
  <c r="Q94" i="4" s="1"/>
  <c r="X94" i="4" s="1"/>
  <c r="Y94" i="4" s="1"/>
  <c r="Z94" i="4" s="1"/>
  <c r="AA94" i="4" s="1"/>
  <c r="AC94" i="4" s="1"/>
  <c r="AD94" i="4" s="1"/>
  <c r="AE94" i="4" s="1"/>
  <c r="AF94" i="4" s="1"/>
  <c r="AH94" i="4" s="1"/>
  <c r="AI94" i="4" s="1"/>
  <c r="AJ94" i="4" s="1"/>
  <c r="AK94" i="4" s="1"/>
  <c r="O24" i="4"/>
  <c r="E152" i="4"/>
  <c r="E167" i="4" s="1"/>
  <c r="E27" i="4"/>
  <c r="E28" i="4"/>
  <c r="J152" i="4"/>
  <c r="J167" i="4" s="1"/>
  <c r="J27" i="4"/>
  <c r="J28" i="4"/>
  <c r="F27" i="4"/>
  <c r="F28" i="4"/>
  <c r="F152" i="4"/>
  <c r="F167" i="4" s="1"/>
  <c r="F197" i="4" s="1"/>
  <c r="L152" i="4"/>
  <c r="L167" i="4" s="1"/>
  <c r="L185" i="4" s="1"/>
  <c r="L28" i="4"/>
  <c r="L27" i="4"/>
  <c r="S170" i="4"/>
  <c r="K152" i="4"/>
  <c r="K167" i="4" s="1"/>
  <c r="K28" i="4"/>
  <c r="K27" i="4"/>
  <c r="I152" i="4"/>
  <c r="I28" i="4"/>
  <c r="I27" i="4"/>
  <c r="Q82" i="4"/>
  <c r="S39" i="4" l="1"/>
  <c r="Q38" i="4"/>
  <c r="Q58" i="4"/>
  <c r="S59" i="4"/>
  <c r="Q44" i="4"/>
  <c r="P45" i="4"/>
  <c r="P53" i="4"/>
  <c r="Q52" i="4"/>
  <c r="Q66" i="4"/>
  <c r="S67" i="4"/>
  <c r="S47" i="4"/>
  <c r="Q46" i="4"/>
  <c r="Q42" i="4"/>
  <c r="S43" i="4"/>
  <c r="Q36" i="4"/>
  <c r="P37" i="4"/>
  <c r="P69" i="4"/>
  <c r="Q68" i="4"/>
  <c r="Q56" i="4"/>
  <c r="P57" i="4"/>
  <c r="S55" i="4"/>
  <c r="Q54" i="4"/>
  <c r="S75" i="4"/>
  <c r="Q74" i="4"/>
  <c r="S71" i="4"/>
  <c r="Q70" i="4"/>
  <c r="Q40" i="4"/>
  <c r="P41" i="4"/>
  <c r="Q64" i="4"/>
  <c r="P65" i="4"/>
  <c r="P73" i="4"/>
  <c r="Q72" i="4"/>
  <c r="Q62" i="4"/>
  <c r="S63" i="4"/>
  <c r="Q50" i="4"/>
  <c r="S51" i="4"/>
  <c r="Q34" i="4"/>
  <c r="S35" i="4"/>
  <c r="Q78" i="4"/>
  <c r="Q60" i="4"/>
  <c r="Q61" i="4" s="1"/>
  <c r="P61" i="4"/>
  <c r="P49" i="4"/>
  <c r="Q48" i="4"/>
  <c r="P77" i="4"/>
  <c r="Q76" i="4"/>
  <c r="V25" i="4"/>
  <c r="U176" i="4"/>
  <c r="U183" i="4" s="1"/>
  <c r="U85" i="4"/>
  <c r="D28" i="4"/>
  <c r="D27" i="4"/>
  <c r="AG111" i="4"/>
  <c r="AH111" i="4"/>
  <c r="AI111" i="4" s="1"/>
  <c r="AJ111" i="4" s="1"/>
  <c r="AK111" i="4" s="1"/>
  <c r="AL111" i="4" s="1"/>
  <c r="AG112" i="4"/>
  <c r="AH112" i="4"/>
  <c r="AI112" i="4" s="1"/>
  <c r="AJ112" i="4" s="1"/>
  <c r="AK112" i="4" s="1"/>
  <c r="AL112" i="4" s="1"/>
  <c r="AH122" i="4"/>
  <c r="AI122" i="4" s="1"/>
  <c r="AJ122" i="4" s="1"/>
  <c r="AK122" i="4" s="1"/>
  <c r="AL122" i="4" s="1"/>
  <c r="AG122" i="4"/>
  <c r="R110" i="4"/>
  <c r="S154" i="4"/>
  <c r="V108" i="4"/>
  <c r="U166" i="4"/>
  <c r="AG120" i="4"/>
  <c r="AH120" i="4"/>
  <c r="AI120" i="4" s="1"/>
  <c r="AJ120" i="4" s="1"/>
  <c r="AK120" i="4" s="1"/>
  <c r="AL120" i="4" s="1"/>
  <c r="AG119" i="4"/>
  <c r="AH119" i="4"/>
  <c r="AI119" i="4" s="1"/>
  <c r="AJ119" i="4" s="1"/>
  <c r="AK119" i="4" s="1"/>
  <c r="AL119" i="4" s="1"/>
  <c r="AG81" i="4"/>
  <c r="W80" i="4"/>
  <c r="W26" i="4"/>
  <c r="M24" i="4"/>
  <c r="M94" i="4"/>
  <c r="C228" i="4" s="1"/>
  <c r="D167" i="4"/>
  <c r="D185" i="4" s="1"/>
  <c r="D187" i="4" s="1"/>
  <c r="H152" i="4"/>
  <c r="H167" i="4" s="1"/>
  <c r="H185" i="4" s="1"/>
  <c r="H24" i="4"/>
  <c r="H94" i="4"/>
  <c r="N27" i="4"/>
  <c r="N152" i="4"/>
  <c r="N28" i="4"/>
  <c r="E185" i="4"/>
  <c r="K197" i="4"/>
  <c r="K185" i="4"/>
  <c r="F185" i="4"/>
  <c r="G197" i="4"/>
  <c r="G185" i="4"/>
  <c r="Y26" i="4"/>
  <c r="Z26" i="4" s="1"/>
  <c r="AA26" i="4" s="1"/>
  <c r="AC26" i="4" s="1"/>
  <c r="Q81" i="4"/>
  <c r="Q12" i="4" s="1"/>
  <c r="S82" i="4"/>
  <c r="R82" i="4"/>
  <c r="Y80" i="4"/>
  <c r="Z80" i="4" s="1"/>
  <c r="AA80" i="4" s="1"/>
  <c r="AC80" i="4" s="1"/>
  <c r="J185" i="4"/>
  <c r="I167" i="4"/>
  <c r="M152" i="4"/>
  <c r="M167" i="4" s="1"/>
  <c r="T170" i="4"/>
  <c r="U170" i="4" s="1"/>
  <c r="S172" i="4"/>
  <c r="L197" i="4"/>
  <c r="O27" i="4"/>
  <c r="O152" i="4"/>
  <c r="O167" i="4" s="1"/>
  <c r="O28" i="4"/>
  <c r="T166" i="4"/>
  <c r="C229" i="4" l="1"/>
  <c r="C230" i="4" s="1"/>
  <c r="Q84" i="4"/>
  <c r="Q15" i="4"/>
  <c r="S48" i="4"/>
  <c r="Q49" i="4"/>
  <c r="S40" i="4"/>
  <c r="Q41" i="4"/>
  <c r="S52" i="4"/>
  <c r="Q53" i="4"/>
  <c r="S34" i="4"/>
  <c r="T35" i="4"/>
  <c r="S78" i="4"/>
  <c r="T63" i="4"/>
  <c r="S62" i="4"/>
  <c r="T75" i="4"/>
  <c r="S74" i="4"/>
  <c r="S56" i="4"/>
  <c r="Q57" i="4"/>
  <c r="S36" i="4"/>
  <c r="Q37" i="4"/>
  <c r="T47" i="4"/>
  <c r="S46" i="4"/>
  <c r="S76" i="4"/>
  <c r="Q77" i="4"/>
  <c r="S66" i="4"/>
  <c r="T67" i="4"/>
  <c r="Q65" i="4"/>
  <c r="S64" i="4"/>
  <c r="T71" i="4"/>
  <c r="S70" i="4"/>
  <c r="Q69" i="4"/>
  <c r="S68" i="4"/>
  <c r="S42" i="4"/>
  <c r="T43" i="4"/>
  <c r="S60" i="4"/>
  <c r="T51" i="4"/>
  <c r="S50" i="4"/>
  <c r="S72" i="4"/>
  <c r="Q73" i="4"/>
  <c r="S54" i="4"/>
  <c r="T55" i="4"/>
  <c r="S44" i="4"/>
  <c r="Q45" i="4"/>
  <c r="T59" i="4"/>
  <c r="S58" i="4"/>
  <c r="T39" i="4"/>
  <c r="S38" i="4"/>
  <c r="X25" i="4"/>
  <c r="V176" i="4"/>
  <c r="W176" i="4" s="1"/>
  <c r="W183" i="4" s="1"/>
  <c r="W25" i="4"/>
  <c r="V85" i="4"/>
  <c r="W85" i="4" s="1"/>
  <c r="W108" i="4"/>
  <c r="X108" i="4" s="1"/>
  <c r="V166" i="4"/>
  <c r="W166" i="4" s="1"/>
  <c r="S110" i="4"/>
  <c r="T154" i="4" s="1"/>
  <c r="T110" i="4" s="1"/>
  <c r="U172" i="4"/>
  <c r="V170" i="4"/>
  <c r="W170" i="4" s="1"/>
  <c r="W172" i="4" s="1"/>
  <c r="AB26" i="4"/>
  <c r="AL81" i="4"/>
  <c r="M26" i="4"/>
  <c r="M188" i="4" s="1"/>
  <c r="M25" i="4"/>
  <c r="M27" i="4" s="1"/>
  <c r="E197" i="4"/>
  <c r="H190" i="4"/>
  <c r="I197" i="4"/>
  <c r="I185" i="4"/>
  <c r="J197" i="4"/>
  <c r="T172" i="4"/>
  <c r="AB80" i="4"/>
  <c r="T82" i="4"/>
  <c r="S81" i="4"/>
  <c r="S12" i="4" s="1"/>
  <c r="S84" i="4" s="1"/>
  <c r="AD26" i="4"/>
  <c r="AE26" i="4" s="1"/>
  <c r="AF26" i="4" s="1"/>
  <c r="AH26" i="4" s="1"/>
  <c r="O185" i="4"/>
  <c r="AD80" i="4"/>
  <c r="AE80" i="4" s="1"/>
  <c r="AF80" i="4" s="1"/>
  <c r="AH80" i="4" s="1"/>
  <c r="Q13" i="4"/>
  <c r="Q14" i="4" s="1"/>
  <c r="Q16" i="4"/>
  <c r="Q21" i="4"/>
  <c r="Q30" i="4"/>
  <c r="Q141" i="4"/>
  <c r="Q198" i="4"/>
  <c r="H26" i="4"/>
  <c r="H188" i="4" s="1"/>
  <c r="H25" i="4"/>
  <c r="H27" i="4" s="1"/>
  <c r="R12" i="4"/>
  <c r="P141" i="4"/>
  <c r="P198" i="4"/>
  <c r="M190" i="4"/>
  <c r="M197" i="4"/>
  <c r="M185" i="4"/>
  <c r="N167" i="4"/>
  <c r="E186" i="4"/>
  <c r="E187" i="4" s="1"/>
  <c r="D105" i="4"/>
  <c r="U39" i="4" l="1"/>
  <c r="T38" i="4"/>
  <c r="T44" i="4"/>
  <c r="S45" i="4"/>
  <c r="T72" i="4"/>
  <c r="S73" i="4"/>
  <c r="U43" i="4"/>
  <c r="T42" i="4"/>
  <c r="U67" i="4"/>
  <c r="T66" i="4"/>
  <c r="T76" i="4"/>
  <c r="S77" i="4"/>
  <c r="T36" i="4"/>
  <c r="S37" i="4"/>
  <c r="T74" i="4"/>
  <c r="U75" i="4"/>
  <c r="U35" i="4"/>
  <c r="T78" i="4"/>
  <c r="T34" i="4"/>
  <c r="U55" i="4"/>
  <c r="T54" i="4"/>
  <c r="U71" i="4"/>
  <c r="T70" i="4"/>
  <c r="T40" i="4"/>
  <c r="S41" i="4"/>
  <c r="U59" i="4"/>
  <c r="T58" i="4"/>
  <c r="U51" i="4"/>
  <c r="T50" i="4"/>
  <c r="T68" i="4"/>
  <c r="T64" i="4"/>
  <c r="S65" i="4"/>
  <c r="S69" i="4"/>
  <c r="T46" i="4"/>
  <c r="U47" i="4"/>
  <c r="T56" i="4"/>
  <c r="S57" i="4"/>
  <c r="U63" i="4"/>
  <c r="T62" i="4"/>
  <c r="T60" i="4"/>
  <c r="S61" i="4"/>
  <c r="T52" i="4"/>
  <c r="S53" i="4"/>
  <c r="S49" i="4"/>
  <c r="T48" i="4"/>
  <c r="V183" i="4"/>
  <c r="X176" i="4"/>
  <c r="X183" i="4" s="1"/>
  <c r="Y25" i="4"/>
  <c r="X85" i="4"/>
  <c r="Y108" i="4"/>
  <c r="X166" i="4"/>
  <c r="P14" i="4"/>
  <c r="P162" i="4"/>
  <c r="V172" i="4"/>
  <c r="X170" i="4"/>
  <c r="U154" i="4"/>
  <c r="U110" i="4" s="1"/>
  <c r="M28" i="4"/>
  <c r="R16" i="4"/>
  <c r="AG80" i="4"/>
  <c r="N197" i="4"/>
  <c r="N185" i="4"/>
  <c r="AI26" i="4"/>
  <c r="AJ26" i="4" s="1"/>
  <c r="AK26" i="4" s="1"/>
  <c r="AI80" i="4"/>
  <c r="AJ80" i="4" s="1"/>
  <c r="AK80" i="4" s="1"/>
  <c r="E192" i="4"/>
  <c r="F186" i="4"/>
  <c r="F187" i="4" s="1"/>
  <c r="R21" i="4"/>
  <c r="Q18" i="4"/>
  <c r="Q19" i="4" s="1"/>
  <c r="Q89" i="4" s="1"/>
  <c r="O197" i="4"/>
  <c r="R91" i="4"/>
  <c r="R198" i="4"/>
  <c r="T81" i="4"/>
  <c r="T12" i="4" s="1"/>
  <c r="T84" i="4" s="1"/>
  <c r="U82" i="4"/>
  <c r="D192" i="4"/>
  <c r="D109" i="4"/>
  <c r="D115" i="4" s="1"/>
  <c r="D134" i="4" s="1"/>
  <c r="D188" i="4"/>
  <c r="R13" i="4"/>
  <c r="R14" i="4" s="1"/>
  <c r="R15" i="4"/>
  <c r="P18" i="4"/>
  <c r="H28" i="4"/>
  <c r="AG26" i="4"/>
  <c r="S30" i="4"/>
  <c r="S16" i="4"/>
  <c r="S21" i="4"/>
  <c r="S15" i="4"/>
  <c r="S13" i="4"/>
  <c r="S14" i="4" s="1"/>
  <c r="S141" i="4"/>
  <c r="S198" i="4"/>
  <c r="V67" i="4" l="1"/>
  <c r="U66" i="4"/>
  <c r="U60" i="4"/>
  <c r="T61" i="4"/>
  <c r="U56" i="4"/>
  <c r="T57" i="4"/>
  <c r="V51" i="4"/>
  <c r="U50" i="4"/>
  <c r="U40" i="4"/>
  <c r="T41" i="4"/>
  <c r="V55" i="4"/>
  <c r="U54" i="4"/>
  <c r="V75" i="4"/>
  <c r="U74" i="4"/>
  <c r="U46" i="4"/>
  <c r="V47" i="4"/>
  <c r="T65" i="4"/>
  <c r="U64" i="4"/>
  <c r="U76" i="4"/>
  <c r="T77" i="4"/>
  <c r="V43" i="4"/>
  <c r="U42" i="4"/>
  <c r="U44" i="4"/>
  <c r="T45" i="4"/>
  <c r="U52" i="4"/>
  <c r="T53" i="4"/>
  <c r="V63" i="4"/>
  <c r="U62" i="4"/>
  <c r="U68" i="4"/>
  <c r="T69" i="4"/>
  <c r="U58" i="4"/>
  <c r="V59" i="4"/>
  <c r="V71" i="4"/>
  <c r="U70" i="4"/>
  <c r="T49" i="4"/>
  <c r="U48" i="4"/>
  <c r="V35" i="4"/>
  <c r="U78" i="4"/>
  <c r="U34" i="4"/>
  <c r="U36" i="4"/>
  <c r="T37" i="4"/>
  <c r="U72" i="4"/>
  <c r="T73" i="4"/>
  <c r="U38" i="4"/>
  <c r="V39" i="4"/>
  <c r="Z25" i="4"/>
  <c r="Y176" i="4"/>
  <c r="Y85" i="4"/>
  <c r="P19" i="4"/>
  <c r="V154" i="4"/>
  <c r="W154" i="4" s="1"/>
  <c r="Z108" i="4"/>
  <c r="Y166" i="4"/>
  <c r="X172" i="4"/>
  <c r="Y170" i="4"/>
  <c r="Y183" i="4"/>
  <c r="Q107" i="4"/>
  <c r="S107" i="4" s="1"/>
  <c r="AL26" i="4"/>
  <c r="R88" i="4"/>
  <c r="P121" i="4"/>
  <c r="P124" i="4" s="1"/>
  <c r="P163" i="4"/>
  <c r="R18" i="4"/>
  <c r="R90" i="4"/>
  <c r="T15" i="4"/>
  <c r="T16" i="4"/>
  <c r="T13" i="4"/>
  <c r="T14" i="4" s="1"/>
  <c r="T21" i="4"/>
  <c r="T30" i="4"/>
  <c r="T141" i="4"/>
  <c r="T198" i="4"/>
  <c r="F192" i="4"/>
  <c r="G186" i="4"/>
  <c r="V82" i="4"/>
  <c r="U81" i="4"/>
  <c r="U12" i="4" s="1"/>
  <c r="U84" i="4" s="1"/>
  <c r="Q118" i="4"/>
  <c r="S118" i="4" s="1"/>
  <c r="S18" i="4"/>
  <c r="S19" i="4" s="1"/>
  <c r="S89" i="4" s="1"/>
  <c r="AL80" i="4"/>
  <c r="V78" i="4" l="1"/>
  <c r="X35" i="4"/>
  <c r="V34" i="4"/>
  <c r="V68" i="4"/>
  <c r="U69" i="4"/>
  <c r="X43" i="4"/>
  <c r="V42" i="4"/>
  <c r="X75" i="4"/>
  <c r="V74" i="4"/>
  <c r="V36" i="4"/>
  <c r="U37" i="4"/>
  <c r="U49" i="4"/>
  <c r="V48" i="4"/>
  <c r="X59" i="4"/>
  <c r="V58" i="4"/>
  <c r="X47" i="4"/>
  <c r="V46" i="4"/>
  <c r="V44" i="4"/>
  <c r="U45" i="4"/>
  <c r="V76" i="4"/>
  <c r="V77" i="4" s="1"/>
  <c r="U77" i="4"/>
  <c r="V54" i="4"/>
  <c r="X55" i="4"/>
  <c r="X51" i="4"/>
  <c r="V50" i="4"/>
  <c r="V60" i="4"/>
  <c r="U61" i="4"/>
  <c r="X63" i="4"/>
  <c r="V62" i="4"/>
  <c r="V72" i="4"/>
  <c r="U73" i="4"/>
  <c r="V64" i="4"/>
  <c r="U65" i="4"/>
  <c r="X39" i="4"/>
  <c r="V38" i="4"/>
  <c r="V70" i="4"/>
  <c r="X71" i="4"/>
  <c r="V52" i="4"/>
  <c r="U53" i="4"/>
  <c r="V40" i="4"/>
  <c r="U41" i="4"/>
  <c r="V56" i="4"/>
  <c r="U57" i="4"/>
  <c r="V66" i="4"/>
  <c r="X67" i="4"/>
  <c r="AA25" i="4"/>
  <c r="Z176" i="4"/>
  <c r="Z183" i="4" s="1"/>
  <c r="AB25" i="4"/>
  <c r="Z85" i="4"/>
  <c r="P22" i="4"/>
  <c r="P24" i="4" s="1"/>
  <c r="R107" i="4"/>
  <c r="S162" i="4" s="1"/>
  <c r="V110" i="4"/>
  <c r="X154" i="4" s="1"/>
  <c r="AA108" i="4"/>
  <c r="Z166" i="4"/>
  <c r="Z170" i="4"/>
  <c r="Y172" i="4"/>
  <c r="Q162" i="4"/>
  <c r="R162" i="4" s="1"/>
  <c r="S20" i="4"/>
  <c r="S121" i="4"/>
  <c r="S124" i="4" s="1"/>
  <c r="U30" i="4"/>
  <c r="U13" i="4"/>
  <c r="U16" i="4"/>
  <c r="U21" i="4"/>
  <c r="U15" i="4"/>
  <c r="U141" i="4"/>
  <c r="U198" i="4"/>
  <c r="R19" i="4"/>
  <c r="R89" i="4" s="1"/>
  <c r="X82" i="4"/>
  <c r="V81" i="4"/>
  <c r="V12" i="4" s="1"/>
  <c r="W82" i="4"/>
  <c r="G187" i="4"/>
  <c r="H186" i="4"/>
  <c r="T18" i="4"/>
  <c r="T19" i="4" s="1"/>
  <c r="T89" i="4" s="1"/>
  <c r="Q20" i="4"/>
  <c r="Q22" i="4" s="1"/>
  <c r="Q163" i="4"/>
  <c r="R163" i="4" s="1"/>
  <c r="R118" i="4"/>
  <c r="R121" i="4" s="1"/>
  <c r="R124" i="4" s="1"/>
  <c r="Q121" i="4"/>
  <c r="Q124" i="4" s="1"/>
  <c r="T107" i="4"/>
  <c r="T162" i="4" s="1"/>
  <c r="T118" i="4"/>
  <c r="X54" i="4" l="1"/>
  <c r="Y55" i="4"/>
  <c r="X68" i="4"/>
  <c r="V69" i="4"/>
  <c r="X56" i="4"/>
  <c r="V57" i="4"/>
  <c r="X52" i="4"/>
  <c r="V53" i="4"/>
  <c r="X38" i="4"/>
  <c r="Y39" i="4"/>
  <c r="X72" i="4"/>
  <c r="V73" i="4"/>
  <c r="X60" i="4"/>
  <c r="V61" i="4"/>
  <c r="X44" i="4"/>
  <c r="V45" i="4"/>
  <c r="Y59" i="4"/>
  <c r="X58" i="4"/>
  <c r="X36" i="4"/>
  <c r="V37" i="4"/>
  <c r="Y67" i="4"/>
  <c r="X66" i="4"/>
  <c r="Y71" i="4"/>
  <c r="X70" i="4"/>
  <c r="X48" i="4"/>
  <c r="V49" i="4"/>
  <c r="Y43" i="4"/>
  <c r="X42" i="4"/>
  <c r="Y35" i="4"/>
  <c r="X34" i="4"/>
  <c r="X78" i="4"/>
  <c r="X40" i="4"/>
  <c r="V41" i="4"/>
  <c r="V65" i="4"/>
  <c r="X64" i="4"/>
  <c r="Y63" i="4"/>
  <c r="X62" i="4"/>
  <c r="Y51" i="4"/>
  <c r="X50" i="4"/>
  <c r="X76" i="4"/>
  <c r="Y47" i="4"/>
  <c r="X46" i="4"/>
  <c r="Y75" i="4"/>
  <c r="X74" i="4"/>
  <c r="AC25" i="4"/>
  <c r="AA176" i="4"/>
  <c r="AB176" i="4" s="1"/>
  <c r="AB183" i="4" s="1"/>
  <c r="W12" i="4"/>
  <c r="W198" i="4" s="1"/>
  <c r="V84" i="4"/>
  <c r="AA85" i="4"/>
  <c r="AB85" i="4" s="1"/>
  <c r="R20" i="4"/>
  <c r="R22" i="4" s="1"/>
  <c r="X110" i="4"/>
  <c r="Y154" i="4" s="1"/>
  <c r="W110" i="4"/>
  <c r="AB108" i="4"/>
  <c r="AC108" i="4" s="1"/>
  <c r="AA166" i="4"/>
  <c r="AB166" i="4" s="1"/>
  <c r="U107" i="4"/>
  <c r="U162" i="4" s="1"/>
  <c r="U118" i="4"/>
  <c r="Z172" i="4"/>
  <c r="AA170" i="4"/>
  <c r="AB170" i="4" s="1"/>
  <c r="AB172" i="4" s="1"/>
  <c r="AA183" i="4"/>
  <c r="T20" i="4"/>
  <c r="T22" i="4" s="1"/>
  <c r="T163" i="4"/>
  <c r="T121" i="4"/>
  <c r="T124" i="4" s="1"/>
  <c r="V30" i="4"/>
  <c r="V16" i="4"/>
  <c r="W16" i="4" s="1"/>
  <c r="V13" i="4"/>
  <c r="V21" i="4"/>
  <c r="W21" i="4" s="1"/>
  <c r="V15" i="4"/>
  <c r="V141" i="4"/>
  <c r="V198" i="4"/>
  <c r="U18" i="4"/>
  <c r="S163" i="4"/>
  <c r="P152" i="4"/>
  <c r="P129" i="4" s="1"/>
  <c r="P28" i="4"/>
  <c r="Q23" i="4"/>
  <c r="Q24" i="4" s="1"/>
  <c r="Y82" i="4"/>
  <c r="X81" i="4"/>
  <c r="X12" i="4" s="1"/>
  <c r="X84" i="4" s="1"/>
  <c r="G192" i="4"/>
  <c r="H187" i="4"/>
  <c r="U14" i="4"/>
  <c r="S22" i="4"/>
  <c r="Y46" i="4" l="1"/>
  <c r="Z47" i="4"/>
  <c r="Y48" i="4"/>
  <c r="X49" i="4"/>
  <c r="Y60" i="4"/>
  <c r="X61" i="4"/>
  <c r="Y76" i="4"/>
  <c r="X77" i="4"/>
  <c r="Z63" i="4"/>
  <c r="Y62" i="4"/>
  <c r="Y40" i="4"/>
  <c r="X41" i="4"/>
  <c r="Y64" i="4"/>
  <c r="X65" i="4"/>
  <c r="Z43" i="4"/>
  <c r="Y42" i="4"/>
  <c r="Y70" i="4"/>
  <c r="Z71" i="4"/>
  <c r="Y44" i="4"/>
  <c r="X45" i="4"/>
  <c r="Y72" i="4"/>
  <c r="X73" i="4"/>
  <c r="Y52" i="4"/>
  <c r="X53" i="4"/>
  <c r="Y68" i="4"/>
  <c r="X69" i="4"/>
  <c r="Y74" i="4"/>
  <c r="Z75" i="4"/>
  <c r="Y36" i="4"/>
  <c r="X37" i="4"/>
  <c r="Y50" i="4"/>
  <c r="Z51" i="4"/>
  <c r="Y38" i="4"/>
  <c r="Z39" i="4"/>
  <c r="Z55" i="4"/>
  <c r="Y54" i="4"/>
  <c r="Y34" i="4"/>
  <c r="Z35" i="4"/>
  <c r="Y78" i="4"/>
  <c r="Z67" i="4"/>
  <c r="Y66" i="4"/>
  <c r="Y58" i="4"/>
  <c r="Z59" i="4"/>
  <c r="Y56" i="4"/>
  <c r="X57" i="4"/>
  <c r="AC176" i="4"/>
  <c r="AD25" i="4"/>
  <c r="W91" i="4"/>
  <c r="AC85" i="4"/>
  <c r="AC183" i="4"/>
  <c r="V14" i="4"/>
  <c r="V107" i="4"/>
  <c r="V118" i="4"/>
  <c r="AC170" i="4"/>
  <c r="AA172" i="4"/>
  <c r="AD108" i="4"/>
  <c r="AC166" i="4"/>
  <c r="U121" i="4"/>
  <c r="U124" i="4" s="1"/>
  <c r="U163" i="4"/>
  <c r="Y110" i="4"/>
  <c r="Z154" i="4" s="1"/>
  <c r="R23" i="4"/>
  <c r="R24" i="4" s="1"/>
  <c r="R28" i="4" s="1"/>
  <c r="W13" i="4"/>
  <c r="W14" i="4" s="1"/>
  <c r="W88" i="4" s="1"/>
  <c r="V18" i="4"/>
  <c r="W15" i="4"/>
  <c r="W18" i="4" s="1"/>
  <c r="T23" i="4"/>
  <c r="T24" i="4" s="1"/>
  <c r="I186" i="4"/>
  <c r="H192" i="4"/>
  <c r="Z82" i="4"/>
  <c r="Y81" i="4"/>
  <c r="Y12" i="4" s="1"/>
  <c r="Y84" i="4" s="1"/>
  <c r="S23" i="4"/>
  <c r="S24" i="4" s="1"/>
  <c r="S152" i="4" s="1"/>
  <c r="S167" i="4" s="1"/>
  <c r="Q28" i="4"/>
  <c r="Q152" i="4"/>
  <c r="Q167" i="4" s="1"/>
  <c r="X30" i="4"/>
  <c r="X16" i="4"/>
  <c r="X21" i="4"/>
  <c r="X15" i="4"/>
  <c r="X13" i="4"/>
  <c r="X141" i="4"/>
  <c r="X198" i="4"/>
  <c r="P167" i="4"/>
  <c r="U20" i="4"/>
  <c r="U19" i="4"/>
  <c r="U89" i="4" s="1"/>
  <c r="Z56" i="4" l="1"/>
  <c r="Y57" i="4"/>
  <c r="Z66" i="4"/>
  <c r="AA67" i="4"/>
  <c r="Z50" i="4"/>
  <c r="AA51" i="4"/>
  <c r="AA75" i="4"/>
  <c r="Z74" i="4"/>
  <c r="AA59" i="4"/>
  <c r="Z58" i="4"/>
  <c r="AA55" i="4"/>
  <c r="Z54" i="4"/>
  <c r="Z52" i="4"/>
  <c r="Y53" i="4"/>
  <c r="Z42" i="4"/>
  <c r="AA43" i="4"/>
  <c r="Z40" i="4"/>
  <c r="Y41" i="4"/>
  <c r="Z48" i="4"/>
  <c r="Y49" i="4"/>
  <c r="Z44" i="4"/>
  <c r="Y45" i="4"/>
  <c r="Z76" i="4"/>
  <c r="Y77" i="4"/>
  <c r="Z34" i="4"/>
  <c r="AA35" i="4"/>
  <c r="Z78" i="4"/>
  <c r="AA39" i="4"/>
  <c r="Z38" i="4"/>
  <c r="AA71" i="4"/>
  <c r="Z70" i="4"/>
  <c r="Z46" i="4"/>
  <c r="AA47" i="4"/>
  <c r="Z36" i="4"/>
  <c r="Y37" i="4"/>
  <c r="Z68" i="4"/>
  <c r="Y69" i="4"/>
  <c r="Z72" i="4"/>
  <c r="Y73" i="4"/>
  <c r="Z64" i="4"/>
  <c r="Y65" i="4"/>
  <c r="AA63" i="4"/>
  <c r="Z62" i="4"/>
  <c r="Z60" i="4"/>
  <c r="Y61" i="4"/>
  <c r="AE25" i="4"/>
  <c r="AD176" i="4"/>
  <c r="AD85" i="4"/>
  <c r="W19" i="4"/>
  <c r="W89" i="4" s="1"/>
  <c r="V19" i="4"/>
  <c r="V89" i="4" s="1"/>
  <c r="X107" i="4"/>
  <c r="X118" i="4"/>
  <c r="AC172" i="4"/>
  <c r="AD170" i="4"/>
  <c r="V163" i="4"/>
  <c r="W163" i="4" s="1"/>
  <c r="V121" i="4"/>
  <c r="V124" i="4" s="1"/>
  <c r="W118" i="4"/>
  <c r="W121" i="4" s="1"/>
  <c r="W124" i="4" s="1"/>
  <c r="R94" i="4"/>
  <c r="AE108" i="4"/>
  <c r="AD166" i="4"/>
  <c r="W107" i="4"/>
  <c r="V162" i="4"/>
  <c r="W162" i="4" s="1"/>
  <c r="AD183" i="4"/>
  <c r="Z110" i="4"/>
  <c r="AA154" i="4" s="1"/>
  <c r="AB154" i="4" s="1"/>
  <c r="R152" i="4"/>
  <c r="U22" i="4"/>
  <c r="U23" i="4" s="1"/>
  <c r="U24" i="4" s="1"/>
  <c r="U152" i="4" s="1"/>
  <c r="W90" i="4"/>
  <c r="M186" i="4"/>
  <c r="M187" i="4" s="1"/>
  <c r="I187" i="4"/>
  <c r="P197" i="4"/>
  <c r="P185" i="4"/>
  <c r="X14" i="4"/>
  <c r="Q197" i="4"/>
  <c r="Q185" i="4"/>
  <c r="Y30" i="4"/>
  <c r="Y15" i="4"/>
  <c r="Y16" i="4"/>
  <c r="Y13" i="4"/>
  <c r="Y14" i="4" s="1"/>
  <c r="Y21" i="4"/>
  <c r="Y141" i="4"/>
  <c r="Y198" i="4"/>
  <c r="Q129" i="4"/>
  <c r="P132" i="4"/>
  <c r="P133" i="4" s="1"/>
  <c r="V20" i="4"/>
  <c r="S28" i="4"/>
  <c r="AA82" i="4"/>
  <c r="Z81" i="4"/>
  <c r="Z12" i="4" s="1"/>
  <c r="Z84" i="4" s="1"/>
  <c r="T152" i="4"/>
  <c r="T167" i="4" s="1"/>
  <c r="T28" i="4"/>
  <c r="X18" i="4"/>
  <c r="AA46" i="4" l="1"/>
  <c r="AC47" i="4"/>
  <c r="AA60" i="4"/>
  <c r="Z61" i="4"/>
  <c r="Z65" i="4"/>
  <c r="AA64" i="4"/>
  <c r="AA68" i="4"/>
  <c r="Z69" i="4"/>
  <c r="AA38" i="4"/>
  <c r="AC39" i="4"/>
  <c r="AA42" i="4"/>
  <c r="AC43" i="4"/>
  <c r="AA66" i="4"/>
  <c r="AC67" i="4"/>
  <c r="AA76" i="4"/>
  <c r="Z77" i="4"/>
  <c r="AA48" i="4"/>
  <c r="Z49" i="4"/>
  <c r="AA54" i="4"/>
  <c r="AC55" i="4"/>
  <c r="AA74" i="4"/>
  <c r="AC75" i="4"/>
  <c r="AA62" i="4"/>
  <c r="AC63" i="4"/>
  <c r="AA72" i="4"/>
  <c r="Z73" i="4"/>
  <c r="AA36" i="4"/>
  <c r="Z37" i="4"/>
  <c r="AC71" i="4"/>
  <c r="AA70" i="4"/>
  <c r="AC35" i="4"/>
  <c r="AA34" i="4"/>
  <c r="AA78" i="4"/>
  <c r="AA50" i="4"/>
  <c r="AC51" i="4"/>
  <c r="AA44" i="4"/>
  <c r="Z45" i="4"/>
  <c r="AA40" i="4"/>
  <c r="Z41" i="4"/>
  <c r="AA52" i="4"/>
  <c r="Z53" i="4"/>
  <c r="AA58" i="4"/>
  <c r="AC59" i="4"/>
  <c r="AA56" i="4"/>
  <c r="Z57" i="4"/>
  <c r="AF25" i="4"/>
  <c r="AE176" i="4"/>
  <c r="AE183" i="4" s="1"/>
  <c r="AE85" i="4"/>
  <c r="V22" i="4"/>
  <c r="V23" i="4" s="1"/>
  <c r="W23" i="4" s="1"/>
  <c r="AD172" i="4"/>
  <c r="AE170" i="4"/>
  <c r="R167" i="4"/>
  <c r="R185" i="4" s="1"/>
  <c r="AF108" i="4"/>
  <c r="AE166" i="4"/>
  <c r="Y118" i="4"/>
  <c r="X163" i="4"/>
  <c r="X121" i="4"/>
  <c r="X124" i="4" s="1"/>
  <c r="Y107" i="4"/>
  <c r="X162" i="4"/>
  <c r="AA110" i="4"/>
  <c r="AC154" i="4" s="1"/>
  <c r="U167" i="4"/>
  <c r="U185" i="4" s="1"/>
  <c r="X19" i="4"/>
  <c r="X89" i="4" s="1"/>
  <c r="I192" i="4"/>
  <c r="J186" i="4"/>
  <c r="J187" i="4" s="1"/>
  <c r="T185" i="4"/>
  <c r="R129" i="4"/>
  <c r="Q132" i="4"/>
  <c r="Q133" i="4" s="1"/>
  <c r="Y18" i="4"/>
  <c r="Y19" i="4" s="1"/>
  <c r="Y89" i="4" s="1"/>
  <c r="N186" i="4"/>
  <c r="M192" i="4"/>
  <c r="Z21" i="4"/>
  <c r="Z16" i="4"/>
  <c r="Z30" i="4"/>
  <c r="Z13" i="4"/>
  <c r="Z15" i="4"/>
  <c r="Z141" i="4"/>
  <c r="Z198" i="4"/>
  <c r="W20" i="4"/>
  <c r="W22" i="4" s="1"/>
  <c r="U28" i="4"/>
  <c r="AA81" i="4"/>
  <c r="AA12" i="4" s="1"/>
  <c r="AA84" i="4" s="1"/>
  <c r="AC82" i="4"/>
  <c r="AB82" i="4"/>
  <c r="X20" i="4"/>
  <c r="AC56" i="4" l="1"/>
  <c r="AA57" i="4"/>
  <c r="AC52" i="4"/>
  <c r="AA53" i="4"/>
  <c r="AC44" i="4"/>
  <c r="AA45" i="4"/>
  <c r="AD63" i="4"/>
  <c r="AC62" i="4"/>
  <c r="AD55" i="4"/>
  <c r="AC54" i="4"/>
  <c r="AD43" i="4"/>
  <c r="AC42" i="4"/>
  <c r="AC34" i="4"/>
  <c r="AD35" i="4"/>
  <c r="AC78" i="4"/>
  <c r="AC36" i="4"/>
  <c r="AA37" i="4"/>
  <c r="AC76" i="4"/>
  <c r="AA77" i="4"/>
  <c r="AC68" i="4"/>
  <c r="AA69" i="4"/>
  <c r="AC60" i="4"/>
  <c r="AA61" i="4"/>
  <c r="AD59" i="4"/>
  <c r="AC58" i="4"/>
  <c r="AD51" i="4"/>
  <c r="AC50" i="4"/>
  <c r="AC40" i="4"/>
  <c r="AA41" i="4"/>
  <c r="AD75" i="4"/>
  <c r="AC74" i="4"/>
  <c r="AD67" i="4"/>
  <c r="AC66" i="4"/>
  <c r="AC38" i="4"/>
  <c r="AD39" i="4"/>
  <c r="AC64" i="4"/>
  <c r="AA65" i="4"/>
  <c r="AD47" i="4"/>
  <c r="AC46" i="4"/>
  <c r="AC70" i="4"/>
  <c r="AD71" i="4"/>
  <c r="AC72" i="4"/>
  <c r="AA73" i="4"/>
  <c r="AC48" i="4"/>
  <c r="AA49" i="4"/>
  <c r="AH25" i="4"/>
  <c r="AF176" i="4"/>
  <c r="AG176" i="4" s="1"/>
  <c r="AG183" i="4" s="1"/>
  <c r="AG25" i="4"/>
  <c r="AF85" i="4"/>
  <c r="Z118" i="4"/>
  <c r="Z163" i="4" s="1"/>
  <c r="AB110" i="4"/>
  <c r="X22" i="4"/>
  <c r="X23" i="4" s="1"/>
  <c r="X24" i="4" s="1"/>
  <c r="X152" i="4" s="1"/>
  <c r="AC110" i="4"/>
  <c r="AD154" i="4" s="1"/>
  <c r="Z107" i="4"/>
  <c r="Y162" i="4"/>
  <c r="Y163" i="4"/>
  <c r="Y121" i="4"/>
  <c r="Y124" i="4" s="1"/>
  <c r="R190" i="4"/>
  <c r="R191" i="4" s="1"/>
  <c r="AE172" i="4"/>
  <c r="AF170" i="4"/>
  <c r="AF183" i="4"/>
  <c r="R197" i="4"/>
  <c r="AG108" i="4"/>
  <c r="AH108" i="4" s="1"/>
  <c r="AF166" i="4"/>
  <c r="AG166" i="4" s="1"/>
  <c r="V24" i="4"/>
  <c r="V152" i="4" s="1"/>
  <c r="W94" i="4"/>
  <c r="AA16" i="4"/>
  <c r="AB16" i="4" s="1"/>
  <c r="AA30" i="4"/>
  <c r="AA21" i="4"/>
  <c r="AB21" i="4" s="1"/>
  <c r="AA15" i="4"/>
  <c r="AA13" i="4"/>
  <c r="AA141" i="4"/>
  <c r="AA198" i="4"/>
  <c r="Y20" i="4"/>
  <c r="Y22" i="4" s="1"/>
  <c r="W24" i="4"/>
  <c r="W28" i="4" s="1"/>
  <c r="AB12" i="4"/>
  <c r="S197" i="4"/>
  <c r="S185" i="4"/>
  <c r="AD82" i="4"/>
  <c r="AC81" i="4"/>
  <c r="AC12" i="4" s="1"/>
  <c r="AC84" i="4" s="1"/>
  <c r="U197" i="4"/>
  <c r="Z18" i="4"/>
  <c r="Z14" i="4"/>
  <c r="J192" i="4"/>
  <c r="K186" i="4"/>
  <c r="K187" i="4" s="1"/>
  <c r="N187" i="4"/>
  <c r="R186" i="4"/>
  <c r="R187" i="4" s="1"/>
  <c r="S129" i="4"/>
  <c r="S132" i="4" s="1"/>
  <c r="R132" i="4"/>
  <c r="R133" i="4" s="1"/>
  <c r="T197" i="4"/>
  <c r="AD48" i="4" l="1"/>
  <c r="AC49" i="4"/>
  <c r="AD64" i="4"/>
  <c r="AC65" i="4"/>
  <c r="AD66" i="4"/>
  <c r="AE67" i="4"/>
  <c r="AD40" i="4"/>
  <c r="AC41" i="4"/>
  <c r="AE59" i="4"/>
  <c r="AD58" i="4"/>
  <c r="AD68" i="4"/>
  <c r="AC69" i="4"/>
  <c r="AD36" i="4"/>
  <c r="AC37" i="4"/>
  <c r="AD38" i="4"/>
  <c r="AE39" i="4"/>
  <c r="AD42" i="4"/>
  <c r="AE43" i="4"/>
  <c r="AD62" i="4"/>
  <c r="AE63" i="4"/>
  <c r="AD52" i="4"/>
  <c r="AC53" i="4"/>
  <c r="AD72" i="4"/>
  <c r="AC73" i="4"/>
  <c r="AE47" i="4"/>
  <c r="AD46" i="4"/>
  <c r="AE75" i="4"/>
  <c r="AD74" i="4"/>
  <c r="AD50" i="4"/>
  <c r="AE51" i="4"/>
  <c r="AD60" i="4"/>
  <c r="AC61" i="4"/>
  <c r="AD76" i="4"/>
  <c r="AC77" i="4"/>
  <c r="AE35" i="4"/>
  <c r="AD34" i="4"/>
  <c r="AD78" i="4"/>
  <c r="AD70" i="4"/>
  <c r="AE71" i="4"/>
  <c r="AD54" i="4"/>
  <c r="AE55" i="4"/>
  <c r="AD44" i="4"/>
  <c r="AC45" i="4"/>
  <c r="AD56" i="4"/>
  <c r="AC57" i="4"/>
  <c r="AH176" i="4"/>
  <c r="AI25" i="4"/>
  <c r="AG85" i="4"/>
  <c r="AH85" i="4"/>
  <c r="Z121" i="4"/>
  <c r="Z124" i="4" s="1"/>
  <c r="AD110" i="4"/>
  <c r="AE154" i="4" s="1"/>
  <c r="AA107" i="4"/>
  <c r="Z162" i="4"/>
  <c r="AH183" i="4"/>
  <c r="AH170" i="4"/>
  <c r="AF172" i="4"/>
  <c r="AG170" i="4"/>
  <c r="AG172" i="4" s="1"/>
  <c r="AI108" i="4"/>
  <c r="AH166" i="4"/>
  <c r="AB13" i="4"/>
  <c r="AB14" i="4" s="1"/>
  <c r="AA118" i="4"/>
  <c r="X167" i="4"/>
  <c r="X185" i="4" s="1"/>
  <c r="V167" i="4"/>
  <c r="V185" i="4" s="1"/>
  <c r="W152" i="4"/>
  <c r="W167" i="4" s="1"/>
  <c r="V28" i="4"/>
  <c r="Z19" i="4"/>
  <c r="Z89" i="4" s="1"/>
  <c r="AA18" i="4"/>
  <c r="AB15" i="4"/>
  <c r="AB18" i="4" s="1"/>
  <c r="X28" i="4"/>
  <c r="T129" i="4"/>
  <c r="U129" i="4" s="1"/>
  <c r="S133" i="4"/>
  <c r="K192" i="4"/>
  <c r="L186" i="4"/>
  <c r="L187" i="4" s="1"/>
  <c r="L192" i="4" s="1"/>
  <c r="AC30" i="4"/>
  <c r="AC16" i="4"/>
  <c r="AC15" i="4"/>
  <c r="AC13" i="4"/>
  <c r="AC21" i="4"/>
  <c r="AC141" i="4"/>
  <c r="AC198" i="4"/>
  <c r="AB91" i="4"/>
  <c r="AB198" i="4"/>
  <c r="Z20" i="4"/>
  <c r="AD81" i="4"/>
  <c r="AD12" i="4" s="1"/>
  <c r="AD84" i="4" s="1"/>
  <c r="AE82" i="4"/>
  <c r="N192" i="4"/>
  <c r="O186" i="4"/>
  <c r="O187" i="4" s="1"/>
  <c r="Y23" i="4"/>
  <c r="Y24" i="4" s="1"/>
  <c r="Y152" i="4" s="1"/>
  <c r="Y167" i="4" s="1"/>
  <c r="Y185" i="4" s="1"/>
  <c r="AA14" i="4"/>
  <c r="AE54" i="4" l="1"/>
  <c r="AF55" i="4"/>
  <c r="AE76" i="4"/>
  <c r="AD77" i="4"/>
  <c r="AE52" i="4"/>
  <c r="AD53" i="4"/>
  <c r="AF59" i="4"/>
  <c r="AE58" i="4"/>
  <c r="AE56" i="4"/>
  <c r="AD57" i="4"/>
  <c r="AF63" i="4"/>
  <c r="AE62" i="4"/>
  <c r="AF39" i="4"/>
  <c r="AE38" i="4"/>
  <c r="AE60" i="4"/>
  <c r="AD61" i="4"/>
  <c r="AE72" i="4"/>
  <c r="AD73" i="4"/>
  <c r="AE68" i="4"/>
  <c r="AD69" i="4"/>
  <c r="AE64" i="4"/>
  <c r="AD65" i="4"/>
  <c r="AE70" i="4"/>
  <c r="AF71" i="4"/>
  <c r="AF35" i="4"/>
  <c r="AE34" i="4"/>
  <c r="AE78" i="4"/>
  <c r="AF75" i="4"/>
  <c r="AE74" i="4"/>
  <c r="AE40" i="4"/>
  <c r="AD41" i="4"/>
  <c r="AE44" i="4"/>
  <c r="AD45" i="4"/>
  <c r="AE50" i="4"/>
  <c r="AF51" i="4"/>
  <c r="AE42" i="4"/>
  <c r="AF43" i="4"/>
  <c r="AF67" i="4"/>
  <c r="AE66" i="4"/>
  <c r="AF47" i="4"/>
  <c r="AE46" i="4"/>
  <c r="AE36" i="4"/>
  <c r="AD37" i="4"/>
  <c r="AE48" i="4"/>
  <c r="AD49" i="4"/>
  <c r="AJ25" i="4"/>
  <c r="AI176" i="4"/>
  <c r="AI183" i="4" s="1"/>
  <c r="W185" i="4"/>
  <c r="W190" i="4"/>
  <c r="W191" i="4" s="1"/>
  <c r="AI85" i="4"/>
  <c r="U132" i="4"/>
  <c r="U133" i="4" s="1"/>
  <c r="V129" i="4"/>
  <c r="W129" i="4" s="1"/>
  <c r="W132" i="4" s="1"/>
  <c r="W133" i="4" s="1"/>
  <c r="AA19" i="4"/>
  <c r="AA89" i="4" s="1"/>
  <c r="AE110" i="4"/>
  <c r="AF154" i="4" s="1"/>
  <c r="AG154" i="4" s="1"/>
  <c r="AA163" i="4"/>
  <c r="AB163" i="4" s="1"/>
  <c r="AB118" i="4"/>
  <c r="AB121" i="4" s="1"/>
  <c r="AB124" i="4" s="1"/>
  <c r="AA121" i="4"/>
  <c r="AA124" i="4" s="1"/>
  <c r="AC118" i="4"/>
  <c r="AC107" i="4"/>
  <c r="V197" i="4"/>
  <c r="AH172" i="4"/>
  <c r="AI170" i="4"/>
  <c r="Z22" i="4"/>
  <c r="Z23" i="4" s="1"/>
  <c r="Z24" i="4" s="1"/>
  <c r="Z152" i="4" s="1"/>
  <c r="Z167" i="4" s="1"/>
  <c r="Z185" i="4" s="1"/>
  <c r="AJ108" i="4"/>
  <c r="AI166" i="4"/>
  <c r="AB107" i="4"/>
  <c r="AA162" i="4"/>
  <c r="AB162" i="4" s="1"/>
  <c r="AB90" i="4"/>
  <c r="AD30" i="4"/>
  <c r="AD16" i="4"/>
  <c r="AD21" i="4"/>
  <c r="AD13" i="4"/>
  <c r="AD14" i="4" s="1"/>
  <c r="AD15" i="4"/>
  <c r="AD141" i="4"/>
  <c r="AD198" i="4"/>
  <c r="AB19" i="4"/>
  <c r="AB89" i="4" s="1"/>
  <c r="AB88" i="4"/>
  <c r="T132" i="4"/>
  <c r="T133" i="4" s="1"/>
  <c r="AC18" i="4"/>
  <c r="W197" i="4"/>
  <c r="AC14" i="4"/>
  <c r="AA20" i="4"/>
  <c r="AB20" i="4" s="1"/>
  <c r="Y28" i="4"/>
  <c r="O192" i="4"/>
  <c r="P186" i="4"/>
  <c r="P187" i="4" s="1"/>
  <c r="P105" i="4" s="1"/>
  <c r="AF82" i="4"/>
  <c r="AE81" i="4"/>
  <c r="AE12" i="4" s="1"/>
  <c r="AE84" i="4" s="1"/>
  <c r="AF48" i="4" l="1"/>
  <c r="AE49" i="4"/>
  <c r="AF46" i="4"/>
  <c r="AH47" i="4"/>
  <c r="AF44" i="4"/>
  <c r="AE45" i="4"/>
  <c r="AF74" i="4"/>
  <c r="AH75" i="4"/>
  <c r="AH71" i="4"/>
  <c r="AF70" i="4"/>
  <c r="AF62" i="4"/>
  <c r="AH63" i="4"/>
  <c r="AH51" i="4"/>
  <c r="AF50" i="4"/>
  <c r="AF68" i="4"/>
  <c r="AE69" i="4"/>
  <c r="AF60" i="4"/>
  <c r="AE61" i="4"/>
  <c r="AF58" i="4"/>
  <c r="AH59" i="4"/>
  <c r="AF76" i="4"/>
  <c r="AE77" i="4"/>
  <c r="AF36" i="4"/>
  <c r="AE37" i="4"/>
  <c r="AH67" i="4"/>
  <c r="AF66" i="4"/>
  <c r="AF40" i="4"/>
  <c r="AE41" i="4"/>
  <c r="AF54" i="4"/>
  <c r="AH55" i="4"/>
  <c r="AF42" i="4"/>
  <c r="AH43" i="4"/>
  <c r="AF34" i="4"/>
  <c r="AH35" i="4"/>
  <c r="AF78" i="4"/>
  <c r="AF64" i="4"/>
  <c r="AE65" i="4"/>
  <c r="AF72" i="4"/>
  <c r="AE73" i="4"/>
  <c r="AH39" i="4"/>
  <c r="AF38" i="4"/>
  <c r="AF56" i="4"/>
  <c r="AE57" i="4"/>
  <c r="AF52" i="4"/>
  <c r="AE53" i="4"/>
  <c r="AK25" i="4"/>
  <c r="AK176" i="4" s="1"/>
  <c r="AJ176" i="4"/>
  <c r="AJ183" i="4" s="1"/>
  <c r="AL25" i="4"/>
  <c r="AJ85" i="4"/>
  <c r="V132" i="4"/>
  <c r="V133" i="4" s="1"/>
  <c r="AD118" i="4"/>
  <c r="AC163" i="4"/>
  <c r="AC121" i="4"/>
  <c r="AC124" i="4" s="1"/>
  <c r="AK108" i="4"/>
  <c r="AJ166" i="4"/>
  <c r="AK183" i="4"/>
  <c r="AI172" i="4"/>
  <c r="AJ170" i="4"/>
  <c r="AD107" i="4"/>
  <c r="AC162" i="4"/>
  <c r="X129" i="4"/>
  <c r="X132" i="4" s="1"/>
  <c r="X133" i="4" s="1"/>
  <c r="AD18" i="4"/>
  <c r="AD19" i="4" s="1"/>
  <c r="AD89" i="4" s="1"/>
  <c r="AA22" i="4"/>
  <c r="AA23" i="4" s="1"/>
  <c r="AA24" i="4" s="1"/>
  <c r="AA152" i="4" s="1"/>
  <c r="AA167" i="4" s="1"/>
  <c r="AA185" i="4" s="1"/>
  <c r="Z28" i="4"/>
  <c r="Y197" i="4"/>
  <c r="Q186" i="4"/>
  <c r="Q187" i="4" s="1"/>
  <c r="AC20" i="4"/>
  <c r="AF81" i="4"/>
  <c r="AF12" i="4" s="1"/>
  <c r="AH82" i="4"/>
  <c r="AG82" i="4"/>
  <c r="X197" i="4"/>
  <c r="AC19" i="4"/>
  <c r="AC89" i="4" s="1"/>
  <c r="AE30" i="4"/>
  <c r="AE13" i="4"/>
  <c r="AE16" i="4"/>
  <c r="AE21" i="4"/>
  <c r="AE15" i="4"/>
  <c r="AE141" i="4"/>
  <c r="AE198" i="4"/>
  <c r="AB22" i="4"/>
  <c r="AH52" i="4" l="1"/>
  <c r="AF53" i="4"/>
  <c r="AI39" i="4"/>
  <c r="AH38" i="4"/>
  <c r="AH64" i="4"/>
  <c r="AF65" i="4"/>
  <c r="AI43" i="4"/>
  <c r="AH42" i="4"/>
  <c r="AI59" i="4"/>
  <c r="AH58" i="4"/>
  <c r="AI63" i="4"/>
  <c r="AH62" i="4"/>
  <c r="AI75" i="4"/>
  <c r="AH74" i="4"/>
  <c r="AH46" i="4"/>
  <c r="AI47" i="4"/>
  <c r="AH40" i="4"/>
  <c r="AF41" i="4"/>
  <c r="AH36" i="4"/>
  <c r="AF37" i="4"/>
  <c r="AH68" i="4"/>
  <c r="AF69" i="4"/>
  <c r="AH56" i="4"/>
  <c r="AF57" i="4"/>
  <c r="AH72" i="4"/>
  <c r="AF73" i="4"/>
  <c r="AI35" i="4"/>
  <c r="AH34" i="4"/>
  <c r="AH78" i="4"/>
  <c r="AI55" i="4"/>
  <c r="AH54" i="4"/>
  <c r="AH66" i="4"/>
  <c r="AI67" i="4"/>
  <c r="AH76" i="4"/>
  <c r="AF77" i="4"/>
  <c r="AH60" i="4"/>
  <c r="AF61" i="4"/>
  <c r="AI51" i="4"/>
  <c r="AH50" i="4"/>
  <c r="AI71" i="4"/>
  <c r="AH70" i="4"/>
  <c r="AH44" i="4"/>
  <c r="AF45" i="4"/>
  <c r="AH48" i="4"/>
  <c r="AF49" i="4"/>
  <c r="AK85" i="4"/>
  <c r="AL85" i="4" s="1"/>
  <c r="AG12" i="4"/>
  <c r="AG198" i="4" s="1"/>
  <c r="AF84" i="4"/>
  <c r="AJ172" i="4"/>
  <c r="AK170" i="4"/>
  <c r="AK172" i="4" s="1"/>
  <c r="AE107" i="4"/>
  <c r="AD162" i="4"/>
  <c r="AD163" i="4"/>
  <c r="AD121" i="4"/>
  <c r="AD124" i="4" s="1"/>
  <c r="AE14" i="4"/>
  <c r="AE118" i="4"/>
  <c r="AL176" i="4"/>
  <c r="AL183" i="4" s="1"/>
  <c r="AL108" i="4"/>
  <c r="AK166" i="4"/>
  <c r="AL166" i="4" s="1"/>
  <c r="AB152" i="4"/>
  <c r="AB167" i="4" s="1"/>
  <c r="AB185" i="4" s="1"/>
  <c r="Y129" i="4"/>
  <c r="Z129" i="4" s="1"/>
  <c r="AF110" i="4"/>
  <c r="AB23" i="4"/>
  <c r="AB94" i="4" s="1"/>
  <c r="AC22" i="4"/>
  <c r="AC23" i="4" s="1"/>
  <c r="AC24" i="4" s="1"/>
  <c r="AC152" i="4" s="1"/>
  <c r="AA28" i="4"/>
  <c r="AF15" i="4"/>
  <c r="AF13" i="4"/>
  <c r="AF21" i="4"/>
  <c r="AG21" i="4" s="1"/>
  <c r="AF16" i="4"/>
  <c r="AG16" i="4" s="1"/>
  <c r="AF30" i="4"/>
  <c r="AF198" i="4"/>
  <c r="AD20" i="4"/>
  <c r="AD22" i="4" s="1"/>
  <c r="AE18" i="4"/>
  <c r="AE19" i="4" s="1"/>
  <c r="AE89" i="4" s="1"/>
  <c r="S186" i="4"/>
  <c r="W186" i="4" s="1"/>
  <c r="W187" i="4" s="1"/>
  <c r="Q105" i="4"/>
  <c r="Z197" i="4"/>
  <c r="AI82" i="4"/>
  <c r="AH81" i="4"/>
  <c r="AH12" i="4" s="1"/>
  <c r="AH84" i="4" s="1"/>
  <c r="AG91" i="4" l="1"/>
  <c r="AI48" i="4"/>
  <c r="AH49" i="4"/>
  <c r="AJ71" i="4"/>
  <c r="AI70" i="4"/>
  <c r="AI60" i="4"/>
  <c r="AH61" i="4"/>
  <c r="AI46" i="4"/>
  <c r="AJ47" i="4"/>
  <c r="AI34" i="4"/>
  <c r="AJ35" i="4"/>
  <c r="AI78" i="4"/>
  <c r="AI56" i="4"/>
  <c r="AH57" i="4"/>
  <c r="AI36" i="4"/>
  <c r="AH37" i="4"/>
  <c r="AJ63" i="4"/>
  <c r="AI62" i="4"/>
  <c r="AJ43" i="4"/>
  <c r="AI42" i="4"/>
  <c r="AI38" i="4"/>
  <c r="AJ39" i="4"/>
  <c r="AI44" i="4"/>
  <c r="AH45" i="4"/>
  <c r="AJ51" i="4"/>
  <c r="AI50" i="4"/>
  <c r="AI76" i="4"/>
  <c r="AH77" i="4"/>
  <c r="AI54" i="4"/>
  <c r="AJ55" i="4"/>
  <c r="AJ67" i="4"/>
  <c r="AI66" i="4"/>
  <c r="AI72" i="4"/>
  <c r="AH73" i="4"/>
  <c r="AI68" i="4"/>
  <c r="AH69" i="4"/>
  <c r="AI40" i="4"/>
  <c r="AH41" i="4"/>
  <c r="AI74" i="4"/>
  <c r="AJ75" i="4"/>
  <c r="AI58" i="4"/>
  <c r="AJ59" i="4"/>
  <c r="AI64" i="4"/>
  <c r="AH65" i="4"/>
  <c r="AI52" i="4"/>
  <c r="AH53" i="4"/>
  <c r="AL170" i="4"/>
  <c r="AL172" i="4" s="1"/>
  <c r="AF14" i="4"/>
  <c r="AF118" i="4"/>
  <c r="Y132" i="4"/>
  <c r="Y133" i="4" s="1"/>
  <c r="AE163" i="4"/>
  <c r="AE121" i="4"/>
  <c r="AE124" i="4" s="1"/>
  <c r="AF141" i="4"/>
  <c r="AH154" i="4"/>
  <c r="AH110" i="4" s="1"/>
  <c r="AI154" i="4" s="1"/>
  <c r="AF107" i="4"/>
  <c r="AE162" i="4"/>
  <c r="AC167" i="4"/>
  <c r="AC185" i="4" s="1"/>
  <c r="AG110" i="4"/>
  <c r="AA129" i="4"/>
  <c r="Z132" i="4"/>
  <c r="Z133" i="4" s="1"/>
  <c r="AB24" i="4"/>
  <c r="AB28" i="4" s="1"/>
  <c r="AG13" i="4"/>
  <c r="AG14" i="4" s="1"/>
  <c r="AG88" i="4" s="1"/>
  <c r="AF18" i="4"/>
  <c r="AC28" i="4"/>
  <c r="AG15" i="4"/>
  <c r="AD23" i="4"/>
  <c r="AD24" i="4" s="1"/>
  <c r="AD152" i="4" s="1"/>
  <c r="AD167" i="4" s="1"/>
  <c r="AD185" i="4" s="1"/>
  <c r="R105" i="4"/>
  <c r="Q106" i="4"/>
  <c r="R106" i="4" s="1"/>
  <c r="AE20" i="4"/>
  <c r="AE22" i="4" s="1"/>
  <c r="AH30" i="4"/>
  <c r="AH13" i="4"/>
  <c r="AH21" i="4"/>
  <c r="AH15" i="4"/>
  <c r="AH16" i="4"/>
  <c r="AH198" i="4"/>
  <c r="AJ82" i="4"/>
  <c r="AI81" i="4"/>
  <c r="AI12" i="4" s="1"/>
  <c r="AI84" i="4" s="1"/>
  <c r="S187" i="4"/>
  <c r="S105" i="4" s="1"/>
  <c r="AJ52" i="4" l="1"/>
  <c r="AI53" i="4"/>
  <c r="AJ40" i="4"/>
  <c r="AI41" i="4"/>
  <c r="AJ72" i="4"/>
  <c r="AI73" i="4"/>
  <c r="AJ50" i="4"/>
  <c r="AK51" i="4"/>
  <c r="AK50" i="4" s="1"/>
  <c r="AK63" i="4"/>
  <c r="AK62" i="4" s="1"/>
  <c r="AJ62" i="4"/>
  <c r="AJ56" i="4"/>
  <c r="AI57" i="4"/>
  <c r="AK47" i="4"/>
  <c r="AK46" i="4" s="1"/>
  <c r="AJ46" i="4"/>
  <c r="AK75" i="4"/>
  <c r="AK74" i="4" s="1"/>
  <c r="AJ74" i="4"/>
  <c r="AJ70" i="4"/>
  <c r="AK71" i="4"/>
  <c r="AK70" i="4" s="1"/>
  <c r="AJ64" i="4"/>
  <c r="AI65" i="4"/>
  <c r="AJ68" i="4"/>
  <c r="AI69" i="4"/>
  <c r="AJ66" i="4"/>
  <c r="AK67" i="4"/>
  <c r="AK66" i="4" s="1"/>
  <c r="AJ76" i="4"/>
  <c r="AI77" i="4"/>
  <c r="AJ44" i="4"/>
  <c r="AI45" i="4"/>
  <c r="AJ42" i="4"/>
  <c r="AK43" i="4"/>
  <c r="AK42" i="4" s="1"/>
  <c r="AJ36" i="4"/>
  <c r="AI37" i="4"/>
  <c r="AK35" i="4"/>
  <c r="AJ34" i="4"/>
  <c r="AJ78" i="4"/>
  <c r="AK59" i="4"/>
  <c r="AK58" i="4" s="1"/>
  <c r="AJ58" i="4"/>
  <c r="AJ54" i="4"/>
  <c r="AK55" i="4"/>
  <c r="AK54" i="4" s="1"/>
  <c r="AK39" i="4"/>
  <c r="AK38" i="4" s="1"/>
  <c r="AJ38" i="4"/>
  <c r="AJ60" i="4"/>
  <c r="AI61" i="4"/>
  <c r="AJ48" i="4"/>
  <c r="AI49" i="4"/>
  <c r="AF19" i="4"/>
  <c r="AF89" i="4" s="1"/>
  <c r="AH14" i="4"/>
  <c r="AH118" i="4"/>
  <c r="AH107" i="4"/>
  <c r="AF163" i="4"/>
  <c r="AG163" i="4" s="1"/>
  <c r="AF121" i="4"/>
  <c r="AF124" i="4" s="1"/>
  <c r="AG118" i="4"/>
  <c r="AG121" i="4" s="1"/>
  <c r="AG124" i="4" s="1"/>
  <c r="AG107" i="4"/>
  <c r="AF162" i="4"/>
  <c r="AG162" i="4" s="1"/>
  <c r="AB129" i="4"/>
  <c r="AB132" i="4" s="1"/>
  <c r="AB133" i="4" s="1"/>
  <c r="AA132" i="4"/>
  <c r="AA133" i="4" s="1"/>
  <c r="Q188" i="4"/>
  <c r="AE23" i="4"/>
  <c r="AE24" i="4" s="1"/>
  <c r="AE152" i="4" s="1"/>
  <c r="AE167" i="4" s="1"/>
  <c r="AE185" i="4" s="1"/>
  <c r="T186" i="4"/>
  <c r="T187" i="4" s="1"/>
  <c r="U186" i="4" s="1"/>
  <c r="U187" i="4" s="1"/>
  <c r="V186" i="4" s="1"/>
  <c r="V187" i="4" s="1"/>
  <c r="X186" i="4" s="1"/>
  <c r="R188" i="4"/>
  <c r="R109" i="4"/>
  <c r="R115" i="4" s="1"/>
  <c r="R134" i="4" s="1"/>
  <c r="AF20" i="4"/>
  <c r="AI16" i="4"/>
  <c r="AI30" i="4"/>
  <c r="AI13" i="4"/>
  <c r="AI21" i="4"/>
  <c r="AI15" i="4"/>
  <c r="AI198" i="4"/>
  <c r="AH18" i="4"/>
  <c r="Q109" i="4"/>
  <c r="Q115" i="4" s="1"/>
  <c r="Q134" i="4" s="1"/>
  <c r="AD28" i="4"/>
  <c r="AK82" i="4"/>
  <c r="AJ81" i="4"/>
  <c r="AJ12" i="4" s="1"/>
  <c r="AJ84" i="4" s="1"/>
  <c r="AB190" i="4"/>
  <c r="AB191" i="4" s="1"/>
  <c r="AB197" i="4"/>
  <c r="AA197" i="4"/>
  <c r="AG90" i="4"/>
  <c r="AG18" i="4"/>
  <c r="AG19" i="4" s="1"/>
  <c r="AG89" i="4" s="1"/>
  <c r="AK76" i="4" l="1"/>
  <c r="AK77" i="4" s="1"/>
  <c r="AJ77" i="4"/>
  <c r="AK48" i="4"/>
  <c r="AK49" i="4" s="1"/>
  <c r="AJ49" i="4"/>
  <c r="AK36" i="4"/>
  <c r="AK37" i="4" s="1"/>
  <c r="AJ37" i="4"/>
  <c r="AK44" i="4"/>
  <c r="AK45" i="4" s="1"/>
  <c r="AJ45" i="4"/>
  <c r="AK64" i="4"/>
  <c r="AK65" i="4" s="1"/>
  <c r="AJ65" i="4"/>
  <c r="AK56" i="4"/>
  <c r="AK57" i="4" s="1"/>
  <c r="AJ57" i="4"/>
  <c r="AK40" i="4"/>
  <c r="AK41" i="4" s="1"/>
  <c r="AJ41" i="4"/>
  <c r="AK60" i="4"/>
  <c r="AK61" i="4" s="1"/>
  <c r="AJ61" i="4"/>
  <c r="AK34" i="4"/>
  <c r="AK78" i="4"/>
  <c r="AK68" i="4"/>
  <c r="AK69" i="4" s="1"/>
  <c r="AJ69" i="4"/>
  <c r="AK72" i="4"/>
  <c r="AK73" i="4" s="1"/>
  <c r="AJ73" i="4"/>
  <c r="AK52" i="4"/>
  <c r="AK53" i="4" s="1"/>
  <c r="AJ53" i="4"/>
  <c r="AH19" i="4"/>
  <c r="AH89" i="4" s="1"/>
  <c r="AH162" i="4"/>
  <c r="AB186" i="4"/>
  <c r="AB187" i="4" s="1"/>
  <c r="X187" i="4"/>
  <c r="Y186" i="4" s="1"/>
  <c r="Y187" i="4" s="1"/>
  <c r="Z186" i="4" s="1"/>
  <c r="Z187" i="4" s="1"/>
  <c r="AA186" i="4" s="1"/>
  <c r="AA187" i="4" s="1"/>
  <c r="AC186" i="4" s="1"/>
  <c r="AI118" i="4"/>
  <c r="AH163" i="4"/>
  <c r="AH121" i="4"/>
  <c r="AH124" i="4" s="1"/>
  <c r="AI14" i="4"/>
  <c r="AI107" i="4"/>
  <c r="AC129" i="4"/>
  <c r="AC132" i="4" s="1"/>
  <c r="AC133" i="4" s="1"/>
  <c r="AH20" i="4"/>
  <c r="AI110" i="4"/>
  <c r="AJ154" i="4" s="1"/>
  <c r="AH141" i="4"/>
  <c r="U105" i="4"/>
  <c r="T105" i="4"/>
  <c r="AJ15" i="4"/>
  <c r="AJ16" i="4"/>
  <c r="AJ30" i="4"/>
  <c r="AJ13" i="4"/>
  <c r="AJ21" i="4"/>
  <c r="AJ198" i="4"/>
  <c r="AE28" i="4"/>
  <c r="AD197" i="4"/>
  <c r="AC197" i="4"/>
  <c r="AK81" i="4"/>
  <c r="AK12" i="4" s="1"/>
  <c r="AL82" i="4"/>
  <c r="AI18" i="4"/>
  <c r="AF22" i="4"/>
  <c r="AG20" i="4"/>
  <c r="AG22" i="4" s="1"/>
  <c r="S106" i="4"/>
  <c r="S109" i="4" s="1"/>
  <c r="S115" i="4" s="1"/>
  <c r="S134" i="4" s="1"/>
  <c r="AI19" i="4" l="1"/>
  <c r="AI89" i="4" s="1"/>
  <c r="AL12" i="4"/>
  <c r="AL91" i="4" s="1"/>
  <c r="AK84" i="4"/>
  <c r="AH22" i="4"/>
  <c r="AH23" i="4" s="1"/>
  <c r="AH24" i="4" s="1"/>
  <c r="AH152" i="4" s="1"/>
  <c r="AJ118" i="4"/>
  <c r="AG186" i="4"/>
  <c r="AC187" i="4"/>
  <c r="AD186" i="4" s="1"/>
  <c r="AD187" i="4" s="1"/>
  <c r="AE186" i="4" s="1"/>
  <c r="AE187" i="4" s="1"/>
  <c r="AF186" i="4" s="1"/>
  <c r="AJ107" i="4"/>
  <c r="AI162" i="4"/>
  <c r="AI163" i="4"/>
  <c r="AI121" i="4"/>
  <c r="AI124" i="4" s="1"/>
  <c r="AD129" i="4"/>
  <c r="AE129" i="4" s="1"/>
  <c r="U106" i="4"/>
  <c r="U109" i="4" s="1"/>
  <c r="U115" i="4" s="1"/>
  <c r="AJ110" i="4"/>
  <c r="AK154" i="4" s="1"/>
  <c r="AL154" i="4" s="1"/>
  <c r="S188" i="4"/>
  <c r="AL198" i="4"/>
  <c r="V105" i="4"/>
  <c r="AJ18" i="4"/>
  <c r="AI20" i="4"/>
  <c r="AI22" i="4" s="1"/>
  <c r="AI141" i="4"/>
  <c r="AK13" i="4"/>
  <c r="AK15" i="4"/>
  <c r="AL15" i="4" s="1"/>
  <c r="AK16" i="4"/>
  <c r="AL16" i="4" s="1"/>
  <c r="AK21" i="4"/>
  <c r="AL21" i="4" s="1"/>
  <c r="AK30" i="4"/>
  <c r="AK198" i="4"/>
  <c r="AF23" i="4"/>
  <c r="AG23" i="4" s="1"/>
  <c r="AG94" i="4" s="1"/>
  <c r="AJ14" i="4"/>
  <c r="T106" i="4"/>
  <c r="T109" i="4" s="1"/>
  <c r="T115" i="4" s="1"/>
  <c r="T134" i="4" s="1"/>
  <c r="AE197" i="4"/>
  <c r="AK107" i="4" l="1"/>
  <c r="AJ162" i="4"/>
  <c r="AL13" i="4"/>
  <c r="AL14" i="4" s="1"/>
  <c r="AK118" i="4"/>
  <c r="AD132" i="4"/>
  <c r="AD133" i="4" s="1"/>
  <c r="AJ163" i="4"/>
  <c r="AJ121" i="4"/>
  <c r="AJ124" i="4" s="1"/>
  <c r="AH167" i="4"/>
  <c r="AH185" i="4" s="1"/>
  <c r="AE132" i="4"/>
  <c r="AE133" i="4" s="1"/>
  <c r="W105" i="4"/>
  <c r="V106" i="4"/>
  <c r="W106" i="4" s="1"/>
  <c r="AJ19" i="4"/>
  <c r="AJ89" i="4" s="1"/>
  <c r="T188" i="4"/>
  <c r="AI23" i="4"/>
  <c r="AI24" i="4" s="1"/>
  <c r="AI152" i="4" s="1"/>
  <c r="AI167" i="4" s="1"/>
  <c r="AI185" i="4" s="1"/>
  <c r="AL88" i="4"/>
  <c r="AJ141" i="4"/>
  <c r="AJ20" i="4"/>
  <c r="AF24" i="4"/>
  <c r="AF152" i="4" s="1"/>
  <c r="AK14" i="4"/>
  <c r="AK18" i="4"/>
  <c r="U188" i="4"/>
  <c r="AH28" i="4"/>
  <c r="AG24" i="4"/>
  <c r="AG28" i="4" s="1"/>
  <c r="AL18" i="4"/>
  <c r="AL90" i="4"/>
  <c r="AL19" i="4" l="1"/>
  <c r="AL89" i="4" s="1"/>
  <c r="AK163" i="4"/>
  <c r="AL163" i="4" s="1"/>
  <c r="AK121" i="4"/>
  <c r="AK124" i="4" s="1"/>
  <c r="AL118" i="4"/>
  <c r="AL121" i="4" s="1"/>
  <c r="AL124" i="4" s="1"/>
  <c r="AJ22" i="4"/>
  <c r="AJ23" i="4" s="1"/>
  <c r="AJ24" i="4" s="1"/>
  <c r="AJ152" i="4" s="1"/>
  <c r="AJ167" i="4" s="1"/>
  <c r="AJ185" i="4" s="1"/>
  <c r="AL107" i="4"/>
  <c r="AK162" i="4"/>
  <c r="AL162" i="4" s="1"/>
  <c r="AF167" i="4"/>
  <c r="AF185" i="4" s="1"/>
  <c r="AF187" i="4" s="1"/>
  <c r="AH186" i="4" s="1"/>
  <c r="AL186" i="4" s="1"/>
  <c r="AG152" i="4"/>
  <c r="AG167" i="4" s="1"/>
  <c r="AG185" i="4" s="1"/>
  <c r="AG187" i="4" s="1"/>
  <c r="V109" i="4"/>
  <c r="V115" i="4" s="1"/>
  <c r="AK110" i="4"/>
  <c r="AL110" i="4" s="1"/>
  <c r="W109" i="4"/>
  <c r="W115" i="4" s="1"/>
  <c r="AK19" i="4"/>
  <c r="AK89" i="4" s="1"/>
  <c r="AI28" i="4"/>
  <c r="AK20" i="4"/>
  <c r="AL20" i="4" s="1"/>
  <c r="U134" i="4"/>
  <c r="X105" i="4"/>
  <c r="AF129" i="4"/>
  <c r="AF28" i="4"/>
  <c r="AL22" i="4" l="1"/>
  <c r="AH187" i="4"/>
  <c r="AI186" i="4" s="1"/>
  <c r="AI187" i="4" s="1"/>
  <c r="AJ186" i="4" s="1"/>
  <c r="AJ187" i="4" s="1"/>
  <c r="AK186" i="4" s="1"/>
  <c r="AG129" i="4"/>
  <c r="AF132" i="4"/>
  <c r="AF133" i="4" s="1"/>
  <c r="X106" i="4"/>
  <c r="X109" i="4" s="1"/>
  <c r="X115" i="4" s="1"/>
  <c r="V188" i="4"/>
  <c r="AJ28" i="4"/>
  <c r="AK141" i="4"/>
  <c r="AI197" i="4"/>
  <c r="W188" i="4"/>
  <c r="W134" i="4"/>
  <c r="AH197" i="4"/>
  <c r="Y105" i="4"/>
  <c r="V134" i="4"/>
  <c r="AK22" i="4"/>
  <c r="AG132" i="4" l="1"/>
  <c r="AG133" i="4" s="1"/>
  <c r="AH129" i="4"/>
  <c r="Y106" i="4"/>
  <c r="Y109" i="4" s="1"/>
  <c r="Y115" i="4" s="1"/>
  <c r="Z105" i="4"/>
  <c r="AF197" i="4"/>
  <c r="X188" i="4"/>
  <c r="AK23" i="4"/>
  <c r="AL23" i="4" s="1"/>
  <c r="AG190" i="4"/>
  <c r="AG191" i="4" s="1"/>
  <c r="AG197" i="4"/>
  <c r="AH132" i="4" l="1"/>
  <c r="AH133" i="4" s="1"/>
  <c r="AI129" i="4"/>
  <c r="Z106" i="4"/>
  <c r="Z109" i="4" s="1"/>
  <c r="Z115" i="4" s="1"/>
  <c r="X134" i="4"/>
  <c r="AL94" i="4"/>
  <c r="AL24" i="4"/>
  <c r="AL28" i="4" s="1"/>
  <c r="Y188" i="4"/>
  <c r="AA105" i="4"/>
  <c r="AK24" i="4"/>
  <c r="AK152" i="4" s="1"/>
  <c r="AJ197" i="4"/>
  <c r="AK167" i="4" l="1"/>
  <c r="AK185" i="4" s="1"/>
  <c r="AK187" i="4" s="1"/>
  <c r="AL152" i="4"/>
  <c r="AL167" i="4" s="1"/>
  <c r="AJ129" i="4"/>
  <c r="AJ132" i="4" s="1"/>
  <c r="AJ133" i="4" s="1"/>
  <c r="AI132" i="4"/>
  <c r="AI133" i="4" s="1"/>
  <c r="AA106" i="4"/>
  <c r="AB106" i="4" s="1"/>
  <c r="AB105" i="4"/>
  <c r="Y134" i="4"/>
  <c r="AK28" i="4"/>
  <c r="Z188" i="4"/>
  <c r="AL185" i="4" l="1"/>
  <c r="AL187" i="4" s="1"/>
  <c r="C238" i="4"/>
  <c r="AB109" i="4"/>
  <c r="AB115" i="4" s="1"/>
  <c r="AK129" i="4"/>
  <c r="AL129" i="4" s="1"/>
  <c r="AL132" i="4" s="1"/>
  <c r="AL133" i="4" s="1"/>
  <c r="AA109" i="4"/>
  <c r="AA115" i="4" s="1"/>
  <c r="Z134" i="4"/>
  <c r="AC105" i="4"/>
  <c r="AK132" i="4" l="1"/>
  <c r="AK133" i="4" s="1"/>
  <c r="AC106" i="4"/>
  <c r="AC109" i="4" s="1"/>
  <c r="AC115" i="4" s="1"/>
  <c r="AB134" i="4"/>
  <c r="AA134" i="4"/>
  <c r="AA188" i="4"/>
  <c r="AK197" i="4"/>
  <c r="AD105" i="4"/>
  <c r="AB188" i="4"/>
  <c r="AL190" i="4"/>
  <c r="AL191" i="4" s="1"/>
  <c r="C239" i="4" s="1"/>
  <c r="AL197" i="4"/>
  <c r="AD106" i="4" l="1"/>
  <c r="AD109" i="4" s="1"/>
  <c r="AD115" i="4" s="1"/>
  <c r="AC134" i="4"/>
  <c r="AE105" i="4"/>
  <c r="AE106" i="4" l="1"/>
  <c r="AE109" i="4" s="1"/>
  <c r="AE115" i="4" s="1"/>
  <c r="AC188" i="4"/>
  <c r="AD134" i="4"/>
  <c r="AF105" i="4"/>
  <c r="AF106" i="4" l="1"/>
  <c r="AG106" i="4" s="1"/>
  <c r="AG105" i="4"/>
  <c r="AD188" i="4"/>
  <c r="AE188" i="4"/>
  <c r="AF109" i="4" l="1"/>
  <c r="AF115" i="4" s="1"/>
  <c r="AG109" i="4"/>
  <c r="AG115" i="4" s="1"/>
  <c r="AE134" i="4"/>
  <c r="AH105" i="4"/>
  <c r="AH106" i="4" l="1"/>
  <c r="AH109" i="4" s="1"/>
  <c r="AH115" i="4" s="1"/>
  <c r="AF134" i="4"/>
  <c r="AI105" i="4"/>
  <c r="AG188" i="4"/>
  <c r="AG134" i="4"/>
  <c r="AF188" i="4"/>
  <c r="AI106" i="4" l="1"/>
  <c r="AI109" i="4" s="1"/>
  <c r="AI115" i="4" s="1"/>
  <c r="AJ105" i="4"/>
  <c r="AH134" i="4"/>
  <c r="AJ106" i="4" l="1"/>
  <c r="AJ109" i="4" s="1"/>
  <c r="AJ115" i="4" s="1"/>
  <c r="AH188" i="4"/>
  <c r="AK105" i="4"/>
  <c r="AI188" i="4"/>
  <c r="AK106" i="4" l="1"/>
  <c r="AL106" i="4" s="1"/>
  <c r="AL105" i="4"/>
  <c r="AI134" i="4"/>
  <c r="AJ188" i="4"/>
  <c r="AK109" i="4" l="1"/>
  <c r="AK115" i="4" s="1"/>
  <c r="AK134" i="4" s="1"/>
  <c r="AL109" i="4"/>
  <c r="AL115" i="4" s="1"/>
  <c r="AL134" i="4" s="1"/>
  <c r="AJ134" i="4"/>
  <c r="AK188" i="4"/>
  <c r="AL188" i="4"/>
  <c r="P30" i="4" l="1"/>
  <c r="P84" i="4"/>
  <c r="R81" i="4"/>
  <c r="P83" i="4"/>
  <c r="R83" i="4" s="1"/>
  <c r="P106" i="4"/>
  <c r="P109" i="4" s="1"/>
  <c r="P115" i="4" s="1"/>
  <c r="P134" i="4" s="1"/>
  <c r="P188" i="4" l="1"/>
  <c r="C207" i="4" s="1"/>
  <c r="C240" i="4" l="1"/>
  <c r="C241" i="4" s="1"/>
  <c r="C7" i="4" s="1"/>
  <c r="C208" i="4"/>
  <c r="C6" i="4" s="1"/>
  <c r="C8" i="4" l="1"/>
</calcChain>
</file>

<file path=xl/comments1.xml><?xml version="1.0" encoding="utf-8"?>
<comments xmlns="http://schemas.openxmlformats.org/spreadsheetml/2006/main">
  <authors>
    <author>Admin</author>
    <author>DMSB</author>
    <author>GE User</author>
  </authors>
  <commentList>
    <comment ref="R12" authorId="0" shapeId="0">
      <text>
        <r>
          <rPr>
            <sz val="9"/>
            <color indexed="81"/>
            <rFont val="Tahoma"/>
            <family val="2"/>
          </rPr>
          <t>Management guided FY17 revenue to a high-single digit growth rate YoY on March 22, 2016.</t>
        </r>
      </text>
    </comment>
    <comment ref="R79" authorId="1" shapeId="0">
      <text>
        <r>
          <rPr>
            <b/>
            <sz val="9"/>
            <color indexed="81"/>
            <rFont val="Tahoma"/>
            <family val="2"/>
          </rPr>
          <t>DMSB:</t>
        </r>
        <r>
          <rPr>
            <sz val="9"/>
            <color indexed="81"/>
            <rFont val="Tahoma"/>
            <family val="2"/>
          </rPr>
          <t xml:space="preserve">
2Q16 management guidance of 50-60 net new stores, forward capital allocation section</t>
        </r>
      </text>
    </comment>
    <comment ref="W79" authorId="1" shapeId="0">
      <text>
        <r>
          <rPr>
            <b/>
            <sz val="9"/>
            <color indexed="81"/>
            <rFont val="Tahoma"/>
            <family val="2"/>
          </rPr>
          <t>DMSB:</t>
        </r>
        <r>
          <rPr>
            <sz val="9"/>
            <color indexed="81"/>
            <rFont val="Tahoma"/>
            <family val="2"/>
          </rPr>
          <t xml:space="preserve">
2Q16 management guidance of 50-60 net new stores, forward capital allocation section</t>
        </r>
      </text>
    </comment>
    <comment ref="AB79" authorId="1" shapeId="0">
      <text>
        <r>
          <rPr>
            <b/>
            <sz val="9"/>
            <color indexed="81"/>
            <rFont val="Tahoma"/>
            <family val="2"/>
          </rPr>
          <t>DMSB:</t>
        </r>
        <r>
          <rPr>
            <sz val="9"/>
            <color indexed="81"/>
            <rFont val="Tahoma"/>
            <family val="2"/>
          </rPr>
          <t xml:space="preserve">
2Q16 management guidance of 50-60 net new stores, forward capital allocation section</t>
        </r>
      </text>
    </comment>
    <comment ref="AG79" authorId="1" shapeId="0">
      <text>
        <r>
          <rPr>
            <b/>
            <sz val="9"/>
            <color indexed="81"/>
            <rFont val="Tahoma"/>
            <family val="2"/>
          </rPr>
          <t>DMSB:</t>
        </r>
        <r>
          <rPr>
            <sz val="9"/>
            <color indexed="81"/>
            <rFont val="Tahoma"/>
            <family val="2"/>
          </rPr>
          <t xml:space="preserve">
2Q16 management guidance of 50-60 net new stores, forward capital allocation section</t>
        </r>
      </text>
    </comment>
    <comment ref="AL79" authorId="1" shapeId="0">
      <text>
        <r>
          <rPr>
            <b/>
            <sz val="9"/>
            <color indexed="81"/>
            <rFont val="Tahoma"/>
            <family val="2"/>
          </rPr>
          <t>DMSB:</t>
        </r>
        <r>
          <rPr>
            <sz val="9"/>
            <color indexed="81"/>
            <rFont val="Tahoma"/>
            <family val="2"/>
          </rPr>
          <t xml:space="preserve">
2Q16 management guidance of 50-60 net new stores, forward capital allocation section</t>
        </r>
      </text>
    </comment>
    <comment ref="R83" authorId="1" shapeId="0">
      <text>
        <r>
          <rPr>
            <b/>
            <sz val="9"/>
            <color indexed="81"/>
            <rFont val="Tahoma"/>
            <family val="2"/>
          </rPr>
          <t>DMSB:</t>
        </r>
        <r>
          <rPr>
            <sz val="9"/>
            <color indexed="81"/>
            <rFont val="Tahoma"/>
            <family val="2"/>
          </rPr>
          <t xml:space="preserve">
2Q16 Management guidance for future outlook 2015 and forward</t>
        </r>
      </text>
    </comment>
    <comment ref="W83" authorId="1" shapeId="0">
      <text>
        <r>
          <rPr>
            <b/>
            <sz val="9"/>
            <color indexed="81"/>
            <rFont val="Tahoma"/>
            <family val="2"/>
          </rPr>
          <t>DMSB:</t>
        </r>
        <r>
          <rPr>
            <sz val="9"/>
            <color indexed="81"/>
            <rFont val="Tahoma"/>
            <family val="2"/>
          </rPr>
          <t xml:space="preserve">
2Q16 Management guidance for future outlook 2015 and forward</t>
        </r>
      </text>
    </comment>
    <comment ref="AB83" authorId="1" shapeId="0">
      <text>
        <r>
          <rPr>
            <b/>
            <sz val="9"/>
            <color indexed="81"/>
            <rFont val="Tahoma"/>
            <family val="2"/>
          </rPr>
          <t>DMSB:</t>
        </r>
        <r>
          <rPr>
            <sz val="9"/>
            <color indexed="81"/>
            <rFont val="Tahoma"/>
            <family val="2"/>
          </rPr>
          <t xml:space="preserve">
2Q16 Management guidance for future outlook 2015 and forward</t>
        </r>
      </text>
    </comment>
    <comment ref="AG83" authorId="1" shapeId="0">
      <text>
        <r>
          <rPr>
            <b/>
            <sz val="9"/>
            <color indexed="81"/>
            <rFont val="Tahoma"/>
            <family val="2"/>
          </rPr>
          <t>DMSB:</t>
        </r>
        <r>
          <rPr>
            <sz val="9"/>
            <color indexed="81"/>
            <rFont val="Tahoma"/>
            <family val="2"/>
          </rPr>
          <t xml:space="preserve">
2Q16 Management guidance for future outlook 2015 and forward</t>
        </r>
      </text>
    </comment>
    <comment ref="AL83" authorId="1" shapeId="0">
      <text>
        <r>
          <rPr>
            <b/>
            <sz val="9"/>
            <color indexed="81"/>
            <rFont val="Tahoma"/>
            <family val="2"/>
          </rPr>
          <t>DMSB:</t>
        </r>
        <r>
          <rPr>
            <sz val="9"/>
            <color indexed="81"/>
            <rFont val="Tahoma"/>
            <family val="2"/>
          </rPr>
          <t xml:space="preserve">
2Q16 Management guidance for future outlook 2015 and forward</t>
        </r>
      </text>
    </comment>
    <comment ref="AF88" authorId="1" shapeId="0">
      <text>
        <r>
          <rPr>
            <b/>
            <sz val="9"/>
            <color indexed="81"/>
            <rFont val="Tahoma"/>
            <family val="2"/>
          </rPr>
          <t>DMSB:</t>
        </r>
        <r>
          <rPr>
            <sz val="9"/>
            <color indexed="81"/>
            <rFont val="Tahoma"/>
            <family val="2"/>
          </rPr>
          <t xml:space="preserve">
2Q16 Management guidance ofg 2020 objective</t>
        </r>
      </text>
    </comment>
    <comment ref="AF89" authorId="1" shapeId="0">
      <text>
        <r>
          <rPr>
            <b/>
            <sz val="9"/>
            <color indexed="81"/>
            <rFont val="Tahoma"/>
            <family val="2"/>
          </rPr>
          <t>DMSB:</t>
        </r>
        <r>
          <rPr>
            <sz val="9"/>
            <color indexed="81"/>
            <rFont val="Tahoma"/>
            <family val="2"/>
          </rPr>
          <t xml:space="preserve">
2Q16 Management guidance ofg 2020 objective</t>
        </r>
      </text>
    </comment>
    <comment ref="AF90" authorId="1" shapeId="0">
      <text>
        <r>
          <rPr>
            <b/>
            <sz val="9"/>
            <color indexed="81"/>
            <rFont val="Tahoma"/>
            <family val="2"/>
          </rPr>
          <t>DMSB:</t>
        </r>
        <r>
          <rPr>
            <sz val="9"/>
            <color indexed="81"/>
            <rFont val="Tahoma"/>
            <family val="2"/>
          </rPr>
          <t xml:space="preserve">
2Q16 Management guidance ofg 2020 objective</t>
        </r>
      </text>
    </comment>
    <comment ref="AF91" authorId="1" shapeId="0">
      <text>
        <r>
          <rPr>
            <b/>
            <sz val="9"/>
            <color indexed="81"/>
            <rFont val="Tahoma"/>
            <family val="2"/>
          </rPr>
          <t>DMSB:</t>
        </r>
        <r>
          <rPr>
            <sz val="9"/>
            <color indexed="81"/>
            <rFont val="Tahoma"/>
            <family val="2"/>
          </rPr>
          <t xml:space="preserve">
2Q16 Management guidance ofg 2020 objective</t>
        </r>
      </text>
    </comment>
    <comment ref="B190" authorId="2" shapeId="0">
      <text>
        <r>
          <rPr>
            <sz val="9"/>
            <color indexed="81"/>
            <rFont val="Tahoma"/>
            <family val="2"/>
          </rPr>
          <t xml:space="preserve">*FCFF calculated as Cash Flow from Operations (CFO) + After tax interest expense - CapEx.
</t>
        </r>
      </text>
    </comment>
    <comment ref="C238" authorId="2" shapeId="0">
      <text>
        <r>
          <rPr>
            <b/>
            <sz val="9"/>
            <color indexed="81"/>
            <rFont val="Tahoma"/>
            <family val="2"/>
          </rPr>
          <t>Equation:</t>
        </r>
        <r>
          <rPr>
            <sz val="9"/>
            <color indexed="81"/>
            <rFont val="Tahoma"/>
            <family val="2"/>
          </rPr>
          <t xml:space="preserve">
</t>
        </r>
        <r>
          <rPr>
            <b/>
            <sz val="9"/>
            <color indexed="81"/>
            <rFont val="Tahoma"/>
            <family val="2"/>
          </rPr>
          <t>CFO:</t>
        </r>
        <r>
          <rPr>
            <sz val="9"/>
            <color indexed="81"/>
            <rFont val="Tahoma"/>
            <family val="2"/>
          </rPr>
          <t xml:space="preserve"> [CFO x (1 + Contant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List>
</comments>
</file>

<file path=xl/sharedStrings.xml><?xml version="1.0" encoding="utf-8"?>
<sst xmlns="http://schemas.openxmlformats.org/spreadsheetml/2006/main" count="641" uniqueCount="272">
  <si>
    <t xml:space="preserve">Income before income taxes </t>
  </si>
  <si>
    <t>Basic shares outstanding</t>
  </si>
  <si>
    <t xml:space="preserve">Diluted shares outstanding </t>
  </si>
  <si>
    <t>Effective tax rate</t>
  </si>
  <si>
    <t>(Dollars in millions, except per share data)</t>
  </si>
  <si>
    <t>Inventories</t>
  </si>
  <si>
    <t>Total Current Assets</t>
  </si>
  <si>
    <t xml:space="preserve">Property, plant and equipment, net </t>
  </si>
  <si>
    <t>Total Assets</t>
  </si>
  <si>
    <t>Assets</t>
  </si>
  <si>
    <t>Liabilities</t>
  </si>
  <si>
    <t>Total Current liabilities</t>
  </si>
  <si>
    <t>Total liabilities</t>
  </si>
  <si>
    <t>Equity</t>
  </si>
  <si>
    <t>Accumulated other comprehensive income</t>
  </si>
  <si>
    <t>Total liabilities and equity</t>
  </si>
  <si>
    <t>Cash flows from operating activities</t>
  </si>
  <si>
    <t>Net income (loss)</t>
  </si>
  <si>
    <t>Other</t>
  </si>
  <si>
    <t>Net cash provided by operating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</si>
  <si>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</si>
  <si>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</si>
  <si>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</si>
  <si>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</si>
  <si>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</si>
  <si>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</si>
  <si>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Change in operating assets and liabilities</t>
  </si>
  <si>
    <t>Multiple Valuation</t>
  </si>
  <si>
    <t>Ratios</t>
  </si>
  <si>
    <t>Balance Sheet Ratios &amp; Assumptions</t>
  </si>
  <si>
    <t>PP&amp;E turnover</t>
  </si>
  <si>
    <t>Inventory turnover</t>
  </si>
  <si>
    <t>Number of days of payables</t>
  </si>
  <si>
    <t>Days of inventory on hand*</t>
  </si>
  <si>
    <t>Payables turnover*</t>
  </si>
  <si>
    <t>*Assumes 90 days in each quarter</t>
  </si>
  <si>
    <t>Cash conversion cycle*</t>
  </si>
  <si>
    <t>Cash Flow Ratios &amp; Assumptions</t>
  </si>
  <si>
    <t>Depreciation to PPE</t>
  </si>
  <si>
    <t>F3Q17E</t>
  </si>
  <si>
    <t>F4Q17E</t>
  </si>
  <si>
    <t>FY 2017 E</t>
  </si>
  <si>
    <t>F1Q18E</t>
  </si>
  <si>
    <t>F2Q18E</t>
  </si>
  <si>
    <t>F3Q18E</t>
  </si>
  <si>
    <t>F4Q18E</t>
  </si>
  <si>
    <t>FY 2018 E</t>
  </si>
  <si>
    <t>F1Q19E</t>
  </si>
  <si>
    <t>F2Q19E</t>
  </si>
  <si>
    <t>F3Q19E</t>
  </si>
  <si>
    <t>F4Q19E</t>
  </si>
  <si>
    <t>FY 2019 E</t>
  </si>
  <si>
    <t xml:space="preserve">Net cash per share </t>
  </si>
  <si>
    <t>Capex growth</t>
  </si>
  <si>
    <t>Short-term investments to sales</t>
  </si>
  <si>
    <t>Shares repurchased</t>
  </si>
  <si>
    <t>Share repurchase: amount in the period ($M)</t>
  </si>
  <si>
    <t>Free Cash Flow to Firm (FCFF)*</t>
  </si>
  <si>
    <t>Discounted FCFF</t>
  </si>
  <si>
    <t>Discounted Cash Flow Valuation</t>
  </si>
  <si>
    <t>Current share price</t>
  </si>
  <si>
    <t>Shares outstanding</t>
  </si>
  <si>
    <t>Market Capitalization ($M)</t>
  </si>
  <si>
    <t>Equity market risk premium</t>
  </si>
  <si>
    <t>Required return on equity (CAPM)</t>
  </si>
  <si>
    <t>Equity to total capital</t>
  </si>
  <si>
    <t>Average cost of debt</t>
  </si>
  <si>
    <t xml:space="preserve">After tax cost of debt </t>
  </si>
  <si>
    <t>WACC Inputs</t>
  </si>
  <si>
    <t>Net Cash from Operations growth rate</t>
  </si>
  <si>
    <t>P/E used for valuation</t>
  </si>
  <si>
    <t>Cost of sales</t>
  </si>
  <si>
    <t>Dividends per share</t>
  </si>
  <si>
    <t>Cash and equivalents</t>
  </si>
  <si>
    <t>Goodwill</t>
  </si>
  <si>
    <t>Accounts payable</t>
  </si>
  <si>
    <t>Commitments and contingencies</t>
  </si>
  <si>
    <t xml:space="preserve">Retained earnings </t>
  </si>
  <si>
    <t>Total shareholders' equity</t>
  </si>
  <si>
    <t xml:space="preserve">Segment Data &amp; Income Statement Ratios </t>
  </si>
  <si>
    <t>Beta (relative to the S&amp;P500)</t>
  </si>
  <si>
    <t>Risk Free (3mo ave 10yr US-T)</t>
  </si>
  <si>
    <t>Weighted Average Cost of Capital</t>
  </si>
  <si>
    <t>Revenue growth (in perpetuity)</t>
  </si>
  <si>
    <t>NPV of stage-one cash flows</t>
  </si>
  <si>
    <t>Constant CFO growth rate</t>
  </si>
  <si>
    <t>Ave CapEx (% of sales)</t>
  </si>
  <si>
    <t>Capex to sales</t>
  </si>
  <si>
    <t>DCF Valuation</t>
  </si>
  <si>
    <t>PV of terminal value</t>
  </si>
  <si>
    <t>F1Q15</t>
  </si>
  <si>
    <t>Basic EPS</t>
  </si>
  <si>
    <t>Diluted EPS</t>
  </si>
  <si>
    <t>Deferred income taxes</t>
  </si>
  <si>
    <t>Effect of exchange rates on cash</t>
  </si>
  <si>
    <t>Net income</t>
  </si>
  <si>
    <t>F2Q15</t>
  </si>
  <si>
    <t>F3Q15</t>
  </si>
  <si>
    <t>DCF Period (approximate number of years)</t>
  </si>
  <si>
    <t>Gross margin (GAAP)</t>
  </si>
  <si>
    <t>F4Q15</t>
  </si>
  <si>
    <t>FY 2015</t>
  </si>
  <si>
    <t>F1Q20E</t>
  </si>
  <si>
    <t>F2Q20E</t>
  </si>
  <si>
    <t>F3Q20E</t>
  </si>
  <si>
    <t>F4Q20E</t>
  </si>
  <si>
    <t>FY 2020 E</t>
  </si>
  <si>
    <t xml:space="preserve">Plus cash/(debt) per share </t>
  </si>
  <si>
    <t xml:space="preserve">P/E 3-month average(a) </t>
  </si>
  <si>
    <t>P/E 3-month high</t>
  </si>
  <si>
    <t>P/E 3-month low</t>
  </si>
  <si>
    <t xml:space="preserve">(a) Multiples are calculated excluding the value of net cash and are based on the 3-month average daily share price compared to the consensus EPS estimates for the next twelve month period. </t>
  </si>
  <si>
    <t>Constant market Sharpe ratio(b)</t>
  </si>
  <si>
    <t>S&amp;P500 implied volatility(c)</t>
  </si>
  <si>
    <t>Revenues</t>
  </si>
  <si>
    <t>Interest expense/(income)</t>
  </si>
  <si>
    <t>Operating Income</t>
  </si>
  <si>
    <t>Proceeds from exercise of options and other issuance</t>
  </si>
  <si>
    <t>Interest expense/(income) to average debt</t>
  </si>
  <si>
    <t>Other (income)/expense to revenue</t>
  </si>
  <si>
    <t>Change in basic shares (excluding repurchases)</t>
  </si>
  <si>
    <t>Change in diluted shares (excluding repurchases)</t>
  </si>
  <si>
    <t>Share repurchase average price assumption ($)</t>
  </si>
  <si>
    <t>Other expense/(income)</t>
  </si>
  <si>
    <t>F1Q16</t>
  </si>
  <si>
    <t xml:space="preserve">(b) We use the Constant Sharpe approach to estimate the Equity Risk Premium. The S&amp;P500 Constant Sharpe is calculated by taking the excess return on the index over the risk-free rate, divided by the standard deviation of returns. We then multiply the constant Sharpe by the last three month average implied volatility.
</t>
  </si>
  <si>
    <t>(c) The VIX is quoted in percentage points and measures the implied annualized volatility for the S&amp;P500. The VIX is a forward looking measure of implied volatility, however, single day volatility would have too much of an impact on the overall discount rate, which is why we choose to use the three month average.</t>
  </si>
  <si>
    <t>(d) Assumes constant networking capital in the constant growth stage.
(e) Assumes debt balance and interest expense remains constant in the constant growth stage, and that book value of debt approximates fair value.</t>
  </si>
  <si>
    <r>
      <t>Constant Growth Stage Assumptions</t>
    </r>
    <r>
      <rPr>
        <sz val="11"/>
        <color theme="1"/>
        <rFont val="Calibri"/>
        <family val="2"/>
        <scheme val="minor"/>
      </rPr>
      <t>(d,e)</t>
    </r>
  </si>
  <si>
    <t>Implied P/E 12-month target value</t>
  </si>
  <si>
    <t>Implied DCF 12-month target value</t>
  </si>
  <si>
    <t>Implied average target value</t>
  </si>
  <si>
    <t>F2Q16</t>
  </si>
  <si>
    <t>By obtaining this model you are deemed to have read and agreed to our Terms of Use. Visit our website for details: https://www.gutenbergresearch.com/terms-of-use.html</t>
  </si>
  <si>
    <t>GR</t>
  </si>
  <si>
    <t>F3Q16</t>
  </si>
  <si>
    <t>F1Q21E</t>
  </si>
  <si>
    <t>F2Q21E</t>
  </si>
  <si>
    <t>F3Q21E</t>
  </si>
  <si>
    <t>F4Q21E</t>
  </si>
  <si>
    <t>FY 2021 E</t>
  </si>
  <si>
    <t>Foot Locker Income Statement</t>
  </si>
  <si>
    <t>FY 2016</t>
  </si>
  <si>
    <t>Jan-16</t>
  </si>
  <si>
    <t>F4Q16</t>
  </si>
  <si>
    <t>Oct-15</t>
  </si>
  <si>
    <t>Jan-15</t>
  </si>
  <si>
    <t>Oct-14</t>
  </si>
  <si>
    <t>Apr-15</t>
  </si>
  <si>
    <t>Jul-15</t>
  </si>
  <si>
    <t>Apr-14</t>
  </si>
  <si>
    <t>Jul-14</t>
  </si>
  <si>
    <t>Apr-16</t>
  </si>
  <si>
    <t>Jul-16</t>
  </si>
  <si>
    <t>F1Q17</t>
  </si>
  <si>
    <t>F2Q17</t>
  </si>
  <si>
    <t>Oct-17</t>
  </si>
  <si>
    <t>Jan-17</t>
  </si>
  <si>
    <t>Jan-18</t>
  </si>
  <si>
    <t>Jan-19</t>
  </si>
  <si>
    <t>Jan-20</t>
  </si>
  <si>
    <t>Jan-21</t>
  </si>
  <si>
    <t>Selling, general and administrative</t>
  </si>
  <si>
    <t>Depreciation &amp; amortization</t>
  </si>
  <si>
    <t>Other operating expenses</t>
  </si>
  <si>
    <t xml:space="preserve">Gross Profit </t>
  </si>
  <si>
    <t>Total Operating Expenses</t>
  </si>
  <si>
    <t>Income tax expense</t>
  </si>
  <si>
    <t>Foot Locker Balance Sheet</t>
  </si>
  <si>
    <t>Foot Locker Cash Flow Statement</t>
  </si>
  <si>
    <t>Depreciation and amortization</t>
  </si>
  <si>
    <t>Qualified pension plan contributions</t>
  </si>
  <si>
    <t>Accrued and other liabilities</t>
  </si>
  <si>
    <t>Cash flows from investng activities</t>
  </si>
  <si>
    <t>Capital expenditures</t>
  </si>
  <si>
    <t>Purchase of treasury shares</t>
  </si>
  <si>
    <t>Dividends paid on common stock</t>
  </si>
  <si>
    <t>Treasury stock reissued under employee stock plan</t>
  </si>
  <si>
    <t>Excess tax benefits on share-based compensation</t>
  </si>
  <si>
    <t>Payment of revolving credit agreement costs</t>
  </si>
  <si>
    <t>Reduction in long-term debt and obligantions under capital leases</t>
  </si>
  <si>
    <t>Other current assets</t>
  </si>
  <si>
    <t>Other assets</t>
  </si>
  <si>
    <t>Other intangible assets, net</t>
  </si>
  <si>
    <t>Accrued and other liabilites</t>
  </si>
  <si>
    <t>Current portion of capital lease obligations</t>
  </si>
  <si>
    <t>Other liabilities</t>
  </si>
  <si>
    <t>Long-term debt and obligations under capital leases</t>
  </si>
  <si>
    <t>Common stock and paid-in capital</t>
  </si>
  <si>
    <t>Less: treasury stock</t>
  </si>
  <si>
    <t>Share-based compensation</t>
  </si>
  <si>
    <t>Non-cash impairment charge</t>
  </si>
  <si>
    <t>Issuance of common stock</t>
  </si>
  <si>
    <t>Short-term investments</t>
  </si>
  <si>
    <t>Deferred tax provision</t>
  </si>
  <si>
    <t>Gain on sale of real estate</t>
  </si>
  <si>
    <t>Pension litigation accrual</t>
  </si>
  <si>
    <t>Other, net</t>
  </si>
  <si>
    <t>Foot Locker US - Total Stores</t>
  </si>
  <si>
    <r>
      <t>Net new stores (</t>
    </r>
    <r>
      <rPr>
        <u/>
        <sz val="11"/>
        <color theme="1"/>
        <rFont val="Calibri"/>
        <family val="2"/>
        <scheme val="minor"/>
      </rPr>
      <t>not</t>
    </r>
    <r>
      <rPr>
        <sz val="11"/>
        <color theme="1"/>
        <rFont val="Calibri"/>
        <family val="2"/>
        <scheme val="minor"/>
      </rPr>
      <t xml:space="preserve"> in millions)</t>
    </r>
  </si>
  <si>
    <t>Foot Locker Europe - Total Stores</t>
  </si>
  <si>
    <t>Foot Locker Canada - Total Stores</t>
  </si>
  <si>
    <t>Foot Locker Asia Pacific - Total Stores</t>
  </si>
  <si>
    <t>Oct-16</t>
  </si>
  <si>
    <t>Athletic Stores Division Consolidated</t>
  </si>
  <si>
    <t>SG&amp;A expense as % of revenue</t>
  </si>
  <si>
    <t>Operating Income Margin (GAAP)</t>
  </si>
  <si>
    <t>Apr-17</t>
  </si>
  <si>
    <t>Jul-17</t>
  </si>
  <si>
    <t>Apr-18</t>
  </si>
  <si>
    <t>Jul-18</t>
  </si>
  <si>
    <t>Oct-19</t>
  </si>
  <si>
    <t>Oct-18</t>
  </si>
  <si>
    <t>Apr-19</t>
  </si>
  <si>
    <t>Jul-19</t>
  </si>
  <si>
    <t>Apr-20</t>
  </si>
  <si>
    <t>Jul-20</t>
  </si>
  <si>
    <t>Oct-20</t>
  </si>
  <si>
    <t>Depreciation and amortization as % of revenue</t>
  </si>
  <si>
    <t>Revenue ($M)</t>
  </si>
  <si>
    <r>
      <t>Total stores (</t>
    </r>
    <r>
      <rPr>
        <u/>
        <sz val="11"/>
        <color theme="1"/>
        <rFont val="Calibri"/>
        <family val="2"/>
        <scheme val="minor"/>
      </rPr>
      <t>not</t>
    </r>
    <r>
      <rPr>
        <sz val="11"/>
        <color theme="1"/>
        <rFont val="Calibri"/>
        <family val="2"/>
        <scheme val="minor"/>
      </rPr>
      <t xml:space="preserve"> in millions)</t>
    </r>
  </si>
  <si>
    <t>Sales per square foot</t>
  </si>
  <si>
    <t xml:space="preserve">  Revenue growth rate (QoQ)</t>
  </si>
  <si>
    <t>Foot Locker US - Net new stores (not in millions)</t>
  </si>
  <si>
    <t>Foot Locker Europe - Net new stores (not in millions)</t>
  </si>
  <si>
    <t>Foot Locker Canada - Net new stores (not in millions)</t>
  </si>
  <si>
    <t>Foot Locker Asia Pacific - Net new stores (not in millions)</t>
  </si>
  <si>
    <t>Lady Foot Locker - Net new stores (not in millions)</t>
  </si>
  <si>
    <t>Lady Foot Locker - Total Stores</t>
  </si>
  <si>
    <t>SIX:02  - Net new stores (not in millions)</t>
  </si>
  <si>
    <t>SIX:02  - Total Stores</t>
  </si>
  <si>
    <t>Kids Foot Locker  - Net new stores (not in millions)</t>
  </si>
  <si>
    <t>Kids Foot Locker  - Total Stores</t>
  </si>
  <si>
    <t>Footaction  - Net new stores (not in millions)</t>
  </si>
  <si>
    <t>Footaction  - Total Stores</t>
  </si>
  <si>
    <t>Champs Sports  - Net new stores (not in millions)</t>
  </si>
  <si>
    <t>Champs Sports  - Total Stores</t>
  </si>
  <si>
    <t>Runners Point  - Net new stores (not in millions)</t>
  </si>
  <si>
    <t>Runners Point  - Total Stores</t>
  </si>
  <si>
    <t>Sidestep  - Net new stores (not in millions)</t>
  </si>
  <si>
    <t>Sidestep  - Total Stores</t>
  </si>
  <si>
    <t>Blue cells = Gutenberg estimates</t>
  </si>
  <si>
    <t>Foot Locker US - Square footage (in thousands)</t>
  </si>
  <si>
    <t>Lady Foot Locker  - Square footage (in thousands)</t>
  </si>
  <si>
    <t>Footaction  - Square footage (in thousands)</t>
  </si>
  <si>
    <t>Champs Sports  - Square footage (in thousands)</t>
  </si>
  <si>
    <t>Sidestep  - Square footage (in thousands)</t>
  </si>
  <si>
    <t>Athletic Store Division Details</t>
  </si>
  <si>
    <t>Foot Locker Europe - Square footage (in thousands)</t>
  </si>
  <si>
    <t>Foot Locker Canada - Square footage (in thousands)</t>
  </si>
  <si>
    <t>Foot Locker Asia Pacific  - Square footage (in thousands)</t>
  </si>
  <si>
    <t>SIX:02  - Square footage (in thousands)</t>
  </si>
  <si>
    <t>Kids Foot Locker  - Square footage (in thousands)</t>
  </si>
  <si>
    <t>Runners Point  - Square footage (in thousands)</t>
  </si>
  <si>
    <t>Foot Locker US - Average Square footage per store (in thousands)</t>
  </si>
  <si>
    <t>Foot Locker Europe - Avg Square footage per store (in thousands)</t>
  </si>
  <si>
    <t>Foot Locker Canada - Avg Square footage per store (in thousands)</t>
  </si>
  <si>
    <t>Foot Locker Asia - Avg Square footage per store (in thousands)</t>
  </si>
  <si>
    <t>Lady Foot Locker - Avg Square footage per store (in thousands)</t>
  </si>
  <si>
    <t>SIX:02 - Avg Square footage per store (in thousands)</t>
  </si>
  <si>
    <t>Kids Foot Locker - Avg Square footage per store (in thousands)</t>
  </si>
  <si>
    <t>Footaction - Avg Square footage per store (in thousands)</t>
  </si>
  <si>
    <t>Champs Sports - Avg Square footage per store (in thousands)</t>
  </si>
  <si>
    <t>Runners Point - Avg Square footage per store (in thousands)</t>
  </si>
  <si>
    <t>Sidestep - Avg Square footage per store (in thousands)</t>
  </si>
  <si>
    <t>Direct-to-Customer Division</t>
  </si>
  <si>
    <t>Total  square footage (in thousands)</t>
  </si>
  <si>
    <r>
      <rPr>
        <sz val="11"/>
        <color theme="1"/>
        <rFont val="Calibri"/>
        <family val="2"/>
        <scheme val="minor"/>
      </rPr>
      <t xml:space="preserve">NOTE: There are many different multiples which could be applied to various earnings metrics, each of which result in different valuations. This calculation is for demonstration only. Please refer to our disclosures for important details.  Our DCF and Multiple valuation metrics are kept constant at certain points during each quarter to isolate the impact from changes in earnings estimates.   </t>
    </r>
    <r>
      <rPr>
        <b/>
        <sz val="11"/>
        <color theme="3"/>
        <rFont val="Calibri"/>
        <family val="2"/>
        <scheme val="minor"/>
      </rPr>
      <t xml:space="preserve">The multiple  in this section was last updated on 11/25/2016. </t>
    </r>
  </si>
  <si>
    <r>
      <rPr>
        <b/>
        <sz val="11"/>
        <color theme="1"/>
        <rFont val="Calibri"/>
        <family val="2"/>
        <scheme val="minor"/>
      </rPr>
      <t xml:space="preserve">NOTE: </t>
    </r>
    <r>
      <rPr>
        <sz val="11"/>
        <color theme="1"/>
        <rFont val="Calibri"/>
        <family val="2"/>
        <scheme val="minor"/>
      </rPr>
      <t xml:space="preserve">There are many different methods to calculate a DCF-based valuation, each of which result in different final valuation estimates. This calculation is for demonstration only. Different inputs and assumptions can result in significantly different valuation estimates. Refer to the Disclosure tab for important information regarding this demonstration.  Our DCF and Multiple valuation metrics are kept constant at certain points during each quarter to isolate the impact from changes in earnings estimates.  </t>
    </r>
    <r>
      <rPr>
        <b/>
        <sz val="11"/>
        <color theme="3"/>
        <rFont val="Calibri"/>
        <family val="2"/>
        <scheme val="minor"/>
      </rPr>
      <t xml:space="preserve">The  Beta, Volatility, and Risk-Free rate used in this DCF section was last updated on 11/25/2016. </t>
    </r>
  </si>
  <si>
    <t>F3Q17</t>
  </si>
  <si>
    <t xml:space="preserve">Purple cells = Company guidance </t>
  </si>
  <si>
    <t>Orange cells = Consensus estimates (updated 11/25/2016)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</si>
</sst>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_);\(#,##0.0\)"/>
    <numFmt numFmtId="168" formatCode="#,##0.0\ ;\(#,##0.0\)"/>
    <numFmt numFmtId="169" formatCode="#,##0\ ;\(#,##0.0\)"/>
    <numFmt numFmtId="170" formatCode="&quot;$&quot;0.00_)"/>
    <numFmt numFmtId="171" formatCode="#,##0&quot;%&quot;"/>
    <numFmt numFmtId="172" formatCode="#,##0___);\(#,##0.00\)"/>
    <numFmt numFmtId="173" formatCode="0%;\(0%\)"/>
    <numFmt numFmtId="174" formatCode="_(* #,##0,,_);_(* \(#,##0,,\);_(* &quot;-&quot;_)"/>
    <numFmt numFmtId="175" formatCode="_(* #,##0_);[Red]_(* \(#,##0\);_(* &quot;&quot;&quot;&quot;&quot;&quot;&quot;&quot;\ \-\ &quot;&quot;&quot;&quot;&quot;&quot;&quot;&quot;_);_(@_)"/>
    <numFmt numFmtId="176" formatCode="_(* #,##0,_);[Red]_(* \(#,##0,\);_(* &quot;&quot;&quot;&quot;&quot;&quot;&quot;&quot;\ \-\ &quot;&quot;&quot;&quot;&quot;&quot;&quot;&quot;_);_(@_)"/>
    <numFmt numFmtId="177" formatCode="0%;\(0%\);;"/>
    <numFmt numFmtId="178" formatCode="0%;\(0%\);&quot;-&quot;"/>
    <numFmt numFmtId="179" formatCode="#,##0_);[Red]\(#,##0\);&quot;-&quot;"/>
    <numFmt numFmtId="180" formatCode="*-"/>
    <numFmt numFmtId="181" formatCode="#,##0;\-#,##0;&quot;-&quot;"/>
    <numFmt numFmtId="182" formatCode="_._.&quot;$&quot;* \(#,##0\)_%;_._.&quot;$&quot;* #,##0_)_%;_._.&quot;$&quot;* 0_)_%;_._.@_)_%"/>
    <numFmt numFmtId="183" formatCode="_._.* \(#,##0\)_%;_._.* #,##0_)_%;_._.* 0_)_%;_._.@_)_%"/>
    <numFmt numFmtId="184" formatCode="&quot;$&quot;#,##0;\-&quot;$&quot;#,##0"/>
    <numFmt numFmtId="185" formatCode="_-&quot;$&quot;* #,##0_-;\-&quot;$&quot;* #,##0_-;_-&quot;$&quot;* &quot;-&quot;_-;_-@_-"/>
    <numFmt numFmtId="186" formatCode="_-&quot;$&quot;* #,##0.00_-;\-&quot;$&quot;* #,##0.00_-;_-&quot;$&quot;* &quot;-&quot;??_-;_-@_-"/>
    <numFmt numFmtId="187" formatCode="#,##0;\(#,##0\)"/>
    <numFmt numFmtId="188" formatCode="&quot;SFr.&quot;\ #,##0.00;&quot;SFr.&quot;\ \-#,##0.00"/>
    <numFmt numFmtId="189" formatCode="#,##0.00;\-#,##0.00;&quot;-&quot;"/>
    <numFmt numFmtId="190" formatCode="* #,##0.00_);\(#,##0.00\)"/>
    <numFmt numFmtId="191" formatCode="_([$€-2]* #,##0.00_);_([$€-2]* \(#,##0.00\);_([$€-2]* &quot;-&quot;??_)"/>
    <numFmt numFmtId="192" formatCode="0.0_)\%;\(0.0\)\%;0.0_)\%;@_)_%"/>
    <numFmt numFmtId="193" formatCode="#,##0.0_)_%;\(#,##0.0\)_%;0.0_)_%;@_)_%"/>
    <numFmt numFmtId="194" formatCode="#,##0.0_);\(#,##0.0\);#,##0.0_);@_)"/>
    <numFmt numFmtId="195" formatCode="&quot;$&quot;_(#,##0.00_);&quot;$&quot;\(#,##0.00\);&quot;$&quot;_(0.00_);@_)"/>
    <numFmt numFmtId="196" formatCode="#,##0.00_);\(#,##0.00\);0.00_);@_)"/>
    <numFmt numFmtId="197" formatCode="\€_(#,##0.00_);\€\(#,##0.00\);\€_(0.00_);@_)"/>
    <numFmt numFmtId="198" formatCode="#,##0_)\x;\(#,##0\)\x;0_)\x;@_)_x"/>
    <numFmt numFmtId="199" formatCode="#,##0_)_x;\(#,##0\)_x;0_)_x;@_)_x"/>
    <numFmt numFmtId="200" formatCode="#,##0.0000;\-#,##0.0000"/>
    <numFmt numFmtId="201" formatCode="#,##0.000000;\-#,##0.000000"/>
    <numFmt numFmtId="202" formatCode="#,##0.0;\-#,##0.0"/>
    <numFmt numFmtId="203" formatCode="#,##0.000;\-#,##0.000"/>
    <numFmt numFmtId="204" formatCode="#,##0.00000;\-#,##0.00000"/>
    <numFmt numFmtId="205" formatCode="#,##0.0000000;\-#,##0.0000000"/>
    <numFmt numFmtId="206" formatCode="#,##0.00000000;\-#,##0.00000000"/>
    <numFmt numFmtId="207" formatCode="#,##0.000000000;\-#,##0.000000000"/>
    <numFmt numFmtId="208" formatCode="#,##0.0000000000;\-#,##0.0000000000"/>
    <numFmt numFmtId="209" formatCode="_-* #,##0\ _D_M_-;\-* #,##0\ _D_M_-;_-* &quot;-&quot;\ _D_M_-;_-@_-"/>
    <numFmt numFmtId="210" formatCode="_-* #,##0.00\ _D_M_-;\-* #,##0.00\ _D_M_-;_-* &quot;-&quot;??\ _D_M_-;_-@_-"/>
    <numFmt numFmtId="211" formatCode="_-* #,##0\ &quot;DM&quot;_-;\-* #,##0\ &quot;DM&quot;_-;_-* &quot;-&quot;\ &quot;DM&quot;_-;_-@_-"/>
    <numFmt numFmtId="212" formatCode="_-* #,##0.00\ &quot;DM&quot;_-;\-* #,##0.00\ &quot;DM&quot;_-;_-* &quot;-&quot;??\ &quot;DM&quot;_-;_-@_-"/>
    <numFmt numFmtId="213" formatCode="0.0"/>
    <numFmt numFmtId="214" formatCode="0.000000"/>
    <numFmt numFmtId="215" formatCode="&quot;£&quot;#,##0;[Red]\-&quot;£&quot;#,##0"/>
    <numFmt numFmtId="216" formatCode="0.00_);[Red]\(0.00\)"/>
    <numFmt numFmtId="217" formatCode="&quot;£&quot;#,##0.00;[Red]\-&quot;£&quot;#,##0.00"/>
    <numFmt numFmtId="218" formatCode="_(* #,##0.000_);_(* \(#,##0.000\);_(* &quot;-&quot;_);_(@_)"/>
    <numFmt numFmtId="219" formatCode="_-&quot;£&quot;* #,##0_-;\-&quot;£&quot;* #,##0_-;_-&quot;£&quot;* &quot;-&quot;_-;_-@_-"/>
    <numFmt numFmtId="220" formatCode="_(&quot;$&quot;* #,##0,_);_(&quot;$&quot;* \(#,##0,\);_(&quot;$&quot;* &quot;-&quot;_);_(@_)"/>
    <numFmt numFmtId="221" formatCode="&quot;SFr.&quot;#,##0;[Red]&quot;SFr.&quot;\-#,##0"/>
    <numFmt numFmtId="222" formatCode="_-&quot;£&quot;* #,##0.00_-;\-&quot;£&quot;* #,##0.00_-;_-&quot;£&quot;* &quot;-&quot;??_-;_-@_-"/>
    <numFmt numFmtId="223" formatCode="#,##0;[Red]\(#,##0\)"/>
    <numFmt numFmtId="224" formatCode="_(* #,##0.000_);_(* \(#,##0.000\);_(* &quot;-&quot;??_);_(@_)"/>
    <numFmt numFmtId="225" formatCode="0\x"/>
  </numFmts>
  <fonts count="74"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u/>
      <sz val="11"/>
      <color theme="1"/>
      <name val="Calibri"/>
      <family val="2"/>
      <scheme val="minor"/>
    </font>
    <font>
      <sz val="10"/>
      <name val="Tms Rmn"/>
    </font>
    <font>
      <sz val="10"/>
      <name val="Helv"/>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name val="Helv"/>
    </font>
    <font>
      <b/>
      <sz val="12"/>
      <name val="Tms Rmn"/>
    </font>
    <font>
      <b/>
      <i/>
      <sz val="12"/>
      <name val="Tms Rmn"/>
    </font>
    <font>
      <b/>
      <sz val="10"/>
      <name val="MS Sans Serif"/>
      <family val="2"/>
    </font>
    <font>
      <b/>
      <sz val="11"/>
      <name val="Arial"/>
      <family val="2"/>
    </font>
    <font>
      <b/>
      <sz val="10"/>
      <name val="Arial"/>
      <family val="2"/>
    </font>
    <font>
      <sz val="10"/>
      <name val="MS Sans Serif"/>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0"/>
      <color indexed="10"/>
      <name val="Arial"/>
      <family val="2"/>
    </font>
    <font>
      <sz val="8"/>
      <name val="Tms Rmn"/>
    </font>
    <font>
      <sz val="12"/>
      <name val="Times New Roman"/>
      <family val="1"/>
    </font>
    <font>
      <sz val="7"/>
      <name val="Small Fonts"/>
      <family val="2"/>
    </font>
    <font>
      <b/>
      <u/>
      <sz val="26"/>
      <color indexed="9"/>
      <name val="Arial"/>
      <family val="2"/>
    </font>
    <font>
      <sz val="12"/>
      <name val="Helv"/>
    </font>
    <font>
      <sz val="10"/>
      <color theme="1"/>
      <name val="Arial"/>
      <family val="2"/>
    </font>
    <font>
      <sz val="10"/>
      <name val="Helv"/>
      <family val="2"/>
    </font>
    <font>
      <u/>
      <sz val="11"/>
      <color theme="10"/>
      <name val="Calibri"/>
      <family val="2"/>
    </font>
    <font>
      <u/>
      <sz val="10"/>
      <color theme="10"/>
      <name val="Trebuchet MS"/>
      <family val="2"/>
    </font>
    <font>
      <sz val="12"/>
      <name val="Helv"/>
      <family val="2"/>
    </font>
    <font>
      <sz val="10"/>
      <name val="Trebuchet MS"/>
      <family val="2"/>
    </font>
    <font>
      <sz val="10"/>
      <name val="Tms Rmn"/>
      <family val="1"/>
    </font>
    <font>
      <sz val="11"/>
      <color indexed="8"/>
      <name val="Calibri"/>
      <family val="2"/>
    </font>
    <font>
      <u/>
      <sz val="10"/>
      <color indexed="12"/>
      <name val="Arial"/>
      <family val="2"/>
    </font>
    <font>
      <b/>
      <sz val="10"/>
      <color rgb="FF404040"/>
      <name val="Segoe UI"/>
      <family val="2"/>
    </font>
    <font>
      <sz val="10"/>
      <color rgb="FF404040"/>
      <name val="Segoe UI"/>
      <family val="2"/>
    </font>
    <font>
      <b/>
      <u val="singleAccounting"/>
      <sz val="11"/>
      <name val="Calibri"/>
      <family val="2"/>
      <scheme val="minor"/>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sz val="11"/>
      <color theme="1" tint="0.249977111117893"/>
      <name val="Calibri"/>
      <family val="2"/>
      <scheme val="minor"/>
    </font>
    <font>
      <b/>
      <u val="singleAccounting"/>
      <sz val="11"/>
      <color theme="1" tint="0.249977111117893"/>
      <name val="Calibri"/>
      <family val="2"/>
      <scheme val="minor"/>
    </font>
    <font>
      <sz val="9"/>
      <color indexed="81"/>
      <name val="Tahoma"/>
      <family val="2"/>
    </font>
    <font>
      <b/>
      <sz val="9"/>
      <color indexed="81"/>
      <name val="Tahoma"/>
      <family val="2"/>
    </font>
    <font>
      <b/>
      <u/>
      <sz val="10"/>
      <color theme="0" tint="-0.14999847407452621"/>
      <name val="Calibri"/>
      <family val="2"/>
      <scheme val="minor"/>
    </font>
    <font>
      <b/>
      <sz val="11"/>
      <color theme="3"/>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s>
  <fills count="12">
    <fill>
      <patternFill patternType="none"/>
    </fill>
    <fill>
      <patternFill patternType="gray125"/>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2">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diagonal/>
    </border>
    <border>
      <left/>
      <right style="thin">
        <color auto="1"/>
      </right>
      <top style="hair">
        <color auto="1"/>
      </top>
      <bottom/>
      <diagonal/>
    </border>
    <border>
      <left/>
      <right/>
      <top style="hair">
        <color indexed="8"/>
      </top>
      <bottom style="hair">
        <color indexed="8"/>
      </bottom>
      <diagonal/>
    </border>
    <border>
      <left/>
      <right/>
      <top/>
      <bottom style="medium">
        <color indexed="18"/>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right style="hair">
        <color indexed="64"/>
      </right>
      <top/>
      <bottom style="hair">
        <color auto="1"/>
      </bottom>
      <diagonal/>
    </border>
  </borders>
  <cellStyleXfs count="511">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37" fontId="16" fillId="0" borderId="0"/>
    <xf numFmtId="192" fontId="9" fillId="0" borderId="0" applyFont="0" applyFill="0" applyBorder="0" applyAlignment="0" applyProtection="0"/>
    <xf numFmtId="193" fontId="9" fillId="0" borderId="0" applyFont="0" applyFill="0" applyBorder="0" applyAlignment="0" applyProtection="0"/>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 fillId="2" borderId="0" applyNumberFormat="0" applyFont="0" applyAlignment="0" applyProtection="0"/>
    <xf numFmtId="198" fontId="9" fillId="0" borderId="0" applyFont="0" applyFill="0" applyBorder="0" applyAlignment="0" applyProtection="0"/>
    <xf numFmtId="199" fontId="9" fillId="0" borderId="0" applyFont="0" applyFill="0" applyBorder="0" applyProtection="0">
      <alignment horizontal="right"/>
    </xf>
    <xf numFmtId="0" fontId="20" fillId="0" borderId="0" applyNumberFormat="0" applyFill="0" applyBorder="0" applyProtection="0">
      <alignment vertical="top"/>
    </xf>
    <xf numFmtId="0" fontId="20" fillId="0" borderId="0" applyNumberFormat="0" applyFill="0" applyBorder="0" applyProtection="0">
      <alignment vertical="top"/>
    </xf>
    <xf numFmtId="0" fontId="20" fillId="0" borderId="0" applyNumberFormat="0" applyFill="0" applyBorder="0" applyProtection="0">
      <alignment vertical="top"/>
    </xf>
    <xf numFmtId="0" fontId="20" fillId="0" borderId="0" applyNumberFormat="0" applyFill="0" applyBorder="0" applyProtection="0">
      <alignment vertical="top"/>
    </xf>
    <xf numFmtId="0" fontId="20" fillId="0" borderId="0" applyNumberFormat="0" applyFill="0" applyBorder="0" applyProtection="0">
      <alignment vertical="top"/>
    </xf>
    <xf numFmtId="0" fontId="21" fillId="0" borderId="14" applyNumberFormat="0" applyFill="0" applyAlignment="0" applyProtection="0"/>
    <xf numFmtId="0" fontId="22" fillId="0" borderId="15" applyNumberFormat="0" applyFill="0" applyProtection="0">
      <alignment horizontal="center"/>
    </xf>
    <xf numFmtId="0" fontId="22" fillId="0" borderId="0" applyNumberFormat="0" applyFill="0" applyBorder="0" applyProtection="0">
      <alignment horizontal="left"/>
    </xf>
    <xf numFmtId="0" fontId="23" fillId="0" borderId="0" applyNumberFormat="0" applyFill="0" applyBorder="0" applyProtection="0">
      <alignment horizontal="centerContinuous"/>
    </xf>
    <xf numFmtId="0" fontId="45" fillId="0" borderId="0" applyNumberFormat="0" applyFill="0" applyBorder="0" applyAlignment="0" applyProtection="0"/>
    <xf numFmtId="190" fontId="24" fillId="0" borderId="0">
      <alignment horizontal="center"/>
    </xf>
    <xf numFmtId="37" fontId="25" fillId="0" borderId="0"/>
    <xf numFmtId="37" fontId="26" fillId="0" borderId="0"/>
    <xf numFmtId="184" fontId="27" fillId="0" borderId="2"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27" fillId="0" borderId="2"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27" fillId="0" borderId="2"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1" fillId="0" borderId="0" applyAlignment="0" applyProtection="0"/>
    <xf numFmtId="184" fontId="27" fillId="0" borderId="2" applyAlignment="0" applyProtection="0"/>
    <xf numFmtId="184" fontId="1" fillId="0" borderId="0" applyAlignment="0" applyProtection="0"/>
    <xf numFmtId="184" fontId="1" fillId="0" borderId="0" applyAlignment="0" applyProtection="0"/>
    <xf numFmtId="184" fontId="1" fillId="0" borderId="0" applyAlignment="0" applyProtection="0"/>
    <xf numFmtId="184" fontId="27" fillId="0" borderId="2" applyAlignment="0" applyProtection="0"/>
    <xf numFmtId="184" fontId="27" fillId="0" borderId="2" applyAlignment="0" applyProtection="0"/>
    <xf numFmtId="184" fontId="27" fillId="0" borderId="2" applyAlignment="0" applyProtection="0"/>
    <xf numFmtId="184" fontId="27" fillId="0" borderId="2" applyAlignment="0" applyProtection="0"/>
    <xf numFmtId="184" fontId="1" fillId="0" borderId="0" applyAlignment="0" applyProtection="0"/>
    <xf numFmtId="181" fontId="18" fillId="0" borderId="0" applyFill="0" applyBorder="0" applyAlignment="0"/>
    <xf numFmtId="174" fontId="9" fillId="0" borderId="0" applyFill="0" applyBorder="0" applyAlignment="0"/>
    <xf numFmtId="175" fontId="9" fillId="0" borderId="0" applyFill="0" applyBorder="0" applyAlignment="0"/>
    <xf numFmtId="176" fontId="9" fillId="0" borderId="0" applyFill="0" applyBorder="0" applyAlignment="0"/>
    <xf numFmtId="177" fontId="9" fillId="0" borderId="0" applyFill="0" applyBorder="0" applyAlignment="0"/>
    <xf numFmtId="181" fontId="18" fillId="0" borderId="0" applyFill="0" applyBorder="0" applyAlignment="0"/>
    <xf numFmtId="178" fontId="9" fillId="0" borderId="0" applyFill="0" applyBorder="0" applyAlignment="0"/>
    <xf numFmtId="174" fontId="9" fillId="0" borderId="0" applyFill="0" applyBorder="0" applyAlignment="0"/>
    <xf numFmtId="0" fontId="28" fillId="0" borderId="0" applyFill="0" applyBorder="0" applyProtection="0">
      <alignment horizontal="center"/>
      <protection locked="0"/>
    </xf>
    <xf numFmtId="0" fontId="17" fillId="0" borderId="0"/>
    <xf numFmtId="169" fontId="17" fillId="0" borderId="7"/>
    <xf numFmtId="213" fontId="1" fillId="0" borderId="0"/>
    <xf numFmtId="213" fontId="1" fillId="0" borderId="0"/>
    <xf numFmtId="181" fontId="9" fillId="0" borderId="0" applyFont="0" applyFill="0" applyBorder="0" applyAlignment="0" applyProtection="0"/>
    <xf numFmtId="4" fontId="17"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 fontId="17"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xf numFmtId="0" fontId="32" fillId="0" borderId="0" applyFill="0" applyBorder="0" applyAlignment="0" applyProtection="0">
      <protection locked="0"/>
    </xf>
    <xf numFmtId="189" fontId="9" fillId="0" borderId="0">
      <alignment horizontal="center"/>
    </xf>
    <xf numFmtId="183" fontId="33" fillId="0" borderId="0" applyFill="0" applyBorder="0" applyProtection="0"/>
    <xf numFmtId="182" fontId="34" fillId="0" borderId="0" applyFont="0" applyFill="0" applyBorder="0" applyAlignment="0" applyProtection="0"/>
    <xf numFmtId="170" fontId="35" fillId="0" borderId="16">
      <protection hidden="1"/>
    </xf>
    <xf numFmtId="174"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1" fillId="0" borderId="0" applyNumberFormat="0" applyFill="0" applyBorder="0" applyAlignment="0" applyProtection="0"/>
    <xf numFmtId="1" fontId="24" fillId="0" borderId="0"/>
    <xf numFmtId="14" fontId="36" fillId="0" borderId="0">
      <alignment horizontal="center"/>
    </xf>
    <xf numFmtId="14" fontId="18" fillId="0" borderId="0" applyFill="0" applyBorder="0" applyAlignment="0"/>
    <xf numFmtId="15" fontId="37" fillId="3" borderId="0" applyNumberFormat="0" applyFont="0" applyFill="0" applyBorder="0" applyAlignment="0">
      <alignment horizontal="center" wrapText="1"/>
    </xf>
    <xf numFmtId="0" fontId="18" fillId="0" borderId="17" applyNumberFormat="0" applyFill="0" applyBorder="0" applyAlignment="0" applyProtection="0"/>
    <xf numFmtId="188" fontId="17" fillId="0" borderId="0" applyFont="0" applyFill="0" applyBorder="0" applyAlignment="0" applyProtection="0"/>
    <xf numFmtId="187" fontId="34" fillId="0" borderId="0" applyFont="0" applyFill="0" applyBorder="0" applyAlignment="0" applyProtection="0"/>
    <xf numFmtId="181" fontId="38" fillId="0" borderId="0" applyFill="0" applyBorder="0" applyAlignment="0"/>
    <xf numFmtId="174" fontId="9" fillId="0" borderId="0" applyFill="0" applyBorder="0" applyAlignment="0"/>
    <xf numFmtId="181" fontId="38" fillId="0" borderId="0" applyFill="0" applyBorder="0" applyAlignment="0"/>
    <xf numFmtId="178" fontId="9" fillId="0" borderId="0" applyFill="0" applyBorder="0" applyAlignment="0"/>
    <xf numFmtId="174" fontId="9" fillId="0" borderId="0" applyFill="0" applyBorder="0" applyAlignment="0"/>
    <xf numFmtId="170" fontId="35" fillId="0" borderId="16">
      <protection hidden="1"/>
    </xf>
    <xf numFmtId="191" fontId="9" fillId="0" borderId="0" applyFont="0" applyFill="0" applyBorder="0" applyAlignment="0" applyProtection="0"/>
    <xf numFmtId="38" fontId="39" fillId="3" borderId="0" applyNumberFormat="0" applyBorder="0" applyAlignment="0" applyProtection="0"/>
    <xf numFmtId="0" fontId="40" fillId="0" borderId="18" applyNumberFormat="0" applyAlignment="0" applyProtection="0">
      <alignment horizontal="left" vertical="center"/>
    </xf>
    <xf numFmtId="0" fontId="40"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0"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0"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0"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0" fillId="0" borderId="9">
      <alignment horizontal="left" vertical="center"/>
    </xf>
    <xf numFmtId="0" fontId="40" fillId="0" borderId="9">
      <alignment horizontal="left" vertical="center"/>
    </xf>
    <xf numFmtId="0" fontId="40" fillId="0" borderId="9">
      <alignment horizontal="left" vertical="center"/>
    </xf>
    <xf numFmtId="0" fontId="40" fillId="0" borderId="9">
      <alignment horizontal="left" vertical="center"/>
    </xf>
    <xf numFmtId="0" fontId="1" fillId="0" borderId="0">
      <alignment horizontal="left" vertical="center"/>
    </xf>
    <xf numFmtId="14" fontId="29" fillId="4" borderId="16">
      <alignment horizontal="center" vertical="center" wrapText="1"/>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8" fillId="0" borderId="0" applyFill="0" applyAlignment="0" applyProtection="0">
      <protection locked="0"/>
    </xf>
    <xf numFmtId="0" fontId="28" fillId="0" borderId="7" applyFill="0" applyAlignment="0" applyProtection="0">
      <protection locked="0"/>
    </xf>
    <xf numFmtId="10" fontId="39" fillId="5" borderId="17" applyNumberFormat="0" applyBorder="0" applyAlignment="0" applyProtection="0"/>
    <xf numFmtId="181" fontId="41" fillId="0" borderId="0" applyFill="0" applyBorder="0" applyAlignment="0"/>
    <xf numFmtId="174" fontId="9" fillId="0" borderId="0" applyFill="0" applyBorder="0" applyAlignment="0"/>
    <xf numFmtId="181" fontId="41" fillId="0" borderId="0" applyFill="0" applyBorder="0" applyAlignment="0"/>
    <xf numFmtId="178" fontId="9" fillId="0" borderId="0" applyFill="0" applyBorder="0" applyAlignment="0"/>
    <xf numFmtId="174" fontId="9" fillId="0" borderId="0" applyFill="0" applyBorder="0" applyAlignment="0"/>
    <xf numFmtId="209" fontId="9" fillId="0" borderId="0" applyFont="0" applyFill="0" applyBorder="0" applyAlignment="0" applyProtection="0"/>
    <xf numFmtId="210" fontId="9" fillId="0" borderId="0" applyFont="0" applyFill="0" applyBorder="0" applyAlignment="0" applyProtection="0"/>
    <xf numFmtId="38" fontId="30" fillId="0" borderId="0" applyFont="0" applyFill="0" applyBorder="0" applyAlignment="0" applyProtection="0"/>
    <xf numFmtId="40" fontId="30" fillId="0" borderId="0" applyFont="0" applyFill="0" applyBorder="0" applyAlignment="0" applyProtection="0"/>
    <xf numFmtId="211" fontId="9" fillId="0" borderId="0" applyFont="0" applyFill="0" applyBorder="0" applyAlignment="0" applyProtection="0"/>
    <xf numFmtId="212" fontId="9" fillId="0" borderId="0" applyFont="0" applyFill="0" applyBorder="0" applyAlignment="0" applyProtection="0"/>
    <xf numFmtId="6" fontId="30" fillId="0" borderId="0" applyFont="0" applyFill="0" applyBorder="0" applyAlignment="0" applyProtection="0"/>
    <xf numFmtId="8" fontId="30" fillId="0" borderId="0" applyFont="0" applyFill="0" applyBorder="0" applyAlignment="0" applyProtection="0"/>
    <xf numFmtId="167" fontId="24" fillId="0" borderId="7"/>
    <xf numFmtId="37" fontId="46" fillId="0" borderId="0"/>
    <xf numFmtId="168" fontId="17" fillId="0" borderId="0"/>
    <xf numFmtId="168" fontId="1" fillId="0" borderId="0"/>
    <xf numFmtId="173" fontId="9" fillId="0" borderId="0"/>
    <xf numFmtId="37" fontId="16" fillId="0" borderId="0"/>
    <xf numFmtId="0" fontId="9" fillId="0" borderId="0"/>
    <xf numFmtId="0" fontId="1" fillId="0" borderId="0"/>
    <xf numFmtId="0" fontId="9" fillId="0" borderId="0"/>
    <xf numFmtId="0" fontId="9" fillId="0" borderId="0"/>
    <xf numFmtId="0" fontId="9" fillId="0" borderId="0">
      <alignment wrapText="1"/>
    </xf>
    <xf numFmtId="0" fontId="9" fillId="0" borderId="0"/>
    <xf numFmtId="37" fontId="16" fillId="0" borderId="0"/>
    <xf numFmtId="37" fontId="1" fillId="0" borderId="0"/>
    <xf numFmtId="37" fontId="1" fillId="0" borderId="0"/>
    <xf numFmtId="37" fontId="9" fillId="0" borderId="0"/>
    <xf numFmtId="208" fontId="9" fillId="0" borderId="0"/>
    <xf numFmtId="202" fontId="9" fillId="0" borderId="0"/>
    <xf numFmtId="39" fontId="9" fillId="0" borderId="0"/>
    <xf numFmtId="203" fontId="9" fillId="0" borderId="0"/>
    <xf numFmtId="200" fontId="9" fillId="0" borderId="0"/>
    <xf numFmtId="204" fontId="9" fillId="0" borderId="0"/>
    <xf numFmtId="201" fontId="9" fillId="0" borderId="0"/>
    <xf numFmtId="205" fontId="9" fillId="0" borderId="0"/>
    <xf numFmtId="206" fontId="9" fillId="0" borderId="0"/>
    <xf numFmtId="207" fontId="9" fillId="0" borderId="0"/>
    <xf numFmtId="172" fontId="30" fillId="0" borderId="0"/>
    <xf numFmtId="171" fontId="35" fillId="0" borderId="0">
      <protection hidden="1"/>
    </xf>
    <xf numFmtId="177" fontId="9" fillId="0" borderId="0" applyFont="0" applyFill="0" applyBorder="0" applyAlignment="0" applyProtection="0"/>
    <xf numFmtId="173" fontId="9" fillId="0" borderId="0" applyFont="0" applyFill="0" applyBorder="0" applyAlignment="0" applyProtection="0"/>
    <xf numFmtId="10"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0" fillId="0" borderId="19" applyNumberFormat="0" applyBorder="0"/>
    <xf numFmtId="167" fontId="24" fillId="0" borderId="0"/>
    <xf numFmtId="0" fontId="47" fillId="6" borderId="20" applyNumberFormat="0" applyFont="0" applyFill="0" applyAlignment="0">
      <alignment horizontal="center" vertical="center"/>
    </xf>
    <xf numFmtId="181" fontId="42" fillId="0" borderId="0" applyFill="0" applyBorder="0" applyAlignment="0"/>
    <xf numFmtId="174" fontId="9" fillId="0" borderId="0" applyFill="0" applyBorder="0" applyAlignment="0"/>
    <xf numFmtId="181" fontId="42" fillId="0" borderId="0" applyFill="0" applyBorder="0" applyAlignment="0"/>
    <xf numFmtId="178" fontId="9" fillId="0" borderId="0" applyFill="0" applyBorder="0" applyAlignment="0"/>
    <xf numFmtId="174" fontId="9" fillId="0" borderId="0" applyFill="0" applyBorder="0" applyAlignment="0"/>
    <xf numFmtId="37" fontId="16" fillId="0" borderId="21"/>
    <xf numFmtId="0" fontId="48" fillId="0" borderId="0"/>
    <xf numFmtId="0" fontId="17" fillId="0" borderId="0"/>
    <xf numFmtId="0" fontId="30" fillId="0" borderId="0"/>
    <xf numFmtId="49" fontId="18" fillId="0" borderId="0" applyFill="0" applyBorder="0" applyAlignment="0"/>
    <xf numFmtId="179" fontId="9" fillId="0" borderId="0" applyFill="0" applyBorder="0" applyAlignment="0"/>
    <xf numFmtId="180" fontId="9" fillId="0" borderId="0" applyFill="0" applyBorder="0" applyAlignment="0"/>
    <xf numFmtId="49" fontId="9" fillId="0" borderId="0"/>
    <xf numFmtId="0" fontId="43" fillId="0" borderId="0" applyFill="0" applyBorder="0" applyProtection="0">
      <alignment horizontal="left" vertical="top"/>
    </xf>
    <xf numFmtId="40" fontId="44"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37" fontId="16" fillId="0" borderId="7"/>
    <xf numFmtId="37" fontId="16" fillId="0" borderId="22"/>
    <xf numFmtId="185" fontId="9" fillId="0" borderId="0" applyFont="0" applyFill="0" applyBorder="0" applyAlignment="0" applyProtection="0"/>
    <xf numFmtId="186" fontId="9" fillId="0" borderId="0" applyFont="0" applyFill="0" applyBorder="0" applyAlignment="0" applyProtection="0"/>
    <xf numFmtId="0" fontId="9" fillId="0" borderId="0"/>
    <xf numFmtId="0" fontId="9" fillId="0" borderId="0"/>
    <xf numFmtId="37" fontId="9" fillId="0" borderId="0"/>
    <xf numFmtId="39" fontId="9" fillId="0" borderId="0"/>
    <xf numFmtId="0" fontId="50" fillId="0" borderId="0"/>
    <xf numFmtId="214" fontId="9" fillId="0" borderId="0" applyFill="0" applyBorder="0" applyAlignment="0"/>
    <xf numFmtId="164" fontId="9" fillId="0" borderId="0" applyFill="0" applyBorder="0" applyAlignment="0"/>
    <xf numFmtId="215" fontId="9" fillId="0" borderId="0" applyFill="0" applyBorder="0" applyAlignment="0"/>
    <xf numFmtId="216" fontId="9" fillId="0" borderId="0" applyFill="0" applyBorder="0" applyAlignment="0"/>
    <xf numFmtId="217" fontId="9" fillId="0" borderId="0" applyFill="0" applyBorder="0" applyAlignment="0"/>
    <xf numFmtId="218" fontId="9" fillId="0" borderId="0" applyFill="0" applyBorder="0" applyAlignment="0"/>
    <xf numFmtId="219" fontId="9" fillId="0" borderId="0" applyFill="0" applyBorder="0" applyAlignment="0"/>
    <xf numFmtId="164" fontId="9" fillId="0" borderId="0" applyFill="0" applyBorder="0" applyAlignment="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50" fillId="0" borderId="7"/>
    <xf numFmtId="218"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164" fontId="9" fillId="0" borderId="0" applyFont="0" applyFill="0" applyBorder="0" applyAlignment="0" applyProtection="0"/>
    <xf numFmtId="218" fontId="9" fillId="0" borderId="0" applyFill="0" applyBorder="0" applyAlignment="0"/>
    <xf numFmtId="164" fontId="9" fillId="0" borderId="0" applyFill="0" applyBorder="0" applyAlignment="0"/>
    <xf numFmtId="218" fontId="9" fillId="0" borderId="0" applyFill="0" applyBorder="0" applyAlignment="0"/>
    <xf numFmtId="219" fontId="9" fillId="0" borderId="0" applyFill="0" applyBorder="0" applyAlignment="0"/>
    <xf numFmtId="164" fontId="9" fillId="0" borderId="0" applyFill="0" applyBorder="0" applyAlignment="0"/>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218" fontId="9" fillId="0" borderId="0" applyFill="0" applyBorder="0" applyAlignment="0"/>
    <xf numFmtId="164" fontId="9" fillId="0" borderId="0" applyFill="0" applyBorder="0" applyAlignment="0"/>
    <xf numFmtId="218" fontId="9" fillId="0" borderId="0" applyFill="0" applyBorder="0" applyAlignment="0"/>
    <xf numFmtId="219" fontId="9" fillId="0" borderId="0" applyFill="0" applyBorder="0" applyAlignment="0"/>
    <xf numFmtId="164" fontId="9" fillId="0" borderId="0" applyFill="0" applyBorder="0" applyAlignment="0"/>
    <xf numFmtId="221" fontId="9" fillId="0" borderId="0"/>
    <xf numFmtId="0" fontId="53" fillId="0" borderId="0"/>
    <xf numFmtId="0" fontId="53" fillId="0" borderId="0"/>
    <xf numFmtId="0" fontId="53" fillId="0" borderId="0"/>
    <xf numFmtId="0" fontId="53" fillId="0" borderId="0"/>
    <xf numFmtId="0" fontId="9" fillId="0" borderId="0">
      <alignment wrapText="1"/>
    </xf>
    <xf numFmtId="0" fontId="54" fillId="0" borderId="0"/>
    <xf numFmtId="0" fontId="1" fillId="0" borderId="0"/>
    <xf numFmtId="0" fontId="1" fillId="0" borderId="0"/>
    <xf numFmtId="0" fontId="9" fillId="0" borderId="0"/>
    <xf numFmtId="0" fontId="1" fillId="0" borderId="0"/>
    <xf numFmtId="0" fontId="49" fillId="0" borderId="0"/>
    <xf numFmtId="0" fontId="1" fillId="0" borderId="0"/>
    <xf numFmtId="0" fontId="9" fillId="0" borderId="0">
      <alignment wrapText="1"/>
    </xf>
    <xf numFmtId="217" fontId="9" fillId="0" borderId="0" applyFont="0" applyFill="0" applyBorder="0" applyAlignment="0" applyProtection="0"/>
    <xf numFmtId="221" fontId="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218" fontId="9" fillId="0" borderId="0" applyFill="0" applyBorder="0" applyAlignment="0"/>
    <xf numFmtId="164" fontId="9" fillId="0" borderId="0" applyFill="0" applyBorder="0" applyAlignment="0"/>
    <xf numFmtId="218" fontId="9" fillId="0" borderId="0" applyFill="0" applyBorder="0" applyAlignment="0"/>
    <xf numFmtId="219" fontId="9" fillId="0" borderId="0" applyFill="0" applyBorder="0" applyAlignment="0"/>
    <xf numFmtId="164" fontId="9" fillId="0" borderId="0" applyFill="0" applyBorder="0" applyAlignment="0"/>
    <xf numFmtId="222" fontId="9" fillId="0" borderId="0" applyFill="0" applyBorder="0" applyAlignment="0"/>
    <xf numFmtId="223" fontId="9" fillId="0" borderId="0" applyFill="0" applyBorder="0" applyAlignment="0"/>
    <xf numFmtId="37" fontId="55" fillId="0" borderId="0"/>
    <xf numFmtId="4" fontId="50" fillId="0" borderId="0" applyFont="0" applyFill="0" applyBorder="0" applyAlignment="0" applyProtection="0"/>
    <xf numFmtId="9" fontId="56" fillId="0" borderId="0" applyFont="0" applyFill="0" applyBorder="0" applyAlignment="0" applyProtection="0"/>
    <xf numFmtId="0" fontId="51"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9" fontId="56" fillId="0" borderId="0" applyFont="0" applyFill="0" applyBorder="0" applyAlignment="0" applyProtection="0"/>
    <xf numFmtId="37" fontId="59" fillId="0" borderId="16">
      <alignment horizontal="right"/>
      <protection locked="0"/>
    </xf>
    <xf numFmtId="37" fontId="58" fillId="0" borderId="16">
      <alignment horizontal="right"/>
      <protection locked="0"/>
    </xf>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cellStyleXfs>
  <cellXfs count="328">
    <xf numFmtId="0" fontId="0" fillId="0" borderId="0" xfId="0"/>
    <xf numFmtId="165" fontId="0" fillId="0" borderId="0" xfId="1" applyNumberFormat="1" applyFont="1" applyBorder="1" applyAlignment="1">
      <alignment horizontal="right"/>
    </xf>
    <xf numFmtId="165" fontId="2" fillId="0" borderId="5" xfId="1" applyNumberFormat="1" applyFont="1" applyBorder="1" applyAlignment="1">
      <alignment horizontal="right"/>
    </xf>
    <xf numFmtId="165" fontId="2" fillId="0" borderId="0" xfId="1" applyNumberFormat="1" applyFont="1" applyBorder="1" applyAlignment="1">
      <alignment horizontal="right"/>
    </xf>
    <xf numFmtId="165" fontId="2" fillId="0" borderId="3" xfId="1" applyNumberFormat="1" applyFont="1" applyBorder="1" applyAlignment="1">
      <alignment horizontal="right"/>
    </xf>
    <xf numFmtId="165" fontId="2" fillId="0" borderId="4" xfId="1" applyNumberFormat="1" applyFont="1" applyBorder="1" applyAlignment="1">
      <alignment horizontal="right"/>
    </xf>
    <xf numFmtId="9" fontId="0" fillId="0" borderId="5" xfId="2" applyFont="1" applyBorder="1" applyAlignment="1">
      <alignment horizontal="right"/>
    </xf>
    <xf numFmtId="0" fontId="0" fillId="0" borderId="3" xfId="0" applyFont="1" applyFill="1" applyBorder="1"/>
    <xf numFmtId="165" fontId="6" fillId="0" borderId="0" xfId="1" applyNumberFormat="1" applyFont="1" applyBorder="1" applyAlignment="1">
      <alignment horizontal="right"/>
    </xf>
    <xf numFmtId="165" fontId="5" fillId="0" borderId="0" xfId="1" applyNumberFormat="1" applyFont="1" applyBorder="1" applyAlignment="1">
      <alignment horizontal="right"/>
    </xf>
    <xf numFmtId="165" fontId="5" fillId="0" borderId="3" xfId="1" applyNumberFormat="1" applyFont="1" applyBorder="1" applyAlignment="1">
      <alignment horizontal="right"/>
    </xf>
    <xf numFmtId="9" fontId="6" fillId="0" borderId="0" xfId="2" applyFont="1" applyBorder="1" applyAlignment="1">
      <alignment horizontal="right"/>
    </xf>
    <xf numFmtId="165" fontId="7" fillId="0" borderId="0" xfId="1" applyNumberFormat="1" applyFont="1" applyBorder="1" applyAlignment="1">
      <alignment horizontal="right"/>
    </xf>
    <xf numFmtId="165" fontId="7" fillId="0" borderId="5" xfId="1" applyNumberFormat="1" applyFont="1" applyBorder="1" applyAlignment="1">
      <alignment horizontal="right"/>
    </xf>
    <xf numFmtId="0" fontId="8" fillId="0" borderId="3" xfId="0" applyFont="1" applyBorder="1"/>
    <xf numFmtId="165" fontId="2" fillId="0" borderId="8" xfId="1" applyNumberFormat="1" applyFont="1" applyBorder="1" applyAlignment="1">
      <alignment horizontal="right"/>
    </xf>
    <xf numFmtId="165" fontId="2" fillId="0" borderId="7" xfId="1" applyNumberFormat="1" applyFont="1" applyBorder="1" applyAlignment="1">
      <alignment horizontal="right"/>
    </xf>
    <xf numFmtId="9" fontId="5" fillId="0" borderId="0" xfId="2" applyFont="1" applyBorder="1" applyAlignment="1">
      <alignment horizontal="right"/>
    </xf>
    <xf numFmtId="9" fontId="7" fillId="0" borderId="5" xfId="2" applyFont="1" applyBorder="1" applyAlignment="1">
      <alignment horizontal="right"/>
    </xf>
    <xf numFmtId="0" fontId="0" fillId="0" borderId="0" xfId="0" applyBorder="1" applyAlignment="1">
      <alignment vertical="top" wrapText="1"/>
    </xf>
    <xf numFmtId="165" fontId="0" fillId="0" borderId="3" xfId="1" applyNumberFormat="1" applyFont="1" applyBorder="1" applyAlignment="1">
      <alignment horizontal="right"/>
    </xf>
    <xf numFmtId="165" fontId="0" fillId="0" borderId="4" xfId="1" applyNumberFormat="1" applyFont="1" applyBorder="1" applyAlignment="1">
      <alignment horizontal="right"/>
    </xf>
    <xf numFmtId="9" fontId="0" fillId="0" borderId="4" xfId="2" applyFont="1" applyBorder="1" applyAlignment="1">
      <alignment horizontal="right"/>
    </xf>
    <xf numFmtId="164" fontId="0" fillId="0" borderId="0" xfId="1" applyNumberFormat="1" applyFont="1" applyFill="1" applyAlignment="1">
      <alignment horizontal="right"/>
    </xf>
    <xf numFmtId="165" fontId="10" fillId="0" borderId="5" xfId="1" applyNumberFormat="1" applyFont="1" applyBorder="1" applyAlignment="1">
      <alignment horizontal="right"/>
    </xf>
    <xf numFmtId="165" fontId="11" fillId="0" borderId="5" xfId="1" applyNumberFormat="1" applyFont="1" applyBorder="1" applyAlignment="1">
      <alignment horizontal="right"/>
    </xf>
    <xf numFmtId="165" fontId="12" fillId="0" borderId="0" xfId="1" applyNumberFormat="1" applyFont="1" applyBorder="1" applyAlignment="1">
      <alignment horizontal="right"/>
    </xf>
    <xf numFmtId="165" fontId="12" fillId="0" borderId="5" xfId="1" applyNumberFormat="1" applyFont="1" applyBorder="1" applyAlignment="1">
      <alignment horizontal="right"/>
    </xf>
    <xf numFmtId="43" fontId="12" fillId="0" borderId="0" xfId="1" applyNumberFormat="1" applyFont="1" applyFill="1" applyBorder="1" applyAlignment="1">
      <alignment horizontal="right"/>
    </xf>
    <xf numFmtId="43" fontId="12" fillId="0" borderId="5" xfId="1" applyNumberFormat="1" applyFont="1" applyFill="1" applyBorder="1" applyAlignment="1">
      <alignment horizontal="right"/>
    </xf>
    <xf numFmtId="164" fontId="3" fillId="0" borderId="5" xfId="1" quotePrefix="1" applyNumberFormat="1" applyFont="1" applyFill="1" applyBorder="1" applyAlignment="1">
      <alignment horizontal="right"/>
    </xf>
    <xf numFmtId="166" fontId="0" fillId="0" borderId="0" xfId="2" applyNumberFormat="1" applyFont="1" applyFill="1" applyBorder="1" applyAlignment="1">
      <alignment horizontal="right"/>
    </xf>
    <xf numFmtId="166" fontId="0" fillId="0" borderId="0" xfId="2" applyNumberFormat="1" applyFont="1" applyBorder="1" applyAlignment="1">
      <alignment horizontal="right"/>
    </xf>
    <xf numFmtId="164" fontId="1" fillId="0" borderId="0" xfId="1" quotePrefix="1" applyNumberFormat="1" applyFont="1" applyBorder="1" applyAlignment="1">
      <alignment horizontal="right"/>
    </xf>
    <xf numFmtId="164" fontId="1" fillId="0" borderId="5" xfId="1" quotePrefix="1" applyNumberFormat="1" applyFont="1" applyBorder="1" applyAlignment="1">
      <alignment horizontal="right"/>
    </xf>
    <xf numFmtId="164" fontId="1" fillId="0" borderId="5" xfId="1" quotePrefix="1" applyNumberFormat="1" applyFont="1" applyFill="1" applyBorder="1" applyAlignment="1">
      <alignment horizontal="right"/>
    </xf>
    <xf numFmtId="43" fontId="1" fillId="0" borderId="0" xfId="1" quotePrefix="1" applyNumberFormat="1" applyFont="1" applyBorder="1" applyAlignment="1">
      <alignment horizontal="right"/>
    </xf>
    <xf numFmtId="165" fontId="1" fillId="0" borderId="0" xfId="1" quotePrefix="1" applyNumberFormat="1" applyFont="1" applyBorder="1" applyAlignment="1">
      <alignment horizontal="right"/>
    </xf>
    <xf numFmtId="9" fontId="1" fillId="0" borderId="5" xfId="2" quotePrefix="1" applyFont="1" applyFill="1" applyBorder="1" applyAlignment="1">
      <alignment horizontal="right"/>
    </xf>
    <xf numFmtId="43" fontId="0" fillId="0" borderId="0" xfId="1" quotePrefix="1" applyNumberFormat="1" applyFont="1" applyBorder="1" applyAlignment="1">
      <alignment horizontal="right"/>
    </xf>
    <xf numFmtId="165" fontId="10" fillId="0" borderId="7" xfId="1" applyNumberFormat="1" applyFont="1" applyBorder="1" applyAlignment="1">
      <alignment horizontal="right"/>
    </xf>
    <xf numFmtId="43" fontId="2" fillId="0" borderId="0" xfId="1" quotePrefix="1" applyNumberFormat="1" applyFont="1" applyBorder="1" applyAlignment="1">
      <alignment horizontal="right"/>
    </xf>
    <xf numFmtId="165" fontId="0" fillId="0" borderId="3" xfId="1" applyNumberFormat="1" applyFont="1" applyFill="1" applyBorder="1" applyAlignment="1">
      <alignment horizontal="right"/>
    </xf>
    <xf numFmtId="165" fontId="0" fillId="0" borderId="0" xfId="1" applyNumberFormat="1" applyFont="1" applyFill="1" applyBorder="1" applyAlignment="1">
      <alignment horizontal="right"/>
    </xf>
    <xf numFmtId="164" fontId="3" fillId="0" borderId="2" xfId="1" quotePrefix="1" applyNumberFormat="1" applyFont="1" applyBorder="1" applyAlignment="1">
      <alignment horizontal="right"/>
    </xf>
    <xf numFmtId="164" fontId="3" fillId="0" borderId="2" xfId="1" quotePrefix="1" applyNumberFormat="1" applyFont="1" applyFill="1" applyBorder="1" applyAlignment="1">
      <alignment horizontal="right"/>
    </xf>
    <xf numFmtId="43" fontId="0" fillId="0" borderId="0" xfId="1" applyFont="1"/>
    <xf numFmtId="43" fontId="0" fillId="0" borderId="0" xfId="1" applyFont="1" applyAlignment="1">
      <alignment horizontal="right"/>
    </xf>
    <xf numFmtId="166" fontId="0" fillId="0" borderId="5" xfId="2" applyNumberFormat="1" applyFont="1" applyBorder="1" applyAlignment="1">
      <alignment horizontal="right"/>
    </xf>
    <xf numFmtId="165" fontId="10" fillId="0" borderId="3" xfId="1" applyNumberFormat="1" applyFont="1" applyFill="1" applyBorder="1" applyAlignment="1">
      <alignment horizontal="right"/>
    </xf>
    <xf numFmtId="165" fontId="10" fillId="0" borderId="4" xfId="1" applyNumberFormat="1" applyFont="1" applyFill="1" applyBorder="1" applyAlignment="1">
      <alignment horizontal="right"/>
    </xf>
    <xf numFmtId="165" fontId="11" fillId="0" borderId="3" xfId="1" applyNumberFormat="1" applyFont="1" applyFill="1" applyBorder="1" applyAlignment="1">
      <alignment horizontal="right"/>
    </xf>
    <xf numFmtId="165" fontId="11" fillId="0" borderId="4" xfId="1" applyNumberFormat="1" applyFont="1" applyFill="1" applyBorder="1" applyAlignment="1">
      <alignment horizontal="right"/>
    </xf>
    <xf numFmtId="165" fontId="12" fillId="0" borderId="3" xfId="1" applyNumberFormat="1" applyFont="1" applyFill="1" applyBorder="1" applyAlignment="1">
      <alignment horizontal="right"/>
    </xf>
    <xf numFmtId="165" fontId="12" fillId="0" borderId="4" xfId="1" applyNumberFormat="1" applyFont="1" applyFill="1" applyBorder="1" applyAlignment="1">
      <alignment horizontal="right"/>
    </xf>
    <xf numFmtId="9" fontId="7" fillId="0" borderId="8" xfId="2" applyFont="1" applyBorder="1" applyAlignment="1">
      <alignment horizontal="right"/>
    </xf>
    <xf numFmtId="9" fontId="2" fillId="0" borderId="0" xfId="2" quotePrefix="1" applyFont="1" applyBorder="1" applyAlignment="1">
      <alignment horizontal="right"/>
    </xf>
    <xf numFmtId="166" fontId="2" fillId="0" borderId="0" xfId="2" quotePrefix="1" applyNumberFormat="1" applyFont="1" applyBorder="1" applyAlignment="1">
      <alignment horizontal="right"/>
    </xf>
    <xf numFmtId="166" fontId="2" fillId="0" borderId="5" xfId="2" quotePrefix="1" applyNumberFormat="1" applyFont="1" applyBorder="1" applyAlignment="1">
      <alignment horizontal="right"/>
    </xf>
    <xf numFmtId="43" fontId="2" fillId="0" borderId="0" xfId="1" quotePrefix="1" applyNumberFormat="1" applyFont="1" applyFill="1" applyBorder="1" applyAlignment="1">
      <alignment horizontal="right"/>
    </xf>
    <xf numFmtId="164" fontId="2" fillId="0" borderId="0" xfId="1" quotePrefix="1" applyNumberFormat="1" applyFont="1" applyFill="1" applyBorder="1" applyAlignment="1">
      <alignment horizontal="right"/>
    </xf>
    <xf numFmtId="0" fontId="2" fillId="0" borderId="3" xfId="0" applyFont="1" applyFill="1" applyBorder="1"/>
    <xf numFmtId="164" fontId="0" fillId="0" borderId="4" xfId="1" applyNumberFormat="1" applyFont="1" applyBorder="1" applyAlignment="1">
      <alignment horizontal="right"/>
    </xf>
    <xf numFmtId="164" fontId="0" fillId="0" borderId="0" xfId="1" applyNumberFormat="1" applyFont="1" applyAlignment="1">
      <alignment horizontal="left"/>
    </xf>
    <xf numFmtId="165" fontId="0" fillId="0" borderId="0" xfId="1" applyNumberFormat="1" applyFont="1" applyAlignment="1">
      <alignment horizontal="right"/>
    </xf>
    <xf numFmtId="166" fontId="2" fillId="0" borderId="0" xfId="2" quotePrefix="1" applyNumberFormat="1" applyFont="1" applyFill="1" applyBorder="1" applyAlignment="1">
      <alignment horizontal="right"/>
    </xf>
    <xf numFmtId="166" fontId="2" fillId="0" borderId="5" xfId="2" quotePrefix="1" applyNumberFormat="1" applyFont="1" applyFill="1" applyBorder="1" applyAlignment="1">
      <alignment horizontal="right"/>
    </xf>
    <xf numFmtId="0" fontId="0" fillId="0" borderId="0" xfId="0" applyFill="1"/>
    <xf numFmtId="43" fontId="0" fillId="0" borderId="4" xfId="1" applyNumberFormat="1" applyFont="1" applyBorder="1" applyAlignment="1">
      <alignment horizontal="right"/>
    </xf>
    <xf numFmtId="166" fontId="0" fillId="0" borderId="4" xfId="2" applyNumberFormat="1" applyFont="1" applyBorder="1" applyAlignment="1">
      <alignment horizontal="right"/>
    </xf>
    <xf numFmtId="166" fontId="2" fillId="0" borderId="4" xfId="2" applyNumberFormat="1" applyFont="1" applyBorder="1" applyAlignment="1">
      <alignment horizontal="right"/>
    </xf>
    <xf numFmtId="43" fontId="0" fillId="0" borderId="0" xfId="1" applyFont="1" applyFill="1"/>
    <xf numFmtId="165" fontId="0" fillId="0" borderId="0" xfId="0" applyNumberFormat="1" applyFill="1"/>
    <xf numFmtId="43" fontId="0" fillId="0" borderId="0" xfId="1" applyFont="1" applyFill="1" applyAlignment="1">
      <alignment horizontal="right"/>
    </xf>
    <xf numFmtId="165" fontId="1" fillId="0" borderId="5" xfId="1" quotePrefix="1" applyNumberFormat="1" applyFont="1" applyBorder="1" applyAlignment="1">
      <alignment horizontal="right"/>
    </xf>
    <xf numFmtId="0" fontId="2" fillId="0" borderId="0" xfId="0" applyFont="1"/>
    <xf numFmtId="165" fontId="2" fillId="0" borderId="0" xfId="1" applyNumberFormat="1" applyFont="1" applyFill="1" applyBorder="1" applyAlignment="1">
      <alignment horizontal="right"/>
    </xf>
    <xf numFmtId="165" fontId="2" fillId="0" borderId="3" xfId="1" applyNumberFormat="1" applyFont="1" applyFill="1" applyBorder="1" applyAlignment="1">
      <alignment horizontal="right"/>
    </xf>
    <xf numFmtId="43" fontId="10" fillId="0" borderId="0" xfId="1" applyNumberFormat="1" applyFont="1" applyFill="1" applyBorder="1" applyAlignment="1">
      <alignment horizontal="right"/>
    </xf>
    <xf numFmtId="0" fontId="13" fillId="0" borderId="0" xfId="0" applyFont="1"/>
    <xf numFmtId="165" fontId="0" fillId="0" borderId="4" xfId="1" applyNumberFormat="1" applyFont="1" applyFill="1" applyBorder="1" applyAlignment="1">
      <alignment horizontal="right"/>
    </xf>
    <xf numFmtId="165" fontId="0" fillId="0" borderId="5" xfId="1" applyNumberFormat="1" applyFont="1" applyFill="1" applyBorder="1" applyAlignment="1">
      <alignment horizontal="right"/>
    </xf>
    <xf numFmtId="0" fontId="0" fillId="0" borderId="0" xfId="0" applyAlignment="1">
      <alignment horizontal="left"/>
    </xf>
    <xf numFmtId="0" fontId="0" fillId="0" borderId="0" xfId="0" applyFont="1" applyAlignment="1">
      <alignment horizontal="left"/>
    </xf>
    <xf numFmtId="0" fontId="2" fillId="0" borderId="0" xfId="0" applyFont="1" applyFill="1" applyBorder="1" applyAlignment="1">
      <alignment horizontal="left"/>
    </xf>
    <xf numFmtId="0" fontId="0" fillId="0" borderId="0" xfId="0" applyBorder="1" applyAlignment="1">
      <alignment horizontal="left"/>
    </xf>
    <xf numFmtId="165" fontId="1" fillId="0" borderId="3" xfId="1" applyNumberFormat="1" applyFont="1" applyFill="1" applyBorder="1" applyAlignment="1">
      <alignment horizontal="right"/>
    </xf>
    <xf numFmtId="165" fontId="1" fillId="0" borderId="0" xfId="1" applyNumberFormat="1" applyFont="1" applyFill="1" applyBorder="1" applyAlignment="1">
      <alignment horizontal="right"/>
    </xf>
    <xf numFmtId="43" fontId="10" fillId="0" borderId="8" xfId="1" applyNumberFormat="1" applyFont="1" applyFill="1" applyBorder="1" applyAlignment="1">
      <alignment horizontal="right"/>
    </xf>
    <xf numFmtId="43" fontId="1" fillId="0" borderId="4" xfId="1" quotePrefix="1" applyNumberFormat="1" applyFont="1" applyBorder="1" applyAlignment="1">
      <alignment horizontal="right"/>
    </xf>
    <xf numFmtId="9" fontId="0" fillId="0" borderId="4" xfId="2" applyNumberFormat="1" applyFont="1" applyBorder="1" applyAlignment="1">
      <alignment horizontal="right"/>
    </xf>
    <xf numFmtId="0" fontId="15" fillId="0" borderId="0" xfId="0" applyFont="1"/>
    <xf numFmtId="165" fontId="11" fillId="0" borderId="5" xfId="1" applyNumberFormat="1" applyFont="1" applyFill="1" applyBorder="1" applyAlignment="1">
      <alignment horizontal="right"/>
    </xf>
    <xf numFmtId="165" fontId="12" fillId="0" borderId="5" xfId="1" applyNumberFormat="1" applyFont="1" applyFill="1" applyBorder="1" applyAlignment="1">
      <alignment horizontal="right"/>
    </xf>
    <xf numFmtId="165" fontId="4" fillId="0" borderId="5" xfId="1" applyNumberFormat="1" applyFont="1" applyFill="1" applyBorder="1" applyAlignment="1">
      <alignment horizontal="right"/>
    </xf>
    <xf numFmtId="9" fontId="0" fillId="0" borderId="3" xfId="2" applyFont="1" applyFill="1" applyBorder="1" applyAlignment="1">
      <alignment horizontal="right"/>
    </xf>
    <xf numFmtId="43" fontId="1" fillId="0" borderId="0" xfId="1" quotePrefix="1" applyFont="1" applyBorder="1" applyAlignment="1">
      <alignment horizontal="right"/>
    </xf>
    <xf numFmtId="43" fontId="1" fillId="0" borderId="5" xfId="1" quotePrefix="1" applyFont="1" applyFill="1" applyBorder="1" applyAlignment="1">
      <alignment horizontal="right"/>
    </xf>
    <xf numFmtId="9" fontId="2" fillId="0" borderId="0" xfId="2" quotePrefix="1" applyFont="1" applyFill="1" applyBorder="1" applyAlignment="1">
      <alignment horizontal="right"/>
    </xf>
    <xf numFmtId="165" fontId="2" fillId="0" borderId="5" xfId="1" applyNumberFormat="1" applyFont="1" applyFill="1" applyBorder="1" applyAlignment="1">
      <alignment horizontal="right"/>
    </xf>
    <xf numFmtId="0" fontId="0" fillId="0" borderId="0" xfId="0" applyFill="1" applyAlignment="1">
      <alignment horizontal="left"/>
    </xf>
    <xf numFmtId="165" fontId="0" fillId="0" borderId="0" xfId="0" applyNumberFormat="1" applyAlignment="1">
      <alignment horizontal="right"/>
    </xf>
    <xf numFmtId="165" fontId="7" fillId="0" borderId="0" xfId="1" applyNumberFormat="1" applyFont="1" applyFill="1" applyBorder="1" applyAlignment="1">
      <alignment horizontal="right"/>
    </xf>
    <xf numFmtId="43" fontId="1" fillId="0" borderId="0" xfId="1" applyFont="1" applyFill="1" applyBorder="1" applyAlignment="1">
      <alignment horizontal="right"/>
    </xf>
    <xf numFmtId="43" fontId="1" fillId="0" borderId="0" xfId="1" quotePrefix="1" applyNumberFormat="1" applyFont="1" applyFill="1" applyBorder="1" applyAlignment="1">
      <alignment horizontal="right"/>
    </xf>
    <xf numFmtId="165" fontId="1" fillId="0" borderId="0" xfId="1" quotePrefix="1" applyNumberFormat="1" applyFont="1" applyFill="1" applyBorder="1" applyAlignment="1">
      <alignment horizontal="right"/>
    </xf>
    <xf numFmtId="43" fontId="0" fillId="0" borderId="0" xfId="1" quotePrefix="1" applyFont="1" applyFill="1" applyBorder="1" applyAlignment="1">
      <alignment horizontal="right"/>
    </xf>
    <xf numFmtId="43" fontId="0" fillId="0" borderId="0" xfId="1" quotePrefix="1" applyNumberFormat="1" applyFont="1" applyFill="1" applyBorder="1" applyAlignment="1">
      <alignment horizontal="right"/>
    </xf>
    <xf numFmtId="165" fontId="10" fillId="0" borderId="7" xfId="1" applyNumberFormat="1" applyFont="1" applyFill="1" applyBorder="1" applyAlignment="1">
      <alignment horizontal="right"/>
    </xf>
    <xf numFmtId="9" fontId="7" fillId="0" borderId="0" xfId="2" applyFont="1" applyFill="1" applyBorder="1" applyAlignment="1">
      <alignment horizontal="right"/>
    </xf>
    <xf numFmtId="164" fontId="13" fillId="0" borderId="0" xfId="1" applyNumberFormat="1" applyFont="1" applyFill="1" applyAlignment="1">
      <alignment horizontal="right"/>
    </xf>
    <xf numFmtId="0" fontId="8" fillId="0" borderId="0" xfId="0" applyFont="1"/>
    <xf numFmtId="165" fontId="3" fillId="0" borderId="5" xfId="1" applyNumberFormat="1" applyFont="1" applyBorder="1" applyAlignment="1">
      <alignment horizontal="right"/>
    </xf>
    <xf numFmtId="165" fontId="60" fillId="0" borderId="3" xfId="1" applyNumberFormat="1" applyFont="1" applyFill="1" applyBorder="1" applyAlignment="1">
      <alignment horizontal="right"/>
    </xf>
    <xf numFmtId="165" fontId="60" fillId="0" borderId="0" xfId="1" applyNumberFormat="1" applyFont="1" applyFill="1" applyBorder="1" applyAlignment="1">
      <alignment horizontal="right"/>
    </xf>
    <xf numFmtId="165" fontId="60" fillId="0" borderId="4" xfId="1" applyNumberFormat="1" applyFont="1" applyFill="1" applyBorder="1" applyAlignment="1">
      <alignment horizontal="right"/>
    </xf>
    <xf numFmtId="165" fontId="3" fillId="0" borderId="5" xfId="1" applyNumberFormat="1" applyFont="1" applyFill="1" applyBorder="1" applyAlignment="1">
      <alignment horizontal="right"/>
    </xf>
    <xf numFmtId="164" fontId="62" fillId="7" borderId="11" xfId="1" quotePrefix="1" applyNumberFormat="1" applyFont="1" applyFill="1" applyBorder="1" applyAlignment="1">
      <alignment horizontal="right"/>
    </xf>
    <xf numFmtId="0" fontId="61" fillId="7" borderId="1" xfId="0" applyFont="1" applyFill="1" applyBorder="1"/>
    <xf numFmtId="164" fontId="65" fillId="8" borderId="2" xfId="1" quotePrefix="1" applyNumberFormat="1" applyFont="1" applyFill="1" applyBorder="1" applyAlignment="1">
      <alignment horizontal="right"/>
    </xf>
    <xf numFmtId="164" fontId="65" fillId="8" borderId="11" xfId="1" quotePrefix="1" applyNumberFormat="1" applyFont="1" applyFill="1" applyBorder="1" applyAlignment="1">
      <alignment horizontal="right"/>
    </xf>
    <xf numFmtId="164" fontId="66" fillId="8" borderId="0" xfId="1" quotePrefix="1" applyNumberFormat="1" applyFont="1" applyFill="1" applyBorder="1" applyAlignment="1">
      <alignment horizontal="right"/>
    </xf>
    <xf numFmtId="164" fontId="66" fillId="8" borderId="4" xfId="1" quotePrefix="1" applyNumberFormat="1" applyFont="1" applyFill="1" applyBorder="1" applyAlignment="1">
      <alignment horizontal="right"/>
    </xf>
    <xf numFmtId="9" fontId="0" fillId="0" borderId="5" xfId="2" applyFont="1" applyFill="1" applyBorder="1" applyAlignment="1">
      <alignment horizontal="right"/>
    </xf>
    <xf numFmtId="10" fontId="0" fillId="0" borderId="0" xfId="2" applyNumberFormat="1" applyFont="1" applyFill="1" applyBorder="1" applyAlignment="1">
      <alignment horizontal="right"/>
    </xf>
    <xf numFmtId="164" fontId="3" fillId="0" borderId="0" xfId="1" quotePrefix="1" applyNumberFormat="1" applyFont="1" applyBorder="1" applyAlignment="1">
      <alignment horizontal="right"/>
    </xf>
    <xf numFmtId="164" fontId="3" fillId="0" borderId="0" xfId="1" quotePrefix="1" applyNumberFormat="1" applyFont="1" applyFill="1" applyBorder="1" applyAlignment="1">
      <alignment horizontal="right"/>
    </xf>
    <xf numFmtId="164" fontId="13" fillId="0" borderId="0" xfId="1" applyNumberFormat="1" applyFont="1" applyAlignment="1">
      <alignment horizontal="right"/>
    </xf>
    <xf numFmtId="0" fontId="0" fillId="0" borderId="0" xfId="0" applyFont="1" applyBorder="1"/>
    <xf numFmtId="0" fontId="0" fillId="0" borderId="0" xfId="0" applyBorder="1"/>
    <xf numFmtId="164" fontId="0" fillId="0" borderId="0" xfId="1" applyNumberFormat="1" applyFont="1" applyFill="1" applyBorder="1" applyAlignment="1">
      <alignment horizontal="right"/>
    </xf>
    <xf numFmtId="0" fontId="0" fillId="0" borderId="0" xfId="0" applyFill="1" applyBorder="1"/>
    <xf numFmtId="165" fontId="1" fillId="0" borderId="0" xfId="1" applyNumberFormat="1" applyFont="1" applyBorder="1" applyAlignment="1">
      <alignment horizontal="right"/>
    </xf>
    <xf numFmtId="9" fontId="7" fillId="0" borderId="0" xfId="2" applyFont="1" applyBorder="1" applyAlignment="1">
      <alignment horizontal="right"/>
    </xf>
    <xf numFmtId="165" fontId="10" fillId="0" borderId="0" xfId="1" applyNumberFormat="1" applyFont="1" applyBorder="1" applyAlignment="1">
      <alignment horizontal="right"/>
    </xf>
    <xf numFmtId="0" fontId="10" fillId="0" borderId="0" xfId="0" applyFont="1"/>
    <xf numFmtId="164" fontId="1" fillId="0" borderId="0" xfId="1" quotePrefix="1" applyNumberFormat="1" applyFont="1" applyFill="1" applyBorder="1" applyAlignment="1">
      <alignment horizontal="right"/>
    </xf>
    <xf numFmtId="0" fontId="10" fillId="0" borderId="0" xfId="0" applyFont="1" applyAlignment="1">
      <alignment horizontal="left"/>
    </xf>
    <xf numFmtId="0" fontId="12" fillId="0" borderId="0" xfId="0" applyFont="1" applyFill="1" applyBorder="1" applyAlignment="1">
      <alignment horizontal="left"/>
    </xf>
    <xf numFmtId="43" fontId="12" fillId="0" borderId="9" xfId="1" applyNumberFormat="1" applyFont="1" applyFill="1" applyBorder="1" applyAlignment="1">
      <alignment horizontal="right"/>
    </xf>
    <xf numFmtId="43" fontId="10" fillId="10" borderId="0" xfId="1" applyNumberFormat="1" applyFont="1" applyFill="1" applyBorder="1" applyAlignment="1">
      <alignment horizontal="right"/>
    </xf>
    <xf numFmtId="43" fontId="0" fillId="0" borderId="0" xfId="1" applyFont="1" applyAlignment="1">
      <alignment horizontal="left"/>
    </xf>
    <xf numFmtId="43" fontId="1" fillId="0" borderId="3" xfId="1" applyFont="1" applyFill="1" applyBorder="1" applyAlignment="1">
      <alignment horizontal="right"/>
    </xf>
    <xf numFmtId="43" fontId="0" fillId="0" borderId="0" xfId="1" applyFont="1" applyFill="1" applyAlignment="1">
      <alignment horizontal="left"/>
    </xf>
    <xf numFmtId="0" fontId="0" fillId="0" borderId="0" xfId="0"/>
    <xf numFmtId="164" fontId="0" fillId="0" borderId="0" xfId="1" applyNumberFormat="1" applyFont="1" applyAlignment="1">
      <alignment horizontal="right"/>
    </xf>
    <xf numFmtId="165" fontId="0" fillId="0" borderId="5" xfId="1" applyNumberFormat="1" applyFont="1" applyBorder="1" applyAlignment="1">
      <alignment horizontal="right"/>
    </xf>
    <xf numFmtId="0" fontId="0" fillId="0" borderId="0" xfId="0" applyAlignment="1">
      <alignment horizontal="right"/>
    </xf>
    <xf numFmtId="0" fontId="0" fillId="0" borderId="3" xfId="0" applyFont="1" applyBorder="1"/>
    <xf numFmtId="165" fontId="1" fillId="0" borderId="5" xfId="1" applyNumberFormat="1" applyFont="1" applyBorder="1" applyAlignment="1">
      <alignment horizontal="right"/>
    </xf>
    <xf numFmtId="165" fontId="12" fillId="0" borderId="0" xfId="1" applyNumberFormat="1" applyFont="1" applyFill="1" applyBorder="1" applyAlignment="1">
      <alignment horizontal="right"/>
    </xf>
    <xf numFmtId="165" fontId="10" fillId="0" borderId="0" xfId="1" applyNumberFormat="1" applyFont="1" applyFill="1" applyBorder="1" applyAlignment="1">
      <alignment horizontal="right"/>
    </xf>
    <xf numFmtId="165" fontId="10" fillId="0" borderId="5" xfId="1" applyNumberFormat="1" applyFont="1" applyFill="1" applyBorder="1" applyAlignment="1">
      <alignment horizontal="right"/>
    </xf>
    <xf numFmtId="0" fontId="0" fillId="0" borderId="0" xfId="0" applyFont="1"/>
    <xf numFmtId="165" fontId="11" fillId="0" borderId="0" xfId="1" applyNumberFormat="1" applyFont="1" applyFill="1" applyBorder="1" applyAlignment="1">
      <alignment horizontal="right"/>
    </xf>
    <xf numFmtId="164" fontId="0" fillId="0" borderId="0" xfId="1" applyNumberFormat="1" applyFont="1" applyBorder="1" applyAlignment="1">
      <alignment horizontal="right"/>
    </xf>
    <xf numFmtId="0" fontId="0" fillId="0" borderId="0" xfId="0" applyBorder="1" applyAlignment="1">
      <alignment horizontal="right"/>
    </xf>
    <xf numFmtId="164" fontId="62" fillId="7" borderId="2" xfId="1" quotePrefix="1" applyNumberFormat="1" applyFont="1" applyFill="1" applyBorder="1" applyAlignment="1">
      <alignment horizontal="right"/>
    </xf>
    <xf numFmtId="164" fontId="64" fillId="7" borderId="0" xfId="1" quotePrefix="1" applyNumberFormat="1" applyFont="1" applyFill="1" applyBorder="1" applyAlignment="1">
      <alignment horizontal="right"/>
    </xf>
    <xf numFmtId="165" fontId="2" fillId="0" borderId="7" xfId="1" applyNumberFormat="1" applyFont="1" applyFill="1" applyBorder="1" applyAlignment="1">
      <alignment horizontal="right"/>
    </xf>
    <xf numFmtId="165" fontId="1" fillId="0" borderId="30" xfId="1" quotePrefix="1" applyNumberFormat="1" applyFont="1" applyBorder="1" applyAlignment="1">
      <alignment horizontal="right"/>
    </xf>
    <xf numFmtId="165" fontId="1" fillId="0" borderId="30" xfId="1" quotePrefix="1" applyNumberFormat="1" applyFont="1" applyFill="1" applyBorder="1" applyAlignment="1">
      <alignment horizontal="right"/>
    </xf>
    <xf numFmtId="165" fontId="1" fillId="0" borderId="27" xfId="1" quotePrefix="1" applyNumberFormat="1" applyFont="1" applyBorder="1" applyAlignment="1">
      <alignment horizontal="right"/>
    </xf>
    <xf numFmtId="166" fontId="0" fillId="10" borderId="0" xfId="2" applyNumberFormat="1" applyFont="1" applyFill="1" applyBorder="1" applyAlignment="1">
      <alignment horizontal="right"/>
    </xf>
    <xf numFmtId="224" fontId="0" fillId="0" borderId="0" xfId="1" applyNumberFormat="1" applyFont="1" applyFill="1"/>
    <xf numFmtId="166" fontId="0" fillId="0" borderId="5" xfId="2" applyNumberFormat="1" applyFont="1" applyFill="1" applyBorder="1" applyAlignment="1">
      <alignment horizontal="right"/>
    </xf>
    <xf numFmtId="9" fontId="0" fillId="10" borderId="0" xfId="2" applyNumberFormat="1" applyFont="1" applyFill="1" applyBorder="1" applyAlignment="1">
      <alignment horizontal="right"/>
    </xf>
    <xf numFmtId="165" fontId="0" fillId="0" borderId="8" xfId="1" applyNumberFormat="1" applyFont="1" applyBorder="1" applyAlignment="1">
      <alignment horizontal="right"/>
    </xf>
    <xf numFmtId="164" fontId="0" fillId="0" borderId="7" xfId="1" applyNumberFormat="1" applyFont="1" applyFill="1" applyBorder="1" applyAlignment="1">
      <alignment horizontal="right"/>
    </xf>
    <xf numFmtId="165" fontId="0" fillId="10" borderId="0" xfId="1" applyNumberFormat="1" applyFont="1" applyFill="1" applyBorder="1" applyAlignment="1">
      <alignment horizontal="right"/>
    </xf>
    <xf numFmtId="0" fontId="10" fillId="0" borderId="2" xfId="0" applyFont="1" applyBorder="1" applyAlignment="1">
      <alignment horizontal="left"/>
    </xf>
    <xf numFmtId="164" fontId="10" fillId="0" borderId="2" xfId="1" applyNumberFormat="1" applyFont="1" applyBorder="1" applyAlignment="1">
      <alignment horizontal="right"/>
    </xf>
    <xf numFmtId="165" fontId="10" fillId="10" borderId="0" xfId="1" applyNumberFormat="1" applyFont="1" applyFill="1" applyBorder="1" applyAlignment="1">
      <alignment horizontal="right"/>
    </xf>
    <xf numFmtId="43" fontId="1" fillId="10" borderId="0" xfId="1" quotePrefix="1" applyFont="1" applyFill="1" applyBorder="1" applyAlignment="1">
      <alignment horizontal="right"/>
    </xf>
    <xf numFmtId="43" fontId="1" fillId="10" borderId="0" xfId="1" quotePrefix="1" applyNumberFormat="1" applyFont="1" applyFill="1" applyBorder="1" applyAlignment="1">
      <alignment horizontal="right"/>
    </xf>
    <xf numFmtId="43" fontId="1" fillId="0" borderId="5" xfId="1" applyFont="1" applyFill="1" applyBorder="1" applyAlignment="1">
      <alignment horizontal="right"/>
    </xf>
    <xf numFmtId="9" fontId="0" fillId="0" borderId="5" xfId="2" applyNumberFormat="1" applyFont="1" applyFill="1" applyBorder="1" applyAlignment="1">
      <alignment horizontal="right"/>
    </xf>
    <xf numFmtId="43" fontId="1" fillId="0" borderId="5" xfId="1" quotePrefix="1" applyNumberFormat="1" applyFont="1" applyBorder="1" applyAlignment="1">
      <alignment horizontal="right"/>
    </xf>
    <xf numFmtId="10" fontId="0" fillId="0" borderId="0" xfId="2" applyNumberFormat="1" applyFont="1" applyAlignment="1">
      <alignment horizontal="right"/>
    </xf>
    <xf numFmtId="166" fontId="0" fillId="0" borderId="4" xfId="2" applyNumberFormat="1" applyFont="1" applyFill="1" applyBorder="1" applyAlignment="1">
      <alignment horizontal="right"/>
    </xf>
    <xf numFmtId="165" fontId="1" fillId="0" borderId="5" xfId="1" applyNumberFormat="1" applyFont="1" applyFill="1" applyBorder="1" applyAlignment="1">
      <alignment horizontal="right"/>
    </xf>
    <xf numFmtId="165" fontId="1" fillId="0" borderId="7" xfId="1" applyNumberFormat="1" applyFont="1" applyFill="1" applyBorder="1" applyAlignment="1">
      <alignment horizontal="right"/>
    </xf>
    <xf numFmtId="165" fontId="1" fillId="0" borderId="8" xfId="1" applyNumberFormat="1" applyFont="1" applyFill="1" applyBorder="1" applyAlignment="1">
      <alignment horizontal="right"/>
    </xf>
    <xf numFmtId="224" fontId="0" fillId="0" borderId="0" xfId="1" applyNumberFormat="1" applyFont="1" applyAlignment="1">
      <alignment horizontal="right"/>
    </xf>
    <xf numFmtId="166" fontId="0" fillId="10" borderId="4" xfId="2" applyNumberFormat="1" applyFont="1" applyFill="1" applyBorder="1" applyAlignment="1">
      <alignment horizontal="right"/>
    </xf>
    <xf numFmtId="43" fontId="0" fillId="10" borderId="4" xfId="1" applyNumberFormat="1" applyFont="1" applyFill="1" applyBorder="1" applyAlignment="1">
      <alignment horizontal="right"/>
    </xf>
    <xf numFmtId="9" fontId="2" fillId="10" borderId="0" xfId="2" quotePrefix="1" applyFont="1" applyFill="1" applyBorder="1" applyAlignment="1">
      <alignment horizontal="right"/>
    </xf>
    <xf numFmtId="166" fontId="2" fillId="10" borderId="0" xfId="2" quotePrefix="1" applyNumberFormat="1" applyFont="1" applyFill="1" applyBorder="1" applyAlignment="1">
      <alignment horizontal="right"/>
    </xf>
    <xf numFmtId="165" fontId="2" fillId="0" borderId="9" xfId="1" applyNumberFormat="1" applyFont="1" applyFill="1" applyBorder="1" applyAlignment="1">
      <alignment horizontal="right"/>
    </xf>
    <xf numFmtId="43" fontId="0" fillId="0" borderId="4" xfId="1" applyNumberFormat="1" applyFont="1" applyFill="1" applyBorder="1" applyAlignment="1">
      <alignment horizontal="right"/>
    </xf>
    <xf numFmtId="166" fontId="0" fillId="10" borderId="4" xfId="1" applyNumberFormat="1" applyFont="1" applyFill="1" applyBorder="1" applyAlignment="1">
      <alignment horizontal="right"/>
    </xf>
    <xf numFmtId="43" fontId="10" fillId="0" borderId="6" xfId="1" applyNumberFormat="1" applyFont="1" applyFill="1" applyBorder="1" applyAlignment="1">
      <alignment horizontal="right"/>
    </xf>
    <xf numFmtId="9" fontId="0" fillId="0" borderId="0" xfId="2" applyNumberFormat="1" applyFont="1" applyFill="1" applyBorder="1" applyAlignment="1">
      <alignment horizontal="right"/>
    </xf>
    <xf numFmtId="166" fontId="0" fillId="0" borderId="0" xfId="2" applyNumberFormat="1" applyFont="1" applyFill="1"/>
    <xf numFmtId="10" fontId="0" fillId="0" borderId="0" xfId="2" applyNumberFormat="1" applyFont="1" applyFill="1" applyAlignment="1">
      <alignment horizontal="right"/>
    </xf>
    <xf numFmtId="10" fontId="3" fillId="0" borderId="0" xfId="2" quotePrefix="1" applyNumberFormat="1" applyFont="1" applyFill="1" applyBorder="1" applyAlignment="1">
      <alignment horizontal="right"/>
    </xf>
    <xf numFmtId="166" fontId="0" fillId="0" borderId="0" xfId="2" applyNumberFormat="1" applyFont="1" applyAlignment="1">
      <alignment horizontal="right"/>
    </xf>
    <xf numFmtId="5" fontId="1" fillId="0" borderId="4" xfId="1" applyNumberFormat="1" applyFont="1" applyBorder="1" applyAlignment="1">
      <alignment horizontal="right"/>
    </xf>
    <xf numFmtId="0" fontId="2" fillId="0" borderId="3" xfId="0" applyFont="1" applyFill="1" applyBorder="1" applyAlignment="1">
      <alignment horizontal="right"/>
    </xf>
    <xf numFmtId="0" fontId="2" fillId="0" borderId="6" xfId="0" applyFont="1" applyFill="1" applyBorder="1" applyAlignment="1">
      <alignment horizontal="right"/>
    </xf>
    <xf numFmtId="7" fontId="2" fillId="0" borderId="11" xfId="1" applyNumberFormat="1" applyFont="1" applyBorder="1" applyAlignment="1">
      <alignment horizontal="right"/>
    </xf>
    <xf numFmtId="7" fontId="8" fillId="0" borderId="4" xfId="1" applyNumberFormat="1" applyFont="1" applyBorder="1" applyAlignment="1">
      <alignment horizontal="right"/>
    </xf>
    <xf numFmtId="7" fontId="2" fillId="0" borderId="10" xfId="1" applyNumberFormat="1" applyFont="1" applyBorder="1" applyAlignment="1">
      <alignment horizontal="right"/>
    </xf>
    <xf numFmtId="7" fontId="2" fillId="0" borderId="4" xfId="1" applyNumberFormat="1" applyFont="1" applyBorder="1" applyAlignment="1">
      <alignment horizontal="right"/>
    </xf>
    <xf numFmtId="10" fontId="0" fillId="0" borderId="0" xfId="1" applyNumberFormat="1" applyFont="1" applyAlignment="1">
      <alignment horizontal="right"/>
    </xf>
    <xf numFmtId="165" fontId="10" fillId="9" borderId="0" xfId="1" applyNumberFormat="1" applyFont="1" applyFill="1" applyBorder="1" applyAlignment="1">
      <alignment horizontal="right"/>
    </xf>
    <xf numFmtId="43" fontId="12" fillId="9" borderId="0" xfId="1" applyNumberFormat="1" applyFont="1" applyFill="1" applyBorder="1" applyAlignment="1">
      <alignment horizontal="right"/>
    </xf>
    <xf numFmtId="225" fontId="0" fillId="0" borderId="4" xfId="2" applyNumberFormat="1" applyFont="1" applyFill="1" applyBorder="1" applyAlignment="1">
      <alignment horizontal="right"/>
    </xf>
    <xf numFmtId="225" fontId="0" fillId="0" borderId="4" xfId="1" applyNumberFormat="1" applyFont="1" applyFill="1" applyBorder="1" applyAlignment="1">
      <alignment horizontal="right"/>
    </xf>
    <xf numFmtId="225" fontId="0" fillId="10" borderId="4" xfId="1" applyNumberFormat="1" applyFont="1" applyFill="1" applyBorder="1" applyAlignment="1">
      <alignment horizontal="right"/>
    </xf>
    <xf numFmtId="0" fontId="71" fillId="0" borderId="0" xfId="0" applyFont="1"/>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4" xfId="0" applyFont="1" applyFill="1" applyBorder="1" applyAlignment="1">
      <alignment horizontal="left"/>
    </xf>
    <xf numFmtId="0" fontId="2" fillId="0" borderId="3"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8" fillId="0" borderId="4" xfId="0" applyFont="1" applyFill="1" applyBorder="1" applyAlignment="1">
      <alignment horizontal="left"/>
    </xf>
    <xf numFmtId="0" fontId="8" fillId="0" borderId="4" xfId="0" applyFont="1" applyBorder="1" applyAlignment="1">
      <alignment horizontal="left"/>
    </xf>
    <xf numFmtId="0" fontId="0" fillId="0" borderId="0" xfId="0" applyFont="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0" fillId="0" borderId="0" xfId="0" applyFont="1" applyFill="1" applyBorder="1" applyAlignment="1">
      <alignment horizontal="left"/>
    </xf>
    <xf numFmtId="165" fontId="6" fillId="0" borderId="0" xfId="1" applyNumberFormat="1" applyFont="1" applyFill="1" applyBorder="1" applyAlignment="1">
      <alignment horizontal="right"/>
    </xf>
    <xf numFmtId="43" fontId="1" fillId="0" borderId="0" xfId="1" applyFont="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165" fontId="2" fillId="0" borderId="8" xfId="1" applyNumberFormat="1" applyFont="1" applyFill="1" applyBorder="1" applyAlignment="1">
      <alignment horizontal="right"/>
    </xf>
    <xf numFmtId="165" fontId="2" fillId="0" borderId="4" xfId="1" applyNumberFormat="1" applyFont="1" applyFill="1" applyBorder="1" applyAlignment="1">
      <alignment horizontal="right"/>
    </xf>
    <xf numFmtId="165" fontId="0" fillId="0" borderId="3" xfId="1" applyNumberFormat="1" applyFont="1" applyBorder="1" applyAlignment="1">
      <alignment horizontal="left" indent="1"/>
    </xf>
    <xf numFmtId="165" fontId="0" fillId="0" borderId="3" xfId="1" applyNumberFormat="1" applyFont="1" applyBorder="1" applyAlignment="1">
      <alignment horizontal="left" indent="2"/>
    </xf>
    <xf numFmtId="0" fontId="0" fillId="0" borderId="3" xfId="0" applyFont="1" applyFill="1" applyBorder="1" applyAlignment="1">
      <alignment horizontal="left"/>
    </xf>
    <xf numFmtId="0" fontId="0" fillId="0" borderId="4" xfId="0" applyFont="1" applyFill="1" applyBorder="1" applyAlignment="1">
      <alignment horizontal="left"/>
    </xf>
    <xf numFmtId="165" fontId="1" fillId="0" borderId="5" xfId="1" quotePrefix="1" applyNumberFormat="1" applyFont="1" applyFill="1" applyBorder="1" applyAlignment="1">
      <alignment horizontal="right"/>
    </xf>
    <xf numFmtId="0" fontId="0" fillId="0" borderId="28" xfId="0" applyFont="1" applyFill="1" applyBorder="1" applyAlignment="1">
      <alignment horizontal="left"/>
    </xf>
    <xf numFmtId="0" fontId="0" fillId="0" borderId="29" xfId="0" applyFont="1" applyFill="1" applyBorder="1" applyAlignment="1">
      <alignment horizontal="left"/>
    </xf>
    <xf numFmtId="165" fontId="0" fillId="0" borderId="8" xfId="1" applyNumberFormat="1" applyFont="1" applyFill="1" applyBorder="1" applyAlignment="1">
      <alignment horizontal="right"/>
    </xf>
    <xf numFmtId="165" fontId="11" fillId="10" borderId="0" xfId="1" applyNumberFormat="1" applyFont="1" applyFill="1" applyBorder="1" applyAlignment="1">
      <alignment horizontal="right"/>
    </xf>
    <xf numFmtId="165" fontId="11" fillId="10" borderId="4" xfId="1" applyNumberFormat="1" applyFont="1" applyFill="1" applyBorder="1" applyAlignment="1">
      <alignment horizontal="right"/>
    </xf>
    <xf numFmtId="165" fontId="11" fillId="10" borderId="3" xfId="1" applyNumberFormat="1" applyFont="1" applyFill="1" applyBorder="1" applyAlignment="1">
      <alignment horizontal="right"/>
    </xf>
    <xf numFmtId="166" fontId="0" fillId="11" borderId="0" xfId="2" applyNumberFormat="1" applyFont="1" applyFill="1" applyBorder="1" applyAlignment="1">
      <alignment horizontal="right"/>
    </xf>
    <xf numFmtId="165" fontId="1" fillId="11" borderId="5" xfId="1" quotePrefix="1" applyNumberFormat="1" applyFont="1" applyFill="1" applyBorder="1" applyAlignment="1">
      <alignment horizontal="right"/>
    </xf>
    <xf numFmtId="165" fontId="1" fillId="10" borderId="0" xfId="1" quotePrefix="1" applyNumberFormat="1" applyFont="1" applyFill="1" applyBorder="1" applyAlignment="1">
      <alignment horizontal="right"/>
    </xf>
    <xf numFmtId="165" fontId="3" fillId="0" borderId="5" xfId="1" quotePrefix="1" applyNumberFormat="1" applyFont="1" applyFill="1" applyBorder="1" applyAlignment="1">
      <alignment horizontal="right"/>
    </xf>
    <xf numFmtId="43" fontId="0" fillId="10" borderId="0" xfId="1" quotePrefix="1" applyFont="1" applyFill="1" applyBorder="1" applyAlignment="1">
      <alignment horizontal="right"/>
    </xf>
    <xf numFmtId="43" fontId="0" fillId="10" borderId="0" xfId="1" quotePrefix="1" applyNumberFormat="1" applyFont="1" applyFill="1" applyBorder="1" applyAlignment="1">
      <alignment horizontal="right"/>
    </xf>
    <xf numFmtId="165" fontId="12" fillId="0" borderId="9" xfId="1" applyNumberFormat="1" applyFont="1" applyFill="1" applyBorder="1" applyAlignment="1">
      <alignment horizontal="right"/>
    </xf>
    <xf numFmtId="165" fontId="10" fillId="9" borderId="5" xfId="1" applyNumberFormat="1" applyFont="1" applyFill="1" applyBorder="1" applyAlignment="1">
      <alignment horizontal="right"/>
    </xf>
    <xf numFmtId="164" fontId="0" fillId="0" borderId="8" xfId="1" applyNumberFormat="1" applyFont="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43" fontId="10" fillId="0" borderId="0" xfId="1" applyNumberFormat="1" applyFont="1" applyBorder="1" applyAlignment="1">
      <alignment horizontal="right"/>
    </xf>
    <xf numFmtId="0" fontId="8" fillId="0" borderId="3" xfId="0" applyFont="1" applyFill="1" applyBorder="1" applyAlignment="1">
      <alignment horizontal="left"/>
    </xf>
    <xf numFmtId="0" fontId="8" fillId="0" borderId="4" xfId="0" applyFont="1" applyFill="1" applyBorder="1" applyAlignment="1">
      <alignment horizontal="left"/>
    </xf>
    <xf numFmtId="165" fontId="1" fillId="10" borderId="30" xfId="1" quotePrefix="1" applyNumberFormat="1" applyFont="1" applyFill="1" applyBorder="1" applyAlignment="1">
      <alignment horizontal="right"/>
    </xf>
    <xf numFmtId="165" fontId="1" fillId="0" borderId="27" xfId="1" quotePrefix="1" applyNumberFormat="1" applyFont="1" applyFill="1" applyBorder="1" applyAlignment="1">
      <alignment horizontal="right"/>
    </xf>
    <xf numFmtId="166" fontId="1" fillId="0" borderId="30" xfId="2" quotePrefix="1" applyNumberFormat="1" applyFont="1" applyFill="1" applyBorder="1" applyAlignment="1">
      <alignment horizontal="right"/>
    </xf>
    <xf numFmtId="166" fontId="1" fillId="10" borderId="30" xfId="2"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10" borderId="1" xfId="0" applyFont="1" applyFill="1" applyBorder="1" applyAlignment="1">
      <alignment horizontal="left"/>
    </xf>
    <xf numFmtId="0" fontId="0" fillId="10"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9" borderId="6" xfId="0" applyFont="1" applyFill="1" applyBorder="1" applyAlignment="1">
      <alignment horizontal="left"/>
    </xf>
    <xf numFmtId="0" fontId="0" fillId="9" borderId="10" xfId="0" applyFont="1" applyFill="1" applyBorder="1" applyAlignment="1">
      <alignment horizontal="left"/>
    </xf>
    <xf numFmtId="0" fontId="61" fillId="7" borderId="1" xfId="0" applyFont="1" applyFill="1" applyBorder="1" applyAlignment="1">
      <alignment horizontal="left"/>
    </xf>
    <xf numFmtId="0" fontId="61" fillId="7" borderId="2" xfId="0" applyFont="1" applyFill="1" applyBorder="1" applyAlignment="1">
      <alignment horizontal="left"/>
    </xf>
    <xf numFmtId="0" fontId="63" fillId="7" borderId="3" xfId="0" applyFont="1" applyFill="1" applyBorder="1" applyAlignment="1">
      <alignment horizontal="left"/>
    </xf>
    <xf numFmtId="0" fontId="63" fillId="7" borderId="0"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0" fillId="0" borderId="6" xfId="0" applyFont="1" applyFill="1" applyBorder="1" applyAlignment="1">
      <alignment horizontal="left"/>
    </xf>
    <xf numFmtId="0" fontId="0"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10" xfId="0" applyFont="1" applyFill="1" applyBorder="1" applyAlignment="1">
      <alignment horizontal="left"/>
    </xf>
    <xf numFmtId="0" fontId="61" fillId="7" borderId="23" xfId="0" applyFont="1" applyFill="1" applyBorder="1" applyAlignment="1">
      <alignment horizontal="left"/>
    </xf>
    <xf numFmtId="0" fontId="61" fillId="7" borderId="24" xfId="0" applyFont="1" applyFill="1" applyBorder="1" applyAlignment="1">
      <alignment horizontal="left"/>
    </xf>
    <xf numFmtId="0" fontId="69" fillId="7" borderId="1" xfId="0" applyFont="1" applyFill="1" applyBorder="1" applyAlignment="1">
      <alignment horizontal="left"/>
    </xf>
    <xf numFmtId="0" fontId="69" fillId="7" borderId="2" xfId="0" applyFont="1" applyFill="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0" fillId="0" borderId="3" xfId="0" applyBorder="1" applyAlignment="1">
      <alignment horizontal="left"/>
    </xf>
    <xf numFmtId="0" fontId="0" fillId="0" borderId="4" xfId="0"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0" fillId="0" borderId="0" xfId="0" applyFont="1" applyBorder="1" applyAlignment="1">
      <alignment horizontal="left"/>
    </xf>
    <xf numFmtId="0" fontId="0" fillId="0" borderId="0" xfId="0" applyFont="1" applyFill="1" applyBorder="1" applyAlignment="1">
      <alignment horizontal="left"/>
    </xf>
    <xf numFmtId="0" fontId="63" fillId="7" borderId="6" xfId="0" applyFont="1" applyFill="1" applyBorder="1" applyAlignment="1">
      <alignment horizontal="left"/>
    </xf>
    <xf numFmtId="0" fontId="63" fillId="7" borderId="7" xfId="0" applyFont="1" applyFill="1" applyBorder="1" applyAlignment="1">
      <alignment horizontal="left"/>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10" xfId="0" applyFill="1" applyBorder="1" applyAlignment="1">
      <alignment horizontal="left" vertical="top" wrapText="1"/>
    </xf>
    <xf numFmtId="0" fontId="8" fillId="0" borderId="0" xfId="0" applyFont="1" applyBorder="1" applyAlignment="1">
      <alignment horizontal="left"/>
    </xf>
    <xf numFmtId="0" fontId="0" fillId="0" borderId="6" xfId="0" applyFont="1" applyBorder="1" applyAlignment="1">
      <alignment horizontal="left"/>
    </xf>
    <xf numFmtId="0" fontId="0" fillId="0" borderId="7" xfId="0" applyFont="1" applyBorder="1" applyAlignment="1">
      <alignment horizontal="left"/>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26" xfId="0" applyFont="1" applyFill="1" applyBorder="1" applyAlignment="1">
      <alignment horizontal="left" vertical="top" wrapText="1"/>
    </xf>
    <xf numFmtId="0" fontId="2" fillId="0" borderId="6" xfId="0" applyFont="1" applyFill="1" applyBorder="1" applyAlignment="1">
      <alignment horizontal="left"/>
    </xf>
    <xf numFmtId="0" fontId="2" fillId="0" borderId="10" xfId="0" applyFont="1" applyFill="1" applyBorder="1" applyAlignment="1">
      <alignment horizontal="left"/>
    </xf>
    <xf numFmtId="0" fontId="0" fillId="0" borderId="28" xfId="0" applyFont="1" applyFill="1" applyBorder="1" applyAlignment="1">
      <alignment horizontal="left" indent="1"/>
    </xf>
    <xf numFmtId="165" fontId="1" fillId="0" borderId="31" xfId="1" quotePrefix="1" applyNumberFormat="1" applyFont="1" applyBorder="1" applyAlignment="1">
      <alignment horizontal="right"/>
    </xf>
    <xf numFmtId="165" fontId="1" fillId="11" borderId="27" xfId="1" quotePrefix="1" applyNumberFormat="1" applyFont="1" applyFill="1" applyBorder="1" applyAlignment="1">
      <alignment horizontal="right"/>
    </xf>
    <xf numFmtId="43" fontId="1" fillId="0" borderId="0" xfId="1" quotePrefix="1" applyFont="1" applyFill="1" applyBorder="1" applyAlignment="1">
      <alignment horizontal="right"/>
    </xf>
    <xf numFmtId="165" fontId="4" fillId="0" borderId="5" xfId="1" applyNumberFormat="1" applyFont="1" applyBorder="1" applyAlignment="1">
      <alignment horizontal="right"/>
    </xf>
    <xf numFmtId="165" fontId="4" fillId="0" borderId="3"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10" borderId="0" xfId="1" applyNumberFormat="1" applyFont="1" applyFill="1" applyBorder="1" applyAlignment="1">
      <alignment horizontal="right"/>
    </xf>
    <xf numFmtId="165" fontId="2" fillId="10" borderId="0" xfId="1" applyNumberFormat="1" applyFont="1" applyFill="1" applyBorder="1" applyAlignment="1">
      <alignment horizontal="right"/>
    </xf>
    <xf numFmtId="165" fontId="4" fillId="0" borderId="4" xfId="1" applyNumberFormat="1" applyFont="1" applyBorder="1" applyAlignment="1">
      <alignment horizontal="right"/>
    </xf>
  </cellXfs>
  <cellStyles count="511">
    <cellStyle name="_%(SignOnly)" xfId="7"/>
    <cellStyle name="_%(SignSpaceOnly)" xfId="8"/>
    <cellStyle name="_Comma" xfId="9"/>
    <cellStyle name="_Currency" xfId="10"/>
    <cellStyle name="_CurrencySpace" xfId="11"/>
    <cellStyle name="_Euro" xfId="12"/>
    <cellStyle name="_Heading" xfId="13"/>
    <cellStyle name="_Heading_prestemp" xfId="14"/>
    <cellStyle name="_Heading_prestemp_1st Qtr PL FY07" xfId="15"/>
    <cellStyle name="_Heading_prestemp_Financial Statements" xfId="16"/>
    <cellStyle name="_Heading_prestemp_Financial Statementsvs1" xfId="17"/>
    <cellStyle name="_Highlight" xfId="18"/>
    <cellStyle name="_Multiple" xfId="19"/>
    <cellStyle name="_MultipleSpace" xfId="20"/>
    <cellStyle name="_SubHeading" xfId="21"/>
    <cellStyle name="_SubHeading_prestemp" xfId="22"/>
    <cellStyle name="_SubHeading_prestemp_1st Qtr PL FY07" xfId="23"/>
    <cellStyle name="_SubHeading_prestemp_Financial Statements" xfId="24"/>
    <cellStyle name="_SubHeading_prestemp_Financial Statementsvs1" xfId="25"/>
    <cellStyle name="_Table" xfId="26"/>
    <cellStyle name="_TableHead" xfId="27"/>
    <cellStyle name="_TableRowHead" xfId="28"/>
    <cellStyle name="_TableSuperHead" xfId="29"/>
    <cellStyle name="=C:\WINNT\SYSTEM32\COMMAND.COM" xfId="30"/>
    <cellStyle name="=C:\WINNT\SYSTEM32\COMMAND.COM 2" xfId="255"/>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256"/>
    <cellStyle name="Calc Currency (2)" xfId="77"/>
    <cellStyle name="Calc Currency (2) 2" xfId="257"/>
    <cellStyle name="Calc Percent (0)" xfId="78"/>
    <cellStyle name="Calc Percent (0) 2" xfId="258"/>
    <cellStyle name="Calc Percent (1)" xfId="79"/>
    <cellStyle name="Calc Percent (1) 2" xfId="259"/>
    <cellStyle name="Calc Percent (2)" xfId="80"/>
    <cellStyle name="Calc Percent (2) 2" xfId="260"/>
    <cellStyle name="Calc Units (0)" xfId="81"/>
    <cellStyle name="Calc Units (0) 2" xfId="261"/>
    <cellStyle name="Calc Units (1)" xfId="82"/>
    <cellStyle name="Calc Units (1) 2" xfId="262"/>
    <cellStyle name="Calc Units (2)" xfId="83"/>
    <cellStyle name="Calc Units (2) 2" xfId="263"/>
    <cellStyle name="Centered Heading" xfId="84"/>
    <cellStyle name="columns" xfId="85"/>
    <cellStyle name="Comma" xfId="1" builtinId="3"/>
    <cellStyle name="Comma  - Style1" xfId="264"/>
    <cellStyle name="Comma  - Style2" xfId="265"/>
    <cellStyle name="Comma  - Style3" xfId="266"/>
    <cellStyle name="Comma  - Style4" xfId="267"/>
    <cellStyle name="Comma  - Style5" xfId="268"/>
    <cellStyle name="Comma  - Style6" xfId="269"/>
    <cellStyle name="Comma  - Style7" xfId="270"/>
    <cellStyle name="Comma  - Style8" xfId="271"/>
    <cellStyle name="comma (0)" xfId="86"/>
    <cellStyle name="comma (0) 2" xfId="87"/>
    <cellStyle name="comma (0) 2 2" xfId="272"/>
    <cellStyle name="comma (0) 3" xfId="88"/>
    <cellStyle name="Comma [00]" xfId="89"/>
    <cellStyle name="Comma [00] 2" xfId="273"/>
    <cellStyle name="Comma 2" xfId="5"/>
    <cellStyle name="Comma 2 2" xfId="91"/>
    <cellStyle name="Comma 2 2 2" xfId="274"/>
    <cellStyle name="Comma 2 3" xfId="92"/>
    <cellStyle name="Comma 2 4" xfId="93"/>
    <cellStyle name="Comma 2 5" xfId="275"/>
    <cellStyle name="Comma 2 6" xfId="90"/>
    <cellStyle name="Comma 3" xfId="94"/>
    <cellStyle name="Comma 3 2" xfId="276"/>
    <cellStyle name="Comma 4" xfId="95"/>
    <cellStyle name="Comma 4 2" xfId="277"/>
    <cellStyle name="Comma 5" xfId="96"/>
    <cellStyle name="Comma 5 2" xfId="317"/>
    <cellStyle name="Comma Acctg" xfId="97"/>
    <cellStyle name="Comma Acctg 2" xfId="98"/>
    <cellStyle name="Comma0" xfId="99"/>
    <cellStyle name="Company Name" xfId="100"/>
    <cellStyle name="Contracts" xfId="101"/>
    <cellStyle name="CR Comma" xfId="102"/>
    <cellStyle name="CR Currency" xfId="103"/>
    <cellStyle name="curr" xfId="104"/>
    <cellStyle name="Currency [00]" xfId="105"/>
    <cellStyle name="Currency [00] 2" xfId="278"/>
    <cellStyle name="Currency 2" xfId="106"/>
    <cellStyle name="Currency Acctg" xfId="107"/>
    <cellStyle name="Currency0" xfId="108"/>
    <cellStyle name="Data" xfId="109"/>
    <cellStyle name="Date" xfId="110"/>
    <cellStyle name="Date Short" xfId="111"/>
    <cellStyle name="DateJoel" xfId="112"/>
    <cellStyle name="debbie" xfId="113"/>
    <cellStyle name="Dezimal [0]_laroux" xfId="114"/>
    <cellStyle name="Dezimal_laroux" xfId="115"/>
    <cellStyle name="Enter Currency (0)" xfId="116"/>
    <cellStyle name="Enter Currency (0) 2" xfId="279"/>
    <cellStyle name="Enter Currency (2)" xfId="117"/>
    <cellStyle name="Enter Currency (2) 2" xfId="280"/>
    <cellStyle name="Enter Units (0)" xfId="118"/>
    <cellStyle name="Enter Units (0) 2" xfId="281"/>
    <cellStyle name="Enter Units (1)" xfId="119"/>
    <cellStyle name="Enter Units (1) 2" xfId="282"/>
    <cellStyle name="Enter Units (2)" xfId="120"/>
    <cellStyle name="Enter Units (2) 2" xfId="283"/>
    <cellStyle name="eps" xfId="121"/>
    <cellStyle name="Euro" xfId="122"/>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Grey" xfId="123"/>
    <cellStyle name="Header1" xfId="124"/>
    <cellStyle name="Header2" xfId="125"/>
    <cellStyle name="Header2 10" xfId="126"/>
    <cellStyle name="Header2 11" xfId="127"/>
    <cellStyle name="Header2 12" xfId="128"/>
    <cellStyle name="Header2 13" xfId="129"/>
    <cellStyle name="Header2 14" xfId="130"/>
    <cellStyle name="Header2 15" xfId="131"/>
    <cellStyle name="Header2 16" xfId="132"/>
    <cellStyle name="Header2 17" xfId="133"/>
    <cellStyle name="Header2 18" xfId="134"/>
    <cellStyle name="Header2 19" xfId="135"/>
    <cellStyle name="Header2 2" xfId="136"/>
    <cellStyle name="Header2 20" xfId="137"/>
    <cellStyle name="Header2 21" xfId="138"/>
    <cellStyle name="Header2 22" xfId="139"/>
    <cellStyle name="Header2 23" xfId="140"/>
    <cellStyle name="Header2 24" xfId="141"/>
    <cellStyle name="Header2 25" xfId="142"/>
    <cellStyle name="Header2 26" xfId="143"/>
    <cellStyle name="Header2 27" xfId="144"/>
    <cellStyle name="Header2 28" xfId="145"/>
    <cellStyle name="Header2 29" xfId="146"/>
    <cellStyle name="Header2 3" xfId="147"/>
    <cellStyle name="Header2 30" xfId="148"/>
    <cellStyle name="Header2 31" xfId="149"/>
    <cellStyle name="Header2 32" xfId="150"/>
    <cellStyle name="Header2 33" xfId="151"/>
    <cellStyle name="Header2 34" xfId="152"/>
    <cellStyle name="Header2 35" xfId="153"/>
    <cellStyle name="Header2 36" xfId="154"/>
    <cellStyle name="Header2 37" xfId="155"/>
    <cellStyle name="Header2 38" xfId="156"/>
    <cellStyle name="Header2 39" xfId="157"/>
    <cellStyle name="Header2 4" xfId="158"/>
    <cellStyle name="Header2 40" xfId="159"/>
    <cellStyle name="Header2 41" xfId="160"/>
    <cellStyle name="Header2 42" xfId="161"/>
    <cellStyle name="Header2 5" xfId="162"/>
    <cellStyle name="Header2 6" xfId="163"/>
    <cellStyle name="Header2 7" xfId="164"/>
    <cellStyle name="Header2 8" xfId="165"/>
    <cellStyle name="Header2 9" xfId="166"/>
    <cellStyle name="Heading" xfId="167"/>
    <cellStyle name="Heading 1 2" xfId="168"/>
    <cellStyle name="Heading 1 3" xfId="169"/>
    <cellStyle name="Heading 1 4" xfId="170"/>
    <cellStyle name="Heading 2 2" xfId="171"/>
    <cellStyle name="Heading 2 3" xfId="172"/>
    <cellStyle name="Heading 2 4" xfId="173"/>
    <cellStyle name="Heading No Underline" xfId="174"/>
    <cellStyle name="Heading With Underline" xfId="175"/>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2" xfId="284"/>
    <cellStyle name="Hyperlink 2 2" xfId="319"/>
    <cellStyle name="Hyperlink 2 2 2" xfId="320"/>
    <cellStyle name="Hyperlink 3" xfId="285"/>
    <cellStyle name="Hyperlink 4" xfId="321"/>
    <cellStyle name="Input [yellow]" xfId="176"/>
    <cellStyle name="Link Currency (0)" xfId="177"/>
    <cellStyle name="Link Currency (0) 2" xfId="286"/>
    <cellStyle name="Link Currency (2)" xfId="178"/>
    <cellStyle name="Link Currency (2) 2" xfId="287"/>
    <cellStyle name="Link Units (0)" xfId="179"/>
    <cellStyle name="Link Units (0) 2" xfId="288"/>
    <cellStyle name="Link Units (1)" xfId="180"/>
    <cellStyle name="Link Units (1) 2" xfId="289"/>
    <cellStyle name="Link Units (2)" xfId="181"/>
    <cellStyle name="Link Units (2) 2" xfId="290"/>
    <cellStyle name="Millares [0]_pldt" xfId="182"/>
    <cellStyle name="Millares_pldt" xfId="183"/>
    <cellStyle name="Milliers [0]_AR1194" xfId="184"/>
    <cellStyle name="Milliers_AR1194" xfId="185"/>
    <cellStyle name="Moneda [0]_pldt" xfId="186"/>
    <cellStyle name="Moneda_pldt" xfId="187"/>
    <cellStyle name="Monétaire [0]_AR1194" xfId="188"/>
    <cellStyle name="Monétaire_AR1194" xfId="189"/>
    <cellStyle name="negativ" xfId="190"/>
    <cellStyle name="no dec" xfId="191"/>
    <cellStyle name="nodollars" xfId="192"/>
    <cellStyle name="nodollars 2" xfId="193"/>
    <cellStyle name="Normal" xfId="0" builtinId="0"/>
    <cellStyle name="Normal - Style1" xfId="194"/>
    <cellStyle name="Normal - Style1 2" xfId="291"/>
    <cellStyle name="Normal - Style2" xfId="292"/>
    <cellStyle name="Normal - Style3" xfId="293"/>
    <cellStyle name="Normal - Style4" xfId="294"/>
    <cellStyle name="Normal - Style5" xfId="295"/>
    <cellStyle name="Normal 10" xfId="322"/>
    <cellStyle name="Normal 2" xfId="3"/>
    <cellStyle name="Normal 2 2" xfId="196"/>
    <cellStyle name="Normal 2 2 2" xfId="197"/>
    <cellStyle name="Normal 2 3" xfId="198"/>
    <cellStyle name="Normal 2 3 2" xfId="296"/>
    <cellStyle name="Normal 2 4" xfId="199"/>
    <cellStyle name="Normal 2 5" xfId="297"/>
    <cellStyle name="Normal 2 6" xfId="323"/>
    <cellStyle name="Normal 2 7" xfId="324"/>
    <cellStyle name="Normal 2 8" xfId="195"/>
    <cellStyle name="Normal 3" xfId="4"/>
    <cellStyle name="Normal 3 2" xfId="298"/>
    <cellStyle name="Normal 3 3" xfId="299"/>
    <cellStyle name="Normal 3 4" xfId="200"/>
    <cellStyle name="Normal 4" xfId="201"/>
    <cellStyle name="Normal 5" xfId="6"/>
    <cellStyle name="Normal 5 2" xfId="300"/>
    <cellStyle name="Normal 6" xfId="202"/>
    <cellStyle name="Normal 6 2" xfId="301"/>
    <cellStyle name="Normal 6 3" xfId="302"/>
    <cellStyle name="Normal 7" xfId="203"/>
    <cellStyle name="Normal 7 2" xfId="303"/>
    <cellStyle name="Normal 8" xfId="204"/>
    <cellStyle name="Normal 8 2" xfId="304"/>
    <cellStyle name="Normal 8 3" xfId="316"/>
    <cellStyle name="Normal 9" xfId="325"/>
    <cellStyle name="Number0DecimalStyle" xfId="205"/>
    <cellStyle name="Number0DecimalStyle 2" xfId="253"/>
    <cellStyle name="Number10DecimalStyle" xfId="206"/>
    <cellStyle name="Number1DecimalStyle" xfId="207"/>
    <cellStyle name="Number2DecimalStyle" xfId="208"/>
    <cellStyle name="Number2DecimalStyle 2" xfId="254"/>
    <cellStyle name="Number3DecimalStyle" xfId="209"/>
    <cellStyle name="Number4DecimalStyle" xfId="210"/>
    <cellStyle name="Number5DecimalStyle" xfId="211"/>
    <cellStyle name="Number6DecimalStyle" xfId="212"/>
    <cellStyle name="Number7DecimalStyle" xfId="213"/>
    <cellStyle name="Number8DecimalStyle" xfId="214"/>
    <cellStyle name="Number9DecimalStyle" xfId="215"/>
    <cellStyle name="over" xfId="216"/>
    <cellStyle name="Percent" xfId="2" builtinId="5"/>
    <cellStyle name="percent (0)" xfId="217"/>
    <cellStyle name="Percent [0]" xfId="218"/>
    <cellStyle name="Percent [0] 2" xfId="305"/>
    <cellStyle name="Percent [00]" xfId="219"/>
    <cellStyle name="Percent [00] 2" xfId="306"/>
    <cellStyle name="Percent [2]" xfId="220"/>
    <cellStyle name="Percent 10" xfId="318"/>
    <cellStyle name="Percent 2" xfId="221"/>
    <cellStyle name="Percent 2 2" xfId="222"/>
    <cellStyle name="Percent 2 3" xfId="223"/>
    <cellStyle name="Percent 2 4" xfId="224"/>
    <cellStyle name="Percent 3" xfId="225"/>
    <cellStyle name="Percent 3 2" xfId="307"/>
    <cellStyle name="Percent 4" xfId="308"/>
    <cellStyle name="Percent 6" xfId="326"/>
    <cellStyle name="PERCENTAGE" xfId="226"/>
    <cellStyle name="posit" xfId="227"/>
    <cellStyle name="Powerpoint Style" xfId="228"/>
    <cellStyle name="PrePop Currency (0)" xfId="229"/>
    <cellStyle name="PrePop Currency (0) 2" xfId="309"/>
    <cellStyle name="PrePop Currency (2)" xfId="230"/>
    <cellStyle name="PrePop Currency (2) 2" xfId="310"/>
    <cellStyle name="PrePop Units (0)" xfId="231"/>
    <cellStyle name="PrePop Units (0) 2" xfId="311"/>
    <cellStyle name="PrePop Units (1)" xfId="232"/>
    <cellStyle name="PrePop Units (1) 2" xfId="312"/>
    <cellStyle name="PrePop Units (2)" xfId="233"/>
    <cellStyle name="PrePop Units (2) 2" xfId="313"/>
    <cellStyle name="SingleTopDoubleBott" xfId="234"/>
    <cellStyle name="Standard_A" xfId="235"/>
    <cellStyle name="Style 1" xfId="236"/>
    <cellStyle name="Style 2" xfId="237"/>
    <cellStyle name="Style 3" xfId="327"/>
    <cellStyle name="Style 4" xfId="328"/>
    <cellStyle name="Text Indent A" xfId="238"/>
    <cellStyle name="Text Indent B" xfId="239"/>
    <cellStyle name="Text Indent B 2" xfId="314"/>
    <cellStyle name="Text Indent C" xfId="240"/>
    <cellStyle name="Text Indent C 2" xfId="315"/>
    <cellStyle name="TextStyle" xfId="241"/>
    <cellStyle name="Tickmark" xfId="242"/>
    <cellStyle name="TimStyle" xfId="243"/>
    <cellStyle name="Total 2" xfId="244"/>
    <cellStyle name="Total 3" xfId="245"/>
    <cellStyle name="Total 4" xfId="246"/>
    <cellStyle name="Underline" xfId="247"/>
    <cellStyle name="UnderlineDouble" xfId="248"/>
    <cellStyle name="Währung [0]_RESULTS" xfId="249"/>
    <cellStyle name="Währung_RESULTS" xfId="250"/>
    <cellStyle name="표준_BINV" xfId="251"/>
    <cellStyle name="標準_99B-05PE_IC2" xfId="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27D1-49AF-B137-97BE3B1B768C}"/>
            </c:ext>
          </c:extLst>
        </c:ser>
        <c:dLbls>
          <c:showLegendKey val="0"/>
          <c:showVal val="0"/>
          <c:showCatName val="0"/>
          <c:showSerName val="0"/>
          <c:showPercent val="0"/>
          <c:showBubbleSize val="0"/>
        </c:dLbls>
        <c:smooth val="0"/>
        <c:axId val="362342672"/>
        <c:axId val="362343064"/>
      </c:lineChart>
      <c:catAx>
        <c:axId val="36234267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362343064"/>
        <c:crosses val="autoZero"/>
        <c:auto val="1"/>
        <c:lblAlgn val="ctr"/>
        <c:lblOffset val="100"/>
        <c:tickLblSkip val="7"/>
        <c:noMultiLvlLbl val="1"/>
      </c:catAx>
      <c:valAx>
        <c:axId val="362343064"/>
        <c:scaling>
          <c:orientation val="minMax"/>
        </c:scaling>
        <c:delete val="0"/>
        <c:axPos val="l"/>
        <c:majorGridlines/>
        <c:numFmt formatCode="0.0\x" sourceLinked="0"/>
        <c:majorTickMark val="out"/>
        <c:minorTickMark val="none"/>
        <c:tickLblPos val="nextTo"/>
        <c:crossAx val="36234267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0E3F-41EC-AF91-1D5B0774F8C7}"/>
            </c:ext>
          </c:extLst>
        </c:ser>
        <c:dLbls>
          <c:showLegendKey val="0"/>
          <c:showVal val="0"/>
          <c:showCatName val="0"/>
          <c:showSerName val="0"/>
          <c:showPercent val="0"/>
          <c:showBubbleSize val="0"/>
        </c:dLbls>
        <c:smooth val="0"/>
        <c:axId val="362343848"/>
        <c:axId val="362344240"/>
      </c:lineChart>
      <c:catAx>
        <c:axId val="36234384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362344240"/>
        <c:crosses val="autoZero"/>
        <c:auto val="1"/>
        <c:lblAlgn val="ctr"/>
        <c:lblOffset val="100"/>
        <c:tickLblSkip val="7"/>
        <c:noMultiLvlLbl val="1"/>
      </c:catAx>
      <c:valAx>
        <c:axId val="362344240"/>
        <c:scaling>
          <c:orientation val="minMax"/>
        </c:scaling>
        <c:delete val="0"/>
        <c:axPos val="l"/>
        <c:majorGridlines/>
        <c:numFmt formatCode="0.0\x" sourceLinked="0"/>
        <c:majorTickMark val="out"/>
        <c:minorTickMark val="none"/>
        <c:tickLblPos val="nextTo"/>
        <c:crossAx val="36234384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56DA-4072-9351-81408789DC4C}"/>
            </c:ext>
          </c:extLst>
        </c:ser>
        <c:dLbls>
          <c:showLegendKey val="0"/>
          <c:showVal val="0"/>
          <c:showCatName val="0"/>
          <c:showSerName val="0"/>
          <c:showPercent val="0"/>
          <c:showBubbleSize val="0"/>
        </c:dLbls>
        <c:smooth val="0"/>
        <c:axId val="362345024"/>
        <c:axId val="362345416"/>
      </c:lineChart>
      <c:catAx>
        <c:axId val="36234502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362345416"/>
        <c:crosses val="autoZero"/>
        <c:auto val="1"/>
        <c:lblAlgn val="ctr"/>
        <c:lblOffset val="100"/>
        <c:tickLblSkip val="7"/>
        <c:noMultiLvlLbl val="1"/>
      </c:catAx>
      <c:valAx>
        <c:axId val="362345416"/>
        <c:scaling>
          <c:orientation val="minMax"/>
        </c:scaling>
        <c:delete val="0"/>
        <c:axPos val="l"/>
        <c:majorGridlines/>
        <c:numFmt formatCode="0.0\x" sourceLinked="0"/>
        <c:majorTickMark val="out"/>
        <c:minorTickMark val="none"/>
        <c:tickLblPos val="nextTo"/>
        <c:crossAx val="36234502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528C-460B-A9DF-BF4C983159E4}"/>
            </c:ext>
          </c:extLst>
        </c:ser>
        <c:dLbls>
          <c:showLegendKey val="0"/>
          <c:showVal val="0"/>
          <c:showCatName val="0"/>
          <c:showSerName val="0"/>
          <c:showPercent val="0"/>
          <c:showBubbleSize val="0"/>
        </c:dLbls>
        <c:smooth val="0"/>
        <c:axId val="362339536"/>
        <c:axId val="362339144"/>
      </c:lineChart>
      <c:catAx>
        <c:axId val="362339536"/>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362339144"/>
        <c:crosses val="autoZero"/>
        <c:auto val="1"/>
        <c:lblAlgn val="ctr"/>
        <c:lblOffset val="100"/>
        <c:tickLblSkip val="7"/>
        <c:noMultiLvlLbl val="1"/>
      </c:catAx>
      <c:valAx>
        <c:axId val="362339144"/>
        <c:scaling>
          <c:orientation val="minMax"/>
        </c:scaling>
        <c:delete val="0"/>
        <c:axPos val="l"/>
        <c:majorGridlines/>
        <c:numFmt formatCode="0.0\x" sourceLinked="0"/>
        <c:majorTickMark val="out"/>
        <c:minorTickMark val="none"/>
        <c:tickLblPos val="nextTo"/>
        <c:crossAx val="36233953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DFF9-400B-AAEA-9CE95D935077}"/>
            </c:ext>
          </c:extLst>
        </c:ser>
        <c:dLbls>
          <c:showLegendKey val="0"/>
          <c:showVal val="0"/>
          <c:showCatName val="0"/>
          <c:showSerName val="0"/>
          <c:showPercent val="0"/>
          <c:showBubbleSize val="0"/>
        </c:dLbls>
        <c:smooth val="0"/>
        <c:axId val="362338360"/>
        <c:axId val="362346200"/>
      </c:lineChart>
      <c:catAx>
        <c:axId val="3623383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362346200"/>
        <c:crosses val="autoZero"/>
        <c:auto val="1"/>
        <c:lblAlgn val="ctr"/>
        <c:lblOffset val="100"/>
        <c:tickLblSkip val="7"/>
        <c:noMultiLvlLbl val="1"/>
      </c:catAx>
      <c:valAx>
        <c:axId val="362346200"/>
        <c:scaling>
          <c:orientation val="minMax"/>
        </c:scaling>
        <c:delete val="0"/>
        <c:axPos val="l"/>
        <c:majorGridlines/>
        <c:numFmt formatCode="0.0\x" sourceLinked="0"/>
        <c:majorTickMark val="out"/>
        <c:minorTickMark val="none"/>
        <c:tickLblPos val="nextTo"/>
        <c:crossAx val="3623383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236802</xdr:colOff>
      <xdr:row>102</xdr:row>
      <xdr:rowOff>0</xdr:rowOff>
    </xdr:from>
    <xdr:to>
      <xdr:col>6</xdr:col>
      <xdr:colOff>718343</xdr:colOff>
      <xdr:row>102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149</xdr:row>
      <xdr:rowOff>0</xdr:rowOff>
    </xdr:from>
    <xdr:to>
      <xdr:col>6</xdr:col>
      <xdr:colOff>718343</xdr:colOff>
      <xdr:row>149</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193</xdr:row>
      <xdr:rowOff>0</xdr:rowOff>
    </xdr:from>
    <xdr:to>
      <xdr:col>6</xdr:col>
      <xdr:colOff>718343</xdr:colOff>
      <xdr:row>193</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31</xdr:row>
      <xdr:rowOff>0</xdr:rowOff>
    </xdr:from>
    <xdr:to>
      <xdr:col>6</xdr:col>
      <xdr:colOff>718343</xdr:colOff>
      <xdr:row>31</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135</xdr:row>
      <xdr:rowOff>0</xdr:rowOff>
    </xdr:from>
    <xdr:to>
      <xdr:col>6</xdr:col>
      <xdr:colOff>718343</xdr:colOff>
      <xdr:row>135</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ocuments\Articles%20(10-8-2015)\Apple\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s Model"/>
      <sheetName val="BOTE"/>
      <sheetName val="Estimates by Analyst"/>
      <sheetName val="After Earnings"/>
      <sheetName val="Charts"/>
      <sheetName val="Terms of Use"/>
    </sheetNames>
    <sheetDataSet>
      <sheetData sheetId="0"/>
      <sheetData sheetId="1"/>
      <sheetData sheetId="2">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51"/>
  <sheetViews>
    <sheetView showGridLines="0" tabSelected="1" zoomScaleNormal="100" zoomScalePageLayoutView="110" workbookViewId="0">
      <selection activeCell="B2" sqref="B2:C2"/>
    </sheetView>
  </sheetViews>
  <sheetFormatPr defaultColWidth="8.88671875" defaultRowHeight="14.4" outlineLevelRow="1" outlineLevelCol="1" x14ac:dyDescent="0.3"/>
  <cols>
    <col min="1" max="1" width="1.109375" style="144" customWidth="1"/>
    <col min="2" max="2" width="31.6640625" style="144" customWidth="1"/>
    <col min="3" max="3" width="26.109375" style="153" customWidth="1"/>
    <col min="4" max="5" width="11.44140625" style="145" hidden="1" customWidth="1" outlineLevel="1"/>
    <col min="6" max="7" width="11.44140625" style="147" hidden="1" customWidth="1" outlineLevel="1"/>
    <col min="8" max="8" width="11.44140625" style="147" customWidth="1" collapsed="1"/>
    <col min="9" max="10" width="11.44140625" style="145" hidden="1" customWidth="1" outlineLevel="1"/>
    <col min="11" max="12" width="11.44140625" style="147" hidden="1" customWidth="1" outlineLevel="1"/>
    <col min="13" max="13" width="11.44140625" style="147" customWidth="1" collapsed="1"/>
    <col min="14" max="15" width="11.44140625" style="145" customWidth="1" outlineLevel="1"/>
    <col min="16" max="17" width="11.44140625" style="147" customWidth="1" outlineLevel="1"/>
    <col min="18" max="18" width="11.44140625" style="147" customWidth="1"/>
    <col min="19" max="20" width="11.44140625" style="145" customWidth="1" outlineLevel="1"/>
    <col min="21" max="22" width="11.44140625" style="147" customWidth="1" outlineLevel="1"/>
    <col min="23" max="23" width="11.44140625" style="147" customWidth="1"/>
    <col min="24" max="24" width="11.44140625" style="145" hidden="1" customWidth="1" outlineLevel="1"/>
    <col min="25" max="25" width="12.33203125" style="145" hidden="1" customWidth="1" outlineLevel="1"/>
    <col min="26" max="27" width="11.44140625" style="147" hidden="1" customWidth="1" outlineLevel="1"/>
    <col min="28" max="28" width="11.44140625" style="147" customWidth="1" collapsed="1"/>
    <col min="29" max="29" width="11.44140625" style="145" hidden="1" customWidth="1" outlineLevel="1"/>
    <col min="30" max="30" width="12.33203125" style="145" hidden="1" customWidth="1" outlineLevel="1"/>
    <col min="31" max="32" width="11.44140625" style="147" hidden="1" customWidth="1" outlineLevel="1"/>
    <col min="33" max="33" width="11.44140625" style="147" customWidth="1" collapsed="1"/>
    <col min="34" max="34" width="11.44140625" style="145" hidden="1" customWidth="1" outlineLevel="1"/>
    <col min="35" max="35" width="12.33203125" style="145" hidden="1" customWidth="1" outlineLevel="1"/>
    <col min="36" max="37" width="11.44140625" style="147" hidden="1" customWidth="1" outlineLevel="1"/>
    <col min="38" max="38" width="11.44140625" style="147" customWidth="1" collapsed="1"/>
    <col min="39" max="16384" width="8.88671875" style="144"/>
  </cols>
  <sheetData>
    <row r="1" spans="2:60" ht="4.6500000000000004" customHeight="1" x14ac:dyDescent="0.3"/>
    <row r="2" spans="2:60" ht="48" customHeight="1" x14ac:dyDescent="0.3">
      <c r="B2" s="264" t="s">
        <v>133</v>
      </c>
      <c r="C2" s="265"/>
    </row>
    <row r="3" spans="2:60" x14ac:dyDescent="0.3">
      <c r="B3" s="266" t="s">
        <v>241</v>
      </c>
      <c r="C3" s="267"/>
      <c r="D3" s="143"/>
    </row>
    <row r="4" spans="2:60" x14ac:dyDescent="0.3">
      <c r="B4" s="268" t="s">
        <v>270</v>
      </c>
      <c r="C4" s="269"/>
      <c r="D4" s="143"/>
      <c r="H4" s="145"/>
      <c r="I4" s="196"/>
      <c r="K4" s="196"/>
      <c r="M4" s="196"/>
      <c r="R4" s="196"/>
      <c r="BH4" s="210" t="s">
        <v>134</v>
      </c>
    </row>
    <row r="5" spans="2:60" x14ac:dyDescent="0.3">
      <c r="B5" s="270" t="s">
        <v>271</v>
      </c>
      <c r="C5" s="271"/>
      <c r="D5" s="47"/>
      <c r="E5" s="47"/>
      <c r="F5" s="47"/>
      <c r="G5" s="47"/>
      <c r="I5" s="47"/>
      <c r="J5" s="147"/>
      <c r="K5" s="204"/>
      <c r="L5" s="224"/>
      <c r="M5" s="204"/>
      <c r="N5" s="47"/>
      <c r="O5" s="47"/>
      <c r="P5" s="47"/>
      <c r="Q5" s="224"/>
      <c r="R5" s="204"/>
      <c r="S5" s="47"/>
      <c r="T5" s="47"/>
      <c r="U5" s="47"/>
      <c r="V5" s="47"/>
      <c r="W5" s="47"/>
      <c r="X5" s="47"/>
      <c r="Y5" s="47"/>
      <c r="Z5" s="47"/>
      <c r="AA5" s="47"/>
      <c r="AB5" s="47"/>
      <c r="AC5" s="47"/>
      <c r="AD5" s="47"/>
      <c r="AE5" s="47"/>
      <c r="AF5" s="47"/>
      <c r="AG5" s="47"/>
      <c r="AH5" s="47"/>
      <c r="AI5" s="47"/>
      <c r="AJ5" s="47"/>
      <c r="AK5" s="47"/>
      <c r="AL5" s="47"/>
    </row>
    <row r="6" spans="2:60" x14ac:dyDescent="0.3">
      <c r="B6" s="198" t="s">
        <v>129</v>
      </c>
      <c r="C6" s="200">
        <f>C208</f>
        <v>69.001851404670603</v>
      </c>
      <c r="D6" s="141"/>
      <c r="E6" s="47"/>
      <c r="F6" s="47"/>
      <c r="G6" s="47"/>
      <c r="I6" s="47"/>
      <c r="J6" s="147"/>
      <c r="K6" s="196"/>
      <c r="L6" s="47"/>
      <c r="M6" s="196"/>
      <c r="N6" s="47"/>
      <c r="O6" s="47"/>
      <c r="P6" s="47"/>
      <c r="Q6" s="47"/>
      <c r="R6" s="196"/>
      <c r="S6" s="47"/>
      <c r="T6" s="47"/>
      <c r="U6" s="47"/>
      <c r="V6" s="47"/>
      <c r="W6" s="47"/>
      <c r="X6" s="47"/>
      <c r="Y6" s="47"/>
      <c r="Z6" s="47"/>
      <c r="AA6" s="47"/>
      <c r="AB6" s="47"/>
      <c r="AC6" s="47"/>
      <c r="AD6" s="47"/>
      <c r="AE6" s="47"/>
      <c r="AF6" s="47"/>
      <c r="AG6" s="47"/>
      <c r="AH6" s="47"/>
      <c r="AI6" s="47"/>
      <c r="AJ6" s="47"/>
      <c r="AK6" s="47"/>
      <c r="AL6" s="47"/>
    </row>
    <row r="7" spans="2:60" x14ac:dyDescent="0.3">
      <c r="B7" s="198" t="s">
        <v>130</v>
      </c>
      <c r="C7" s="201">
        <f>C241</f>
        <v>84.999014343051215</v>
      </c>
      <c r="D7" s="47"/>
      <c r="E7" s="47"/>
      <c r="F7" s="47"/>
      <c r="G7" s="47"/>
      <c r="I7" s="47"/>
      <c r="J7" s="47"/>
      <c r="K7" s="47"/>
      <c r="L7" s="47"/>
      <c r="M7" s="183"/>
      <c r="N7" s="47"/>
      <c r="O7" s="47"/>
      <c r="P7" s="47"/>
      <c r="Q7" s="47"/>
      <c r="R7" s="47"/>
      <c r="S7" s="47"/>
      <c r="T7" s="47"/>
      <c r="U7" s="47"/>
      <c r="V7" s="47"/>
      <c r="W7" s="47"/>
      <c r="X7" s="47"/>
      <c r="Y7" s="47"/>
      <c r="Z7" s="47"/>
      <c r="AA7" s="47"/>
      <c r="AB7" s="47"/>
      <c r="AC7" s="47"/>
      <c r="AD7" s="47"/>
      <c r="AE7" s="47"/>
      <c r="AF7" s="47"/>
      <c r="AG7" s="47"/>
      <c r="AH7" s="47"/>
      <c r="AI7" s="47"/>
      <c r="AJ7" s="47"/>
      <c r="AK7" s="47"/>
      <c r="AL7" s="47"/>
    </row>
    <row r="8" spans="2:60" x14ac:dyDescent="0.3">
      <c r="B8" s="199" t="s">
        <v>131</v>
      </c>
      <c r="C8" s="202">
        <f>(0.5*C6)+(0.5*C7)</f>
        <v>77.000432873860916</v>
      </c>
      <c r="D8" s="47"/>
      <c r="E8" s="47"/>
      <c r="F8" s="47"/>
      <c r="G8" s="47"/>
      <c r="H8" s="101"/>
      <c r="I8" s="47"/>
      <c r="J8" s="47"/>
      <c r="K8" s="47"/>
      <c r="L8" s="47"/>
      <c r="M8" s="196"/>
      <c r="N8" s="47"/>
      <c r="O8" s="47"/>
      <c r="P8" s="47"/>
      <c r="Q8" s="47"/>
      <c r="R8" s="47"/>
      <c r="S8" s="47"/>
      <c r="T8" s="47"/>
      <c r="U8" s="47"/>
      <c r="V8" s="47"/>
      <c r="W8" s="47"/>
      <c r="X8" s="47"/>
      <c r="Y8" s="47"/>
      <c r="Z8" s="47"/>
      <c r="AA8" s="47"/>
      <c r="AB8" s="47"/>
      <c r="AC8" s="47"/>
      <c r="AD8" s="47"/>
      <c r="AE8" s="47"/>
      <c r="AF8" s="47"/>
      <c r="AG8" s="47"/>
      <c r="AH8" s="47"/>
      <c r="AI8" s="47"/>
      <c r="AJ8" s="47"/>
      <c r="AK8" s="47"/>
      <c r="AL8" s="47"/>
    </row>
    <row r="9" spans="2:60" ht="4.5" customHeight="1" x14ac:dyDescent="0.3">
      <c r="C9" s="79"/>
      <c r="D9" s="71"/>
      <c r="E9" s="71"/>
      <c r="F9" s="71"/>
      <c r="G9" s="71"/>
      <c r="H9" s="72"/>
      <c r="I9" s="164"/>
      <c r="J9" s="193"/>
      <c r="K9" s="71"/>
      <c r="L9" s="73"/>
      <c r="M9" s="194"/>
      <c r="N9" s="71"/>
      <c r="O9" s="71"/>
      <c r="P9" s="71"/>
      <c r="Q9" s="73"/>
      <c r="R9" s="73"/>
      <c r="S9" s="71"/>
      <c r="T9" s="71"/>
      <c r="U9" s="71"/>
      <c r="V9" s="73"/>
      <c r="W9" s="47"/>
      <c r="X9" s="46"/>
      <c r="Y9" s="46"/>
      <c r="Z9" s="46"/>
      <c r="AA9" s="47"/>
      <c r="AB9" s="47"/>
      <c r="AC9" s="46"/>
      <c r="AD9" s="46"/>
      <c r="AE9" s="46"/>
      <c r="AF9" s="47"/>
      <c r="AG9" s="47"/>
      <c r="AH9" s="46"/>
      <c r="AI9" s="46"/>
      <c r="AJ9" s="46"/>
      <c r="AK9" s="47"/>
      <c r="AL9" s="47"/>
    </row>
    <row r="10" spans="2:60" ht="15.6" x14ac:dyDescent="0.3">
      <c r="B10" s="272" t="s">
        <v>141</v>
      </c>
      <c r="C10" s="273"/>
      <c r="D10" s="157" t="s">
        <v>150</v>
      </c>
      <c r="E10" s="157" t="s">
        <v>151</v>
      </c>
      <c r="F10" s="157" t="s">
        <v>147</v>
      </c>
      <c r="G10" s="157" t="s">
        <v>146</v>
      </c>
      <c r="H10" s="157" t="s">
        <v>146</v>
      </c>
      <c r="I10" s="157" t="s">
        <v>148</v>
      </c>
      <c r="J10" s="157" t="s">
        <v>149</v>
      </c>
      <c r="K10" s="157" t="s">
        <v>145</v>
      </c>
      <c r="L10" s="157" t="s">
        <v>143</v>
      </c>
      <c r="M10" s="157" t="s">
        <v>143</v>
      </c>
      <c r="N10" s="157" t="s">
        <v>152</v>
      </c>
      <c r="O10" s="157" t="s">
        <v>153</v>
      </c>
      <c r="P10" s="157" t="s">
        <v>203</v>
      </c>
      <c r="Q10" s="119" t="s">
        <v>157</v>
      </c>
      <c r="R10" s="119" t="s">
        <v>157</v>
      </c>
      <c r="S10" s="119" t="s">
        <v>207</v>
      </c>
      <c r="T10" s="119" t="s">
        <v>208</v>
      </c>
      <c r="U10" s="119" t="s">
        <v>156</v>
      </c>
      <c r="V10" s="119" t="s">
        <v>158</v>
      </c>
      <c r="W10" s="119" t="s">
        <v>158</v>
      </c>
      <c r="X10" s="119" t="s">
        <v>209</v>
      </c>
      <c r="Y10" s="119" t="s">
        <v>210</v>
      </c>
      <c r="Z10" s="119" t="s">
        <v>212</v>
      </c>
      <c r="AA10" s="119" t="s">
        <v>159</v>
      </c>
      <c r="AB10" s="119" t="s">
        <v>159</v>
      </c>
      <c r="AC10" s="119" t="s">
        <v>213</v>
      </c>
      <c r="AD10" s="119" t="s">
        <v>214</v>
      </c>
      <c r="AE10" s="119" t="s">
        <v>211</v>
      </c>
      <c r="AF10" s="119" t="s">
        <v>160</v>
      </c>
      <c r="AG10" s="119" t="s">
        <v>160</v>
      </c>
      <c r="AH10" s="119" t="s">
        <v>215</v>
      </c>
      <c r="AI10" s="119" t="s">
        <v>216</v>
      </c>
      <c r="AJ10" s="119" t="s">
        <v>217</v>
      </c>
      <c r="AK10" s="119" t="s">
        <v>161</v>
      </c>
      <c r="AL10" s="120" t="s">
        <v>161</v>
      </c>
    </row>
    <row r="11" spans="2:60" ht="16.2" x14ac:dyDescent="0.45">
      <c r="B11" s="274" t="s">
        <v>4</v>
      </c>
      <c r="C11" s="275"/>
      <c r="D11" s="158" t="s">
        <v>90</v>
      </c>
      <c r="E11" s="158" t="s">
        <v>96</v>
      </c>
      <c r="F11" s="158" t="s">
        <v>97</v>
      </c>
      <c r="G11" s="158" t="s">
        <v>100</v>
      </c>
      <c r="H11" s="158" t="s">
        <v>101</v>
      </c>
      <c r="I11" s="158" t="s">
        <v>124</v>
      </c>
      <c r="J11" s="158" t="s">
        <v>132</v>
      </c>
      <c r="K11" s="158" t="s">
        <v>135</v>
      </c>
      <c r="L11" s="158" t="s">
        <v>144</v>
      </c>
      <c r="M11" s="158" t="s">
        <v>142</v>
      </c>
      <c r="N11" s="158" t="s">
        <v>154</v>
      </c>
      <c r="O11" s="158" t="s">
        <v>155</v>
      </c>
      <c r="P11" s="158" t="s">
        <v>269</v>
      </c>
      <c r="Q11" s="121" t="s">
        <v>40</v>
      </c>
      <c r="R11" s="121" t="s">
        <v>41</v>
      </c>
      <c r="S11" s="121" t="s">
        <v>42</v>
      </c>
      <c r="T11" s="121" t="s">
        <v>43</v>
      </c>
      <c r="U11" s="121" t="s">
        <v>44</v>
      </c>
      <c r="V11" s="121" t="s">
        <v>45</v>
      </c>
      <c r="W11" s="121" t="s">
        <v>46</v>
      </c>
      <c r="X11" s="121" t="s">
        <v>47</v>
      </c>
      <c r="Y11" s="121" t="s">
        <v>48</v>
      </c>
      <c r="Z11" s="121" t="s">
        <v>49</v>
      </c>
      <c r="AA11" s="121" t="s">
        <v>50</v>
      </c>
      <c r="AB11" s="121" t="s">
        <v>51</v>
      </c>
      <c r="AC11" s="121" t="s">
        <v>102</v>
      </c>
      <c r="AD11" s="121" t="s">
        <v>103</v>
      </c>
      <c r="AE11" s="121" t="s">
        <v>104</v>
      </c>
      <c r="AF11" s="121" t="s">
        <v>105</v>
      </c>
      <c r="AG11" s="121" t="s">
        <v>106</v>
      </c>
      <c r="AH11" s="121" t="s">
        <v>136</v>
      </c>
      <c r="AI11" s="121" t="s">
        <v>137</v>
      </c>
      <c r="AJ11" s="121" t="s">
        <v>138</v>
      </c>
      <c r="AK11" s="121" t="s">
        <v>139</v>
      </c>
      <c r="AL11" s="122" t="s">
        <v>140</v>
      </c>
    </row>
    <row r="12" spans="2:60" x14ac:dyDescent="0.3">
      <c r="B12" s="260" t="s">
        <v>114</v>
      </c>
      <c r="C12" s="261"/>
      <c r="D12" s="151">
        <v>1868</v>
      </c>
      <c r="E12" s="151">
        <v>1641</v>
      </c>
      <c r="F12" s="151">
        <v>1731</v>
      </c>
      <c r="G12" s="151">
        <v>1911</v>
      </c>
      <c r="H12" s="152">
        <f>SUM(D12:G12)</f>
        <v>7151</v>
      </c>
      <c r="I12" s="151">
        <v>1916</v>
      </c>
      <c r="J12" s="151">
        <v>1695</v>
      </c>
      <c r="K12" s="151">
        <v>1794</v>
      </c>
      <c r="L12" s="151">
        <v>2007</v>
      </c>
      <c r="M12" s="152">
        <f>SUM(I12:L12)</f>
        <v>7412</v>
      </c>
      <c r="N12" s="151">
        <v>1987</v>
      </c>
      <c r="O12" s="151">
        <v>1780</v>
      </c>
      <c r="P12" s="151">
        <v>1886</v>
      </c>
      <c r="Q12" s="205">
        <f>Q81+Q85</f>
        <v>2099.9999999999995</v>
      </c>
      <c r="R12" s="152">
        <f>SUM(N12:Q12)</f>
        <v>7753</v>
      </c>
      <c r="S12" s="205">
        <f>S81+S85</f>
        <v>2099.9999999999995</v>
      </c>
      <c r="T12" s="205">
        <f>T81+T85</f>
        <v>1800.0000000000002</v>
      </c>
      <c r="U12" s="205">
        <f>U81+U85</f>
        <v>1999.9999999999995</v>
      </c>
      <c r="V12" s="151">
        <f>V81+V85</f>
        <v>1972.9392156692802</v>
      </c>
      <c r="W12" s="247">
        <f>SUM(S12:V12)</f>
        <v>7872.9392156692802</v>
      </c>
      <c r="X12" s="151">
        <f>X81+X85</f>
        <v>1936.5882562018378</v>
      </c>
      <c r="Y12" s="151">
        <f>Y81+Y85</f>
        <v>1891.6725978586842</v>
      </c>
      <c r="Z12" s="151">
        <f>Z81+Z85</f>
        <v>1931.8466101641179</v>
      </c>
      <c r="AA12" s="151">
        <f>AA81+AA85</f>
        <v>2017.2750114501553</v>
      </c>
      <c r="AB12" s="152">
        <f>SUM(X12:AA12)</f>
        <v>7777.3824756747954</v>
      </c>
      <c r="AC12" s="151">
        <f>AC81+AC85</f>
        <v>1978.085057333167</v>
      </c>
      <c r="AD12" s="151">
        <f>AD81+AD85</f>
        <v>1929.8558866633291</v>
      </c>
      <c r="AE12" s="151">
        <f>AE81+AE85</f>
        <v>1972.2900631663333</v>
      </c>
      <c r="AF12" s="151">
        <f>AF81+AF85</f>
        <v>2062.9620453907332</v>
      </c>
      <c r="AG12" s="152">
        <f>SUM(AC12:AF12)</f>
        <v>7943.1930525535627</v>
      </c>
      <c r="AH12" s="151">
        <f>AH81+AH85</f>
        <v>2020.7439232818404</v>
      </c>
      <c r="AI12" s="151">
        <f>AI81+AI85</f>
        <v>1968.9804479700226</v>
      </c>
      <c r="AJ12" s="151">
        <f>AJ81+AJ85</f>
        <v>2013.8253922709246</v>
      </c>
      <c r="AK12" s="151">
        <f>AK81+AK85</f>
        <v>2110.0903557864472</v>
      </c>
      <c r="AL12" s="152">
        <f>SUM(AH12:AK12)</f>
        <v>8113.6401193092352</v>
      </c>
    </row>
    <row r="13" spans="2:60" ht="17.25" customHeight="1" x14ac:dyDescent="0.45">
      <c r="B13" s="260" t="s">
        <v>71</v>
      </c>
      <c r="C13" s="261"/>
      <c r="D13" s="154">
        <v>1222</v>
      </c>
      <c r="E13" s="154">
        <v>1116</v>
      </c>
      <c r="F13" s="154">
        <v>1157</v>
      </c>
      <c r="G13" s="154">
        <v>1282</v>
      </c>
      <c r="H13" s="92">
        <f>SUM(D13:G13)</f>
        <v>4777</v>
      </c>
      <c r="I13" s="154">
        <v>1246</v>
      </c>
      <c r="J13" s="154">
        <v>1142</v>
      </c>
      <c r="K13" s="154">
        <v>1187</v>
      </c>
      <c r="L13" s="154">
        <v>1332</v>
      </c>
      <c r="M13" s="92">
        <f>SUM(I13:L13)</f>
        <v>4907</v>
      </c>
      <c r="N13" s="154">
        <v>1291</v>
      </c>
      <c r="O13" s="154">
        <v>1193</v>
      </c>
      <c r="P13" s="154">
        <v>1246</v>
      </c>
      <c r="Q13" s="154">
        <f>Q12*(1-Q88)</f>
        <v>1385.9999999999995</v>
      </c>
      <c r="R13" s="92">
        <f>SUM(N13:Q13)</f>
        <v>5116</v>
      </c>
      <c r="S13" s="154">
        <f>S12*(1-S88)</f>
        <v>1385.9999999999995</v>
      </c>
      <c r="T13" s="154">
        <f>T12*(1-T88)</f>
        <v>1206</v>
      </c>
      <c r="U13" s="154">
        <f>U12*(1-U88)</f>
        <v>1319.9999999999995</v>
      </c>
      <c r="V13" s="154">
        <f>V12*(1-V88)</f>
        <v>1302.1398823417248</v>
      </c>
      <c r="W13" s="92">
        <f>SUM(S13:V13)</f>
        <v>5214.1398823417239</v>
      </c>
      <c r="X13" s="154">
        <f>X12*(1-X88)</f>
        <v>1278.1482490932128</v>
      </c>
      <c r="Y13" s="154">
        <f>Y12*(1-Y88)</f>
        <v>1248.5039145867313</v>
      </c>
      <c r="Z13" s="154">
        <f>Z12*(1-Z88)</f>
        <v>1275.0187627083176</v>
      </c>
      <c r="AA13" s="154">
        <f>AA12*(1-AA88)</f>
        <v>1331.4015075571024</v>
      </c>
      <c r="AB13" s="92">
        <f>SUM(X13:AA13)</f>
        <v>5133.0724339453645</v>
      </c>
      <c r="AC13" s="154">
        <f>AC12*(1-AC88)</f>
        <v>1305.53613783989</v>
      </c>
      <c r="AD13" s="154">
        <f>AD12*(1-AD88)</f>
        <v>1273.704885197797</v>
      </c>
      <c r="AE13" s="154">
        <f>AE12*(1-AE88)</f>
        <v>1301.7114416897798</v>
      </c>
      <c r="AF13" s="154">
        <f>AF12*(1-AF88)</f>
        <v>1361.5549499578838</v>
      </c>
      <c r="AG13" s="92">
        <f>SUM(AC13:AF13)</f>
        <v>5242.5074146853513</v>
      </c>
      <c r="AH13" s="154">
        <f>AH12*(1-AH88)</f>
        <v>1333.6909893660145</v>
      </c>
      <c r="AI13" s="154">
        <f>AI12*(1-AI88)</f>
        <v>1299.5270956602149</v>
      </c>
      <c r="AJ13" s="154">
        <f>AJ12*(1-AJ88)</f>
        <v>1329.1247588988101</v>
      </c>
      <c r="AK13" s="154">
        <f>AK12*(1-AK88)</f>
        <v>1392.6596348190549</v>
      </c>
      <c r="AL13" s="92">
        <f>SUM(AH13:AK13)</f>
        <v>5355.0024787440943</v>
      </c>
    </row>
    <row r="14" spans="2:60" x14ac:dyDescent="0.3">
      <c r="B14" s="262" t="s">
        <v>165</v>
      </c>
      <c r="C14" s="263"/>
      <c r="D14" s="150">
        <f t="shared" ref="D14:G14" si="0">D12-D13</f>
        <v>646</v>
      </c>
      <c r="E14" s="150">
        <f t="shared" si="0"/>
        <v>525</v>
      </c>
      <c r="F14" s="150">
        <f t="shared" si="0"/>
        <v>574</v>
      </c>
      <c r="G14" s="150">
        <f t="shared" si="0"/>
        <v>629</v>
      </c>
      <c r="H14" s="93">
        <f>H12-H13</f>
        <v>2374</v>
      </c>
      <c r="I14" s="150">
        <f t="shared" ref="I14:L14" si="1">I12-I13</f>
        <v>670</v>
      </c>
      <c r="J14" s="150">
        <f t="shared" si="1"/>
        <v>553</v>
      </c>
      <c r="K14" s="150">
        <f t="shared" si="1"/>
        <v>607</v>
      </c>
      <c r="L14" s="150">
        <f t="shared" si="1"/>
        <v>675</v>
      </c>
      <c r="M14" s="93">
        <f>M12-M13</f>
        <v>2505</v>
      </c>
      <c r="N14" s="150">
        <f t="shared" ref="N14:Q14" si="2">N12-N13</f>
        <v>696</v>
      </c>
      <c r="O14" s="150">
        <f t="shared" si="2"/>
        <v>587</v>
      </c>
      <c r="P14" s="150">
        <f t="shared" si="2"/>
        <v>640</v>
      </c>
      <c r="Q14" s="150">
        <f t="shared" si="2"/>
        <v>714</v>
      </c>
      <c r="R14" s="93">
        <f>R12-R13</f>
        <v>2637</v>
      </c>
      <c r="S14" s="150">
        <f t="shared" ref="S14:V14" si="3">S12-S13</f>
        <v>714</v>
      </c>
      <c r="T14" s="150">
        <f t="shared" si="3"/>
        <v>594.00000000000023</v>
      </c>
      <c r="U14" s="150">
        <f t="shared" si="3"/>
        <v>680</v>
      </c>
      <c r="V14" s="150">
        <f t="shared" si="3"/>
        <v>670.79933332755536</v>
      </c>
      <c r="W14" s="27">
        <f>W12-W13</f>
        <v>2658.7993333275563</v>
      </c>
      <c r="X14" s="150">
        <f t="shared" ref="X14:AA14" si="4">X12-X13</f>
        <v>658.44000710862497</v>
      </c>
      <c r="Y14" s="150">
        <f t="shared" si="4"/>
        <v>643.16868327195289</v>
      </c>
      <c r="Z14" s="150">
        <f t="shared" si="4"/>
        <v>656.82784745580034</v>
      </c>
      <c r="AA14" s="150">
        <f t="shared" si="4"/>
        <v>685.87350389305288</v>
      </c>
      <c r="AB14" s="27">
        <f>AB12-AB13</f>
        <v>2644.3100417294308</v>
      </c>
      <c r="AC14" s="150">
        <f t="shared" ref="AC14:AF14" si="5">AC12-AC13</f>
        <v>672.54891949327703</v>
      </c>
      <c r="AD14" s="150">
        <f t="shared" si="5"/>
        <v>656.15100146553209</v>
      </c>
      <c r="AE14" s="150">
        <f t="shared" si="5"/>
        <v>670.57862147655351</v>
      </c>
      <c r="AF14" s="150">
        <f t="shared" si="5"/>
        <v>701.40709543284947</v>
      </c>
      <c r="AG14" s="27">
        <f>AG12-AG13</f>
        <v>2700.6856378682114</v>
      </c>
      <c r="AH14" s="150">
        <f t="shared" ref="AH14:AK14" si="6">AH12-AH13</f>
        <v>687.05293391582586</v>
      </c>
      <c r="AI14" s="150">
        <f t="shared" si="6"/>
        <v>669.45335230980777</v>
      </c>
      <c r="AJ14" s="150">
        <f t="shared" si="6"/>
        <v>684.70063337211445</v>
      </c>
      <c r="AK14" s="150">
        <f t="shared" si="6"/>
        <v>717.43072096739229</v>
      </c>
      <c r="AL14" s="27">
        <f>AL12-AL13</f>
        <v>2758.6376405651408</v>
      </c>
    </row>
    <row r="15" spans="2:60" x14ac:dyDescent="0.3">
      <c r="B15" s="260" t="s">
        <v>162</v>
      </c>
      <c r="C15" s="261"/>
      <c r="D15" s="49">
        <v>355</v>
      </c>
      <c r="E15" s="151">
        <v>343</v>
      </c>
      <c r="F15" s="151">
        <v>353</v>
      </c>
      <c r="G15" s="50">
        <v>375</v>
      </c>
      <c r="H15" s="152">
        <f>SUM(D15:G15)</f>
        <v>1426</v>
      </c>
      <c r="I15" s="49">
        <v>345</v>
      </c>
      <c r="J15" s="151">
        <v>331</v>
      </c>
      <c r="K15" s="151">
        <v>352</v>
      </c>
      <c r="L15" s="50">
        <v>387</v>
      </c>
      <c r="M15" s="152">
        <f>SUM(I15:L15)</f>
        <v>1415</v>
      </c>
      <c r="N15" s="49">
        <v>361</v>
      </c>
      <c r="O15" s="151">
        <v>350</v>
      </c>
      <c r="P15" s="151">
        <v>366</v>
      </c>
      <c r="Q15" s="151">
        <f>Q12*Q90</f>
        <v>409.17542276767688</v>
      </c>
      <c r="R15" s="152">
        <f>SUM(N15:Q15)</f>
        <v>1486.175422767677</v>
      </c>
      <c r="S15" s="151">
        <f>S12*S90</f>
        <v>369.59999999999991</v>
      </c>
      <c r="T15" s="151">
        <f>T12*T90</f>
        <v>347.49000000000007</v>
      </c>
      <c r="U15" s="151">
        <f>U12*U90</f>
        <v>389.99999999999994</v>
      </c>
      <c r="V15" s="151">
        <f>V12*V90</f>
        <v>374.85845097716322</v>
      </c>
      <c r="W15" s="24">
        <f>SUM(S15:V15)</f>
        <v>1481.9484509771632</v>
      </c>
      <c r="X15" s="151">
        <f>X12*X90</f>
        <v>367.9517686783492</v>
      </c>
      <c r="Y15" s="151">
        <f>Y12*Y90</f>
        <v>359.41779359315001</v>
      </c>
      <c r="Z15" s="151">
        <f>Z12*Z90</f>
        <v>367.05085593118241</v>
      </c>
      <c r="AA15" s="151">
        <f>AA12*AA90</f>
        <v>383.28225217552949</v>
      </c>
      <c r="AB15" s="24">
        <f>SUM(X15:AA15)</f>
        <v>1477.7026703782112</v>
      </c>
      <c r="AC15" s="151">
        <f>AC12*AC90</f>
        <v>375.83616089330172</v>
      </c>
      <c r="AD15" s="151">
        <f>AD12*AD90</f>
        <v>366.67261846603253</v>
      </c>
      <c r="AE15" s="151">
        <f>AE12*AE90</f>
        <v>374.73511200160334</v>
      </c>
      <c r="AF15" s="151">
        <f>AF12*AF90</f>
        <v>391.96278862423929</v>
      </c>
      <c r="AG15" s="24">
        <f>SUM(AC15:AF15)</f>
        <v>1509.2066799851768</v>
      </c>
      <c r="AH15" s="151">
        <f>AH12*AH90</f>
        <v>383.94134542354965</v>
      </c>
      <c r="AI15" s="151">
        <f>AI12*AI90</f>
        <v>374.10628511430428</v>
      </c>
      <c r="AJ15" s="151">
        <f>AJ12*AJ90</f>
        <v>382.62682453147568</v>
      </c>
      <c r="AK15" s="151">
        <f>AK12*AK90</f>
        <v>400.91716759942494</v>
      </c>
      <c r="AL15" s="24">
        <f>SUM(AH15:AK15)</f>
        <v>1541.5916226687546</v>
      </c>
    </row>
    <row r="16" spans="2:60" x14ac:dyDescent="0.3">
      <c r="B16" s="260" t="s">
        <v>163</v>
      </c>
      <c r="C16" s="261"/>
      <c r="D16" s="49">
        <v>36</v>
      </c>
      <c r="E16" s="151">
        <v>36</v>
      </c>
      <c r="F16" s="151">
        <v>34</v>
      </c>
      <c r="G16" s="50">
        <v>33</v>
      </c>
      <c r="H16" s="152">
        <f>SUM(D16:G16)</f>
        <v>139</v>
      </c>
      <c r="I16" s="49">
        <v>35</v>
      </c>
      <c r="J16" s="151">
        <v>36</v>
      </c>
      <c r="K16" s="151">
        <v>38</v>
      </c>
      <c r="L16" s="50">
        <v>39</v>
      </c>
      <c r="M16" s="152">
        <f>SUM(I16:L16)</f>
        <v>148</v>
      </c>
      <c r="N16" s="49">
        <v>39</v>
      </c>
      <c r="O16" s="151">
        <v>39</v>
      </c>
      <c r="P16" s="151">
        <v>40</v>
      </c>
      <c r="Q16" s="151">
        <f>Q12*Q91</f>
        <v>41.999999999999993</v>
      </c>
      <c r="R16" s="152">
        <f>SUM(N16:Q16)</f>
        <v>160</v>
      </c>
      <c r="S16" s="151">
        <f>S12*S91</f>
        <v>41.999999999999993</v>
      </c>
      <c r="T16" s="151">
        <f>T12*T91</f>
        <v>36.000000000000007</v>
      </c>
      <c r="U16" s="151">
        <f>U12*U91</f>
        <v>39.999999999999993</v>
      </c>
      <c r="V16" s="151">
        <f>V12*V91</f>
        <v>39.458784313385607</v>
      </c>
      <c r="W16" s="152">
        <f>SUM(S16:V16)</f>
        <v>157.45878431338559</v>
      </c>
      <c r="X16" s="151">
        <f>X12*X91</f>
        <v>38.731765124036755</v>
      </c>
      <c r="Y16" s="151">
        <f>Y12*Y91</f>
        <v>37.833451957173686</v>
      </c>
      <c r="Z16" s="151">
        <f>Z12*Z91</f>
        <v>38.636932203282356</v>
      </c>
      <c r="AA16" s="151">
        <f>AA12*AA91</f>
        <v>40.345500229003108</v>
      </c>
      <c r="AB16" s="24">
        <f>SUM(X16:AA16)</f>
        <v>155.54764951349591</v>
      </c>
      <c r="AC16" s="151">
        <f>AC12*AC91</f>
        <v>39.561701146663339</v>
      </c>
      <c r="AD16" s="151">
        <f>AD12*AD91</f>
        <v>38.597117733266586</v>
      </c>
      <c r="AE16" s="151">
        <f>AE12*AE91</f>
        <v>39.445801263326665</v>
      </c>
      <c r="AF16" s="151">
        <f>AF12*AF91</f>
        <v>43.322202953205398</v>
      </c>
      <c r="AG16" s="24">
        <f>SUM(AC16:AF16)</f>
        <v>160.92682309646199</v>
      </c>
      <c r="AH16" s="151">
        <f>AH12*AH91</f>
        <v>42.435622388918652</v>
      </c>
      <c r="AI16" s="151">
        <f>AI12*AI91</f>
        <v>41.348589407370476</v>
      </c>
      <c r="AJ16" s="151">
        <f>AJ12*AJ91</f>
        <v>42.290333237689417</v>
      </c>
      <c r="AK16" s="151">
        <f>AK12*AK91</f>
        <v>44.311897471515394</v>
      </c>
      <c r="AL16" s="24">
        <f>SUM(AH16:AK16)</f>
        <v>170.38644250549396</v>
      </c>
    </row>
    <row r="17" spans="2:38" s="91" customFormat="1" ht="16.2" x14ac:dyDescent="0.45">
      <c r="B17" s="260" t="s">
        <v>164</v>
      </c>
      <c r="C17" s="261"/>
      <c r="D17" s="51">
        <v>1</v>
      </c>
      <c r="E17" s="154">
        <v>2</v>
      </c>
      <c r="F17" s="154">
        <v>0</v>
      </c>
      <c r="G17" s="52">
        <v>1</v>
      </c>
      <c r="H17" s="94">
        <f>SUM(D17:G17)</f>
        <v>4</v>
      </c>
      <c r="I17" s="51">
        <v>0</v>
      </c>
      <c r="J17" s="154">
        <v>0</v>
      </c>
      <c r="K17" s="154">
        <v>100</v>
      </c>
      <c r="L17" s="52">
        <v>5</v>
      </c>
      <c r="M17" s="94">
        <f>SUM(I17:L17)</f>
        <v>105</v>
      </c>
      <c r="N17" s="51">
        <v>0</v>
      </c>
      <c r="O17" s="154">
        <v>0</v>
      </c>
      <c r="P17" s="154">
        <v>0</v>
      </c>
      <c r="Q17" s="238">
        <v>0</v>
      </c>
      <c r="R17" s="94">
        <f>SUM(N17:Q17)</f>
        <v>0</v>
      </c>
      <c r="S17" s="239">
        <v>0</v>
      </c>
      <c r="T17" s="237">
        <v>0</v>
      </c>
      <c r="U17" s="237">
        <v>0</v>
      </c>
      <c r="V17" s="238">
        <v>0</v>
      </c>
      <c r="W17" s="94">
        <f>SUM(S17:V17)</f>
        <v>0</v>
      </c>
      <c r="X17" s="239">
        <v>0</v>
      </c>
      <c r="Y17" s="237">
        <v>0</v>
      </c>
      <c r="Z17" s="237">
        <v>0</v>
      </c>
      <c r="AA17" s="238">
        <v>0</v>
      </c>
      <c r="AB17" s="94">
        <f>SUM(X17:AA17)</f>
        <v>0</v>
      </c>
      <c r="AC17" s="239">
        <v>0</v>
      </c>
      <c r="AD17" s="237">
        <v>0</v>
      </c>
      <c r="AE17" s="237">
        <v>0</v>
      </c>
      <c r="AF17" s="238">
        <v>0</v>
      </c>
      <c r="AG17" s="94">
        <f>SUM(AC17:AF17)</f>
        <v>0</v>
      </c>
      <c r="AH17" s="239">
        <v>0</v>
      </c>
      <c r="AI17" s="237">
        <v>0</v>
      </c>
      <c r="AJ17" s="237">
        <v>0</v>
      </c>
      <c r="AK17" s="238">
        <v>0</v>
      </c>
      <c r="AL17" s="94">
        <f>SUM(AH17:AK17)</f>
        <v>0</v>
      </c>
    </row>
    <row r="18" spans="2:38" s="111" customFormat="1" ht="16.2" x14ac:dyDescent="0.45">
      <c r="B18" s="214" t="s">
        <v>166</v>
      </c>
      <c r="C18" s="218"/>
      <c r="D18" s="113">
        <f t="shared" ref="D18:AL18" si="7">SUM(D15:D17)</f>
        <v>392</v>
      </c>
      <c r="E18" s="114">
        <f t="shared" si="7"/>
        <v>381</v>
      </c>
      <c r="F18" s="114">
        <f t="shared" si="7"/>
        <v>387</v>
      </c>
      <c r="G18" s="115">
        <f t="shared" si="7"/>
        <v>409</v>
      </c>
      <c r="H18" s="116">
        <f t="shared" si="7"/>
        <v>1569</v>
      </c>
      <c r="I18" s="113">
        <f t="shared" si="7"/>
        <v>380</v>
      </c>
      <c r="J18" s="114">
        <f t="shared" si="7"/>
        <v>367</v>
      </c>
      <c r="K18" s="114">
        <f t="shared" si="7"/>
        <v>490</v>
      </c>
      <c r="L18" s="115">
        <f t="shared" si="7"/>
        <v>431</v>
      </c>
      <c r="M18" s="116">
        <f t="shared" si="7"/>
        <v>1668</v>
      </c>
      <c r="N18" s="113">
        <f t="shared" si="7"/>
        <v>400</v>
      </c>
      <c r="O18" s="114">
        <f t="shared" si="7"/>
        <v>389</v>
      </c>
      <c r="P18" s="114">
        <f t="shared" si="7"/>
        <v>406</v>
      </c>
      <c r="Q18" s="115">
        <f t="shared" si="7"/>
        <v>451.17542276767688</v>
      </c>
      <c r="R18" s="116">
        <f t="shared" si="7"/>
        <v>1646.175422767677</v>
      </c>
      <c r="S18" s="113">
        <f t="shared" si="7"/>
        <v>411.59999999999991</v>
      </c>
      <c r="T18" s="114">
        <f t="shared" si="7"/>
        <v>383.49000000000007</v>
      </c>
      <c r="U18" s="114">
        <f t="shared" si="7"/>
        <v>429.99999999999994</v>
      </c>
      <c r="V18" s="115">
        <f t="shared" si="7"/>
        <v>414.31723529054881</v>
      </c>
      <c r="W18" s="112">
        <f t="shared" si="7"/>
        <v>1639.4072352905489</v>
      </c>
      <c r="X18" s="113">
        <f t="shared" si="7"/>
        <v>406.68353380238597</v>
      </c>
      <c r="Y18" s="114">
        <f t="shared" si="7"/>
        <v>397.25124555032369</v>
      </c>
      <c r="Z18" s="114">
        <f t="shared" si="7"/>
        <v>405.68778813446477</v>
      </c>
      <c r="AA18" s="115">
        <f t="shared" si="7"/>
        <v>423.6277524045326</v>
      </c>
      <c r="AB18" s="112">
        <f t="shared" si="7"/>
        <v>1633.250319891707</v>
      </c>
      <c r="AC18" s="113">
        <f t="shared" si="7"/>
        <v>415.39786203996505</v>
      </c>
      <c r="AD18" s="114">
        <f t="shared" si="7"/>
        <v>405.26973619929913</v>
      </c>
      <c r="AE18" s="114">
        <f t="shared" si="7"/>
        <v>414.18091326492998</v>
      </c>
      <c r="AF18" s="115">
        <f t="shared" si="7"/>
        <v>435.28499157744471</v>
      </c>
      <c r="AG18" s="112">
        <f t="shared" si="7"/>
        <v>1670.1335030816388</v>
      </c>
      <c r="AH18" s="113">
        <f t="shared" si="7"/>
        <v>426.37696781246831</v>
      </c>
      <c r="AI18" s="114">
        <f t="shared" si="7"/>
        <v>415.45487452167475</v>
      </c>
      <c r="AJ18" s="114">
        <f t="shared" si="7"/>
        <v>424.9171577691651</v>
      </c>
      <c r="AK18" s="115">
        <f t="shared" si="7"/>
        <v>445.22906507094035</v>
      </c>
      <c r="AL18" s="112">
        <f t="shared" si="7"/>
        <v>1711.9780651742485</v>
      </c>
    </row>
    <row r="19" spans="2:38" x14ac:dyDescent="0.3">
      <c r="B19" s="262" t="s">
        <v>116</v>
      </c>
      <c r="C19" s="263"/>
      <c r="D19" s="53">
        <f t="shared" ref="D19:AL19" si="8">D14-D18</f>
        <v>254</v>
      </c>
      <c r="E19" s="150">
        <f t="shared" si="8"/>
        <v>144</v>
      </c>
      <c r="F19" s="150">
        <f t="shared" si="8"/>
        <v>187</v>
      </c>
      <c r="G19" s="54">
        <f t="shared" si="8"/>
        <v>220</v>
      </c>
      <c r="H19" s="93">
        <f t="shared" si="8"/>
        <v>805</v>
      </c>
      <c r="I19" s="53">
        <f t="shared" si="8"/>
        <v>290</v>
      </c>
      <c r="J19" s="150">
        <f t="shared" si="8"/>
        <v>186</v>
      </c>
      <c r="K19" s="150">
        <f t="shared" si="8"/>
        <v>117</v>
      </c>
      <c r="L19" s="54">
        <f t="shared" si="8"/>
        <v>244</v>
      </c>
      <c r="M19" s="93">
        <f t="shared" si="8"/>
        <v>837</v>
      </c>
      <c r="N19" s="53">
        <f t="shared" si="8"/>
        <v>296</v>
      </c>
      <c r="O19" s="150">
        <f t="shared" si="8"/>
        <v>198</v>
      </c>
      <c r="P19" s="150">
        <f t="shared" si="8"/>
        <v>234</v>
      </c>
      <c r="Q19" s="54">
        <f t="shared" si="8"/>
        <v>262.82457723232312</v>
      </c>
      <c r="R19" s="93">
        <f t="shared" si="8"/>
        <v>990.82457723232301</v>
      </c>
      <c r="S19" s="53">
        <f t="shared" si="8"/>
        <v>302.40000000000009</v>
      </c>
      <c r="T19" s="150">
        <f t="shared" si="8"/>
        <v>210.51000000000016</v>
      </c>
      <c r="U19" s="150">
        <f t="shared" si="8"/>
        <v>250.00000000000006</v>
      </c>
      <c r="V19" s="54">
        <f t="shared" si="8"/>
        <v>256.48209803700655</v>
      </c>
      <c r="W19" s="27">
        <f t="shared" si="8"/>
        <v>1019.3920980370074</v>
      </c>
      <c r="X19" s="53">
        <f t="shared" si="8"/>
        <v>251.756473306239</v>
      </c>
      <c r="Y19" s="150">
        <f t="shared" si="8"/>
        <v>245.9174377216292</v>
      </c>
      <c r="Z19" s="150">
        <f t="shared" si="8"/>
        <v>251.14005932133557</v>
      </c>
      <c r="AA19" s="54">
        <f t="shared" si="8"/>
        <v>262.24575148852028</v>
      </c>
      <c r="AB19" s="27">
        <f t="shared" si="8"/>
        <v>1011.0597218377238</v>
      </c>
      <c r="AC19" s="53">
        <f t="shared" si="8"/>
        <v>257.15105745331198</v>
      </c>
      <c r="AD19" s="150">
        <f t="shared" si="8"/>
        <v>250.88126526623296</v>
      </c>
      <c r="AE19" s="150">
        <f t="shared" si="8"/>
        <v>256.39770821162352</v>
      </c>
      <c r="AF19" s="54">
        <f t="shared" si="8"/>
        <v>266.12210385540476</v>
      </c>
      <c r="AG19" s="27">
        <f t="shared" si="8"/>
        <v>1030.5521347865727</v>
      </c>
      <c r="AH19" s="53">
        <f t="shared" si="8"/>
        <v>260.67596610335755</v>
      </c>
      <c r="AI19" s="150">
        <f t="shared" si="8"/>
        <v>253.99847778813302</v>
      </c>
      <c r="AJ19" s="150">
        <f t="shared" si="8"/>
        <v>259.78347560294935</v>
      </c>
      <c r="AK19" s="54">
        <f t="shared" si="8"/>
        <v>272.20165589645194</v>
      </c>
      <c r="AL19" s="27">
        <f t="shared" si="8"/>
        <v>1046.6595753908923</v>
      </c>
    </row>
    <row r="20" spans="2:38" s="153" customFormat="1" x14ac:dyDescent="0.3">
      <c r="B20" s="215" t="s">
        <v>115</v>
      </c>
      <c r="C20" s="216"/>
      <c r="D20" s="151">
        <v>1</v>
      </c>
      <c r="E20" s="151">
        <v>1</v>
      </c>
      <c r="F20" s="151">
        <v>1</v>
      </c>
      <c r="G20" s="151">
        <v>2</v>
      </c>
      <c r="H20" s="152">
        <f>SUM(D20:G20)</f>
        <v>5</v>
      </c>
      <c r="I20" s="151">
        <v>1</v>
      </c>
      <c r="J20" s="151">
        <v>1</v>
      </c>
      <c r="K20" s="151">
        <v>1</v>
      </c>
      <c r="L20" s="151">
        <v>1</v>
      </c>
      <c r="M20" s="152">
        <f>SUM(I20:L20)</f>
        <v>4</v>
      </c>
      <c r="N20" s="151">
        <v>0</v>
      </c>
      <c r="O20" s="151">
        <v>1</v>
      </c>
      <c r="P20" s="151">
        <v>1</v>
      </c>
      <c r="Q20" s="151">
        <f>Q92*(AVERAGE((Q118+Q122),(P118+P122)))</f>
        <v>1.612437202697147</v>
      </c>
      <c r="R20" s="152">
        <f>SUM(N20:Q20)</f>
        <v>3.612437202697147</v>
      </c>
      <c r="S20" s="151">
        <f>S92*(AVERAGE((S118+S122),(Q118+Q122)))</f>
        <v>1.5976381273724163</v>
      </c>
      <c r="T20" s="151">
        <f>T92*(AVERAGE((T118+T122),(S118+S122)))</f>
        <v>1.5433520334174933</v>
      </c>
      <c r="U20" s="151">
        <f>U92*(AVERAGE((U118+U122),(T118+T122)))</f>
        <v>1.5282190668103781</v>
      </c>
      <c r="V20" s="151">
        <f>V92*(AVERAGE((V118+V122),(U118+U122)))</f>
        <v>1.5696943104431578</v>
      </c>
      <c r="W20" s="152">
        <f>SUM(S20:V20)</f>
        <v>6.238903538043445</v>
      </c>
      <c r="X20" s="151">
        <f>X92*(AVERAGE((X118+X122),(V118+V122)))</f>
        <v>1.4933518693207224</v>
      </c>
      <c r="Y20" s="151">
        <f>Y92*(AVERAGE((Y118+Y122),(X118+X122)))</f>
        <v>1.4435911152016434</v>
      </c>
      <c r="Z20" s="151">
        <f>Z92*(AVERAGE((Z118+Z122),(Y118+Y122)))</f>
        <v>1.4907446565408711</v>
      </c>
      <c r="AA20" s="151">
        <f>AA92*(AVERAGE((AA118+AA122),(Z118+Z122)))</f>
        <v>1.5515828827980618</v>
      </c>
      <c r="AB20" s="152">
        <f>SUM(X20:AA20)</f>
        <v>5.9792705238612989</v>
      </c>
      <c r="AC20" s="151">
        <f>AC92*(AVERAGE((AC118+AC122),(AA118+AA122)))</f>
        <v>1.5297647725347026</v>
      </c>
      <c r="AD20" s="151">
        <f>AD92*(AVERAGE((AD118+AD122),(AC118+AC122)))</f>
        <v>1.4690953012319337</v>
      </c>
      <c r="AE20" s="151">
        <f>AE92*(AVERAGE((AE118+AE122),(AD118+AD122)))</f>
        <v>1.5693188290894013</v>
      </c>
      <c r="AF20" s="151">
        <f>AF92*(AVERAGE((AF118+AF122),(AE118+AE122)))</f>
        <v>1.6217651163313269</v>
      </c>
      <c r="AG20" s="152">
        <f>SUM(AC20:AF20)</f>
        <v>6.1899440191873643</v>
      </c>
      <c r="AH20" s="151">
        <f>AH92*(AVERAGE((AH118+AH122),(AF118+AF122)))</f>
        <v>1.518102405164923</v>
      </c>
      <c r="AI20" s="151">
        <f>AI92*(AVERAGE((AI118+AI122),(AH118+AH122)))</f>
        <v>1.4901913828904876</v>
      </c>
      <c r="AJ20" s="151">
        <f>AJ92*(AVERAGE((AJ118+AJ122),(AI118+AI122)))</f>
        <v>1.5933436022052705</v>
      </c>
      <c r="AK20" s="151">
        <f>AK92*(AVERAGE((AK118+AK122),(AJ118+AJ122)))</f>
        <v>1.4727285325978197</v>
      </c>
      <c r="AL20" s="152">
        <f>SUM(AH20:AK20)</f>
        <v>6.074365922858501</v>
      </c>
    </row>
    <row r="21" spans="2:38" ht="16.2" x14ac:dyDescent="0.45">
      <c r="B21" s="260" t="s">
        <v>123</v>
      </c>
      <c r="C21" s="261"/>
      <c r="D21" s="154">
        <v>-1</v>
      </c>
      <c r="E21" s="154">
        <v>-1</v>
      </c>
      <c r="F21" s="154">
        <v>-1</v>
      </c>
      <c r="G21" s="154">
        <v>-6</v>
      </c>
      <c r="H21" s="92">
        <f>SUM(D21:G21)</f>
        <v>-9</v>
      </c>
      <c r="I21" s="154">
        <v>-1</v>
      </c>
      <c r="J21" s="154">
        <v>0</v>
      </c>
      <c r="K21" s="154">
        <v>-1</v>
      </c>
      <c r="L21" s="154">
        <v>-2</v>
      </c>
      <c r="M21" s="92">
        <f>SUM(I21:L21)</f>
        <v>-4</v>
      </c>
      <c r="N21" s="154">
        <v>-2</v>
      </c>
      <c r="O21" s="154">
        <v>-1</v>
      </c>
      <c r="P21" s="154">
        <v>6</v>
      </c>
      <c r="Q21" s="154">
        <f>Q12*Q93</f>
        <v>6.6808059384941663</v>
      </c>
      <c r="R21" s="92">
        <f>SUM(N21:Q21)</f>
        <v>9.6808059384941672</v>
      </c>
      <c r="S21" s="154">
        <f>S12*S93</f>
        <v>6.6808059384941663</v>
      </c>
      <c r="T21" s="154">
        <f>T12*T93</f>
        <v>5.7264050901378587</v>
      </c>
      <c r="U21" s="154">
        <f>U12*U93</f>
        <v>6.3626723223753965</v>
      </c>
      <c r="V21" s="154">
        <f>V12*V93</f>
        <v>6.2765828706339777</v>
      </c>
      <c r="W21" s="92">
        <f>SUM(S21:V21)</f>
        <v>25.046466221641399</v>
      </c>
      <c r="X21" s="154">
        <f>X12*X93</f>
        <v>6.1609382487863344</v>
      </c>
      <c r="Y21" s="154">
        <f>Y12*Y93</f>
        <v>6.0180464406957084</v>
      </c>
      <c r="Z21" s="154">
        <f>Z12*Z93</f>
        <v>6.1458534787829837</v>
      </c>
      <c r="AA21" s="154">
        <f>AA12*AA93</f>
        <v>6.4176299409867079</v>
      </c>
      <c r="AB21" s="92">
        <f>SUM(X21:AA21)</f>
        <v>24.742468109251732</v>
      </c>
      <c r="AC21" s="154">
        <f>AC12*AC93</f>
        <v>6.2929535227990465</v>
      </c>
      <c r="AD21" s="154">
        <f>AD12*AD93</f>
        <v>6.1395203181229983</v>
      </c>
      <c r="AE21" s="154">
        <f>AE12*AE93</f>
        <v>6.2745176983022271</v>
      </c>
      <c r="AF21" s="154">
        <f>AF12*AF93</f>
        <v>6.5629757541592788</v>
      </c>
      <c r="AG21" s="92">
        <f>SUM(AC21:AF21)</f>
        <v>25.269967293383552</v>
      </c>
      <c r="AH21" s="154">
        <f>AH12*AH93</f>
        <v>6.4286657156368197</v>
      </c>
      <c r="AI21" s="154">
        <f>AI12*AI93</f>
        <v>6.2639886997985874</v>
      </c>
      <c r="AJ21" s="154">
        <f>AJ12*AJ93</f>
        <v>6.4066555427494949</v>
      </c>
      <c r="AK21" s="154">
        <f>AK12*AK93</f>
        <v>6.712906752236842</v>
      </c>
      <c r="AL21" s="92">
        <f>SUM(AH21:AK21)</f>
        <v>25.812216710421744</v>
      </c>
    </row>
    <row r="22" spans="2:38" x14ac:dyDescent="0.3">
      <c r="B22" s="262" t="s">
        <v>0</v>
      </c>
      <c r="C22" s="263"/>
      <c r="D22" s="150">
        <f>D19-D20-D21</f>
        <v>254</v>
      </c>
      <c r="E22" s="150">
        <f t="shared" ref="E22:AL22" si="9">E19-E20-E21</f>
        <v>144</v>
      </c>
      <c r="F22" s="150">
        <f t="shared" si="9"/>
        <v>187</v>
      </c>
      <c r="G22" s="150">
        <f t="shared" si="9"/>
        <v>224</v>
      </c>
      <c r="H22" s="93">
        <f t="shared" si="9"/>
        <v>809</v>
      </c>
      <c r="I22" s="150">
        <f t="shared" si="9"/>
        <v>290</v>
      </c>
      <c r="J22" s="150">
        <f t="shared" si="9"/>
        <v>185</v>
      </c>
      <c r="K22" s="150">
        <f t="shared" si="9"/>
        <v>117</v>
      </c>
      <c r="L22" s="150">
        <f>L19-L20-L21</f>
        <v>245</v>
      </c>
      <c r="M22" s="93">
        <f>M19-M20-M21</f>
        <v>837</v>
      </c>
      <c r="N22" s="26">
        <f>N19-N20-N21</f>
        <v>298</v>
      </c>
      <c r="O22" s="26">
        <f t="shared" si="9"/>
        <v>198</v>
      </c>
      <c r="P22" s="150">
        <f t="shared" si="9"/>
        <v>227</v>
      </c>
      <c r="Q22" s="26">
        <f t="shared" si="9"/>
        <v>254.53133409113181</v>
      </c>
      <c r="R22" s="93">
        <f t="shared" si="9"/>
        <v>977.53133409113173</v>
      </c>
      <c r="S22" s="26">
        <f t="shared" si="9"/>
        <v>294.12155593413348</v>
      </c>
      <c r="T22" s="26">
        <f t="shared" si="9"/>
        <v>203.2402428764448</v>
      </c>
      <c r="U22" s="26">
        <f t="shared" si="9"/>
        <v>242.10910861081427</v>
      </c>
      <c r="V22" s="26">
        <f t="shared" si="9"/>
        <v>248.63582085592941</v>
      </c>
      <c r="W22" s="27">
        <f t="shared" si="9"/>
        <v>988.10672827732253</v>
      </c>
      <c r="X22" s="26">
        <f t="shared" si="9"/>
        <v>244.10218318813196</v>
      </c>
      <c r="Y22" s="26">
        <f t="shared" si="9"/>
        <v>238.45580016573183</v>
      </c>
      <c r="Z22" s="26">
        <f t="shared" si="9"/>
        <v>243.50346118601172</v>
      </c>
      <c r="AA22" s="26">
        <f t="shared" si="9"/>
        <v>254.27653866473551</v>
      </c>
      <c r="AB22" s="27">
        <f t="shared" si="9"/>
        <v>980.33798320461085</v>
      </c>
      <c r="AC22" s="26">
        <f t="shared" si="9"/>
        <v>249.32833915797823</v>
      </c>
      <c r="AD22" s="26">
        <f t="shared" si="9"/>
        <v>243.27264964687802</v>
      </c>
      <c r="AE22" s="26">
        <f t="shared" si="9"/>
        <v>248.55387168423189</v>
      </c>
      <c r="AF22" s="26">
        <f t="shared" si="9"/>
        <v>257.93736298491416</v>
      </c>
      <c r="AG22" s="27">
        <f t="shared" si="9"/>
        <v>999.0922234740018</v>
      </c>
      <c r="AH22" s="26">
        <f t="shared" si="9"/>
        <v>252.7291979825558</v>
      </c>
      <c r="AI22" s="26">
        <f t="shared" si="9"/>
        <v>246.24429770544396</v>
      </c>
      <c r="AJ22" s="26">
        <f t="shared" si="9"/>
        <v>251.7834764579946</v>
      </c>
      <c r="AK22" s="26">
        <f t="shared" si="9"/>
        <v>264.01602061161725</v>
      </c>
      <c r="AL22" s="27">
        <f t="shared" si="9"/>
        <v>1014.7729927576121</v>
      </c>
    </row>
    <row r="23" spans="2:38" ht="16.2" x14ac:dyDescent="0.45">
      <c r="B23" s="260" t="s">
        <v>167</v>
      </c>
      <c r="C23" s="261"/>
      <c r="D23" s="154">
        <v>92</v>
      </c>
      <c r="E23" s="154">
        <v>52</v>
      </c>
      <c r="F23" s="154">
        <v>67</v>
      </c>
      <c r="G23" s="154">
        <v>78</v>
      </c>
      <c r="H23" s="92">
        <f>SUM(D23:G23)</f>
        <v>289</v>
      </c>
      <c r="I23" s="154">
        <v>106</v>
      </c>
      <c r="J23" s="154">
        <v>66</v>
      </c>
      <c r="K23" s="154">
        <v>37</v>
      </c>
      <c r="L23" s="154">
        <v>87</v>
      </c>
      <c r="M23" s="92">
        <f>SUM(I23:L23)</f>
        <v>296</v>
      </c>
      <c r="N23" s="154">
        <v>107</v>
      </c>
      <c r="O23" s="154">
        <v>71</v>
      </c>
      <c r="P23" s="154">
        <v>70</v>
      </c>
      <c r="Q23" s="154">
        <f>Q22*Q94</f>
        <v>78.489838706516423</v>
      </c>
      <c r="R23" s="92">
        <f>SUM(N23:Q23)</f>
        <v>326.48983870651642</v>
      </c>
      <c r="S23" s="154">
        <f>S22*S94</f>
        <v>91.177682339581381</v>
      </c>
      <c r="T23" s="154">
        <f>T22*T94</f>
        <v>67.069280149226785</v>
      </c>
      <c r="U23" s="154">
        <f>U22*U94</f>
        <v>82.317096927676857</v>
      </c>
      <c r="V23" s="154">
        <f>V22*V94</f>
        <v>87.022537299575291</v>
      </c>
      <c r="W23" s="25">
        <f>SUM(S23:V23)</f>
        <v>327.58659671606028</v>
      </c>
      <c r="X23" s="154">
        <f>X22*X94</f>
        <v>85.435764115846183</v>
      </c>
      <c r="Y23" s="154">
        <f>Y22*Y94</f>
        <v>83.459530058006138</v>
      </c>
      <c r="Z23" s="154">
        <f>Z22*Z94</f>
        <v>85.226211415104103</v>
      </c>
      <c r="AA23" s="154">
        <f>AA22*AA94</f>
        <v>88.996788532657419</v>
      </c>
      <c r="AB23" s="25">
        <f>SUM(X23:AA23)</f>
        <v>343.11829412161387</v>
      </c>
      <c r="AC23" s="154">
        <f>AC22*AC94</f>
        <v>87.264918705292374</v>
      </c>
      <c r="AD23" s="154">
        <f>AD22*AD94</f>
        <v>85.145427376407298</v>
      </c>
      <c r="AE23" s="154">
        <f>AE22*AE94</f>
        <v>86.993855089481158</v>
      </c>
      <c r="AF23" s="154">
        <f>AF22*AF94</f>
        <v>90.27807704471995</v>
      </c>
      <c r="AG23" s="25">
        <f>SUM(AC23:AF23)</f>
        <v>349.68227821590079</v>
      </c>
      <c r="AH23" s="154">
        <f>AH22*AH94</f>
        <v>88.45521929389453</v>
      </c>
      <c r="AI23" s="154">
        <f>AI22*AI94</f>
        <v>86.185504196905384</v>
      </c>
      <c r="AJ23" s="154">
        <f>AJ22*AJ94</f>
        <v>88.124216760298097</v>
      </c>
      <c r="AK23" s="154">
        <f>AK22*AK94</f>
        <v>92.405607214066038</v>
      </c>
      <c r="AL23" s="25">
        <f>SUM(AH23:AK23)</f>
        <v>355.17054746516408</v>
      </c>
    </row>
    <row r="24" spans="2:38" x14ac:dyDescent="0.3">
      <c r="B24" s="262" t="s">
        <v>95</v>
      </c>
      <c r="C24" s="263"/>
      <c r="D24" s="150">
        <f t="shared" ref="D24:AL24" si="10">D22-D23</f>
        <v>162</v>
      </c>
      <c r="E24" s="150">
        <f t="shared" si="10"/>
        <v>92</v>
      </c>
      <c r="F24" s="150">
        <f t="shared" si="10"/>
        <v>120</v>
      </c>
      <c r="G24" s="150">
        <f t="shared" si="10"/>
        <v>146</v>
      </c>
      <c r="H24" s="93">
        <f>H22-H23</f>
        <v>520</v>
      </c>
      <c r="I24" s="150">
        <f t="shared" si="10"/>
        <v>184</v>
      </c>
      <c r="J24" s="150">
        <f t="shared" si="10"/>
        <v>119</v>
      </c>
      <c r="K24" s="150">
        <f t="shared" si="10"/>
        <v>80</v>
      </c>
      <c r="L24" s="150">
        <f t="shared" si="10"/>
        <v>158</v>
      </c>
      <c r="M24" s="93">
        <f>M22-M23</f>
        <v>541</v>
      </c>
      <c r="N24" s="26">
        <f t="shared" si="10"/>
        <v>191</v>
      </c>
      <c r="O24" s="26">
        <f t="shared" si="10"/>
        <v>127</v>
      </c>
      <c r="P24" s="150">
        <f t="shared" si="10"/>
        <v>157</v>
      </c>
      <c r="Q24" s="26">
        <f t="shared" si="10"/>
        <v>176.04149538461539</v>
      </c>
      <c r="R24" s="93">
        <f t="shared" si="10"/>
        <v>651.04149538461525</v>
      </c>
      <c r="S24" s="26">
        <f t="shared" si="10"/>
        <v>202.94387359455209</v>
      </c>
      <c r="T24" s="26">
        <f t="shared" si="10"/>
        <v>136.17096272721801</v>
      </c>
      <c r="U24" s="26">
        <f t="shared" si="10"/>
        <v>159.79201168313742</v>
      </c>
      <c r="V24" s="26">
        <f t="shared" si="10"/>
        <v>161.61328355635413</v>
      </c>
      <c r="W24" s="27">
        <f t="shared" si="10"/>
        <v>660.52013156126225</v>
      </c>
      <c r="X24" s="26">
        <f t="shared" si="10"/>
        <v>158.66641907228578</v>
      </c>
      <c r="Y24" s="26">
        <f t="shared" si="10"/>
        <v>154.99627010772571</v>
      </c>
      <c r="Z24" s="26">
        <f t="shared" si="10"/>
        <v>158.27724977090762</v>
      </c>
      <c r="AA24" s="26">
        <f t="shared" si="10"/>
        <v>165.27975013207811</v>
      </c>
      <c r="AB24" s="27">
        <f t="shared" si="10"/>
        <v>637.21968908299698</v>
      </c>
      <c r="AC24" s="26">
        <f t="shared" si="10"/>
        <v>162.06342045268588</v>
      </c>
      <c r="AD24" s="26">
        <f t="shared" si="10"/>
        <v>158.12722227047072</v>
      </c>
      <c r="AE24" s="26">
        <f t="shared" si="10"/>
        <v>161.56001659475072</v>
      </c>
      <c r="AF24" s="26">
        <f t="shared" si="10"/>
        <v>167.6592859401942</v>
      </c>
      <c r="AG24" s="27">
        <f t="shared" si="10"/>
        <v>649.40994525810106</v>
      </c>
      <c r="AH24" s="26">
        <f t="shared" si="10"/>
        <v>164.27397868866126</v>
      </c>
      <c r="AI24" s="26">
        <f t="shared" si="10"/>
        <v>160.05879350853857</v>
      </c>
      <c r="AJ24" s="26">
        <f t="shared" si="10"/>
        <v>163.65925969769648</v>
      </c>
      <c r="AK24" s="26">
        <f t="shared" si="10"/>
        <v>171.61041339755121</v>
      </c>
      <c r="AL24" s="27">
        <f t="shared" si="10"/>
        <v>659.60244529244801</v>
      </c>
    </row>
    <row r="25" spans="2:38" x14ac:dyDescent="0.3">
      <c r="B25" s="282" t="s">
        <v>1</v>
      </c>
      <c r="C25" s="283"/>
      <c r="D25" s="151">
        <v>145.5</v>
      </c>
      <c r="E25" s="151">
        <v>144.5</v>
      </c>
      <c r="F25" s="151">
        <v>143.6</v>
      </c>
      <c r="G25" s="151">
        <v>144.30000000000001</v>
      </c>
      <c r="H25" s="180">
        <f>((D25*D24/H24)+(E25*E24/H24)+(F25*F24/H24)+(G25*G24/H24))</f>
        <v>144.54769230769233</v>
      </c>
      <c r="I25" s="151">
        <v>140.1</v>
      </c>
      <c r="J25" s="151">
        <v>139.6</v>
      </c>
      <c r="K25" s="151">
        <v>139.30000000000001</v>
      </c>
      <c r="L25" s="151">
        <v>138.9</v>
      </c>
      <c r="M25" s="180">
        <f>((I25*I24/M24)+(J25*J24/M24)+(K25*K24/M24)+(L25*L24/M24))</f>
        <v>139.52125693160812</v>
      </c>
      <c r="N25" s="151">
        <v>136.5</v>
      </c>
      <c r="O25" s="151">
        <v>134.4</v>
      </c>
      <c r="P25" s="151">
        <v>134</v>
      </c>
      <c r="Q25" s="151">
        <f>P25*(1+Q95)-Q99</f>
        <v>133.36476923076921</v>
      </c>
      <c r="R25" s="152">
        <f>AVERAGE(N25:Q25)</f>
        <v>134.56619230769229</v>
      </c>
      <c r="S25" s="151">
        <f>Q25*(1+S95)-S99</f>
        <v>132.72890323076919</v>
      </c>
      <c r="T25" s="151">
        <f>S25*(1+T95)-T99</f>
        <v>132.09240136476916</v>
      </c>
      <c r="U25" s="151">
        <f>T25*(1+U95)-U99</f>
        <v>131.45526299690314</v>
      </c>
      <c r="V25" s="151">
        <f>U25*(1+V95)-V99</f>
        <v>130.81748749066927</v>
      </c>
      <c r="W25" s="152">
        <f>AVERAGE(S25:V25)</f>
        <v>131.77351377077767</v>
      </c>
      <c r="X25" s="151">
        <f>V25*(1+X95)-X99</f>
        <v>130.17907420892914</v>
      </c>
      <c r="Y25" s="151">
        <f>X25*(1+Y95)-Y99</f>
        <v>129.54002251390727</v>
      </c>
      <c r="Z25" s="151">
        <f>Y25*(1+Z95)-Z99</f>
        <v>128.90033176719038</v>
      </c>
      <c r="AA25" s="151">
        <f>Z25*(1+AA95)-AA99</f>
        <v>128.26000132972678</v>
      </c>
      <c r="AB25" s="152">
        <f>AVERAGE(X25:AA25)</f>
        <v>129.21985745493839</v>
      </c>
      <c r="AC25" s="151">
        <f>AA25*(1+AC95)-AC99</f>
        <v>127.61903056182572</v>
      </c>
      <c r="AD25" s="151">
        <f>AC25*(1+AD95)-AD99</f>
        <v>126.97741882315677</v>
      </c>
      <c r="AE25" s="151">
        <f>AD25*(1+AE95)-AE99</f>
        <v>126.33516547274914</v>
      </c>
      <c r="AF25" s="151">
        <f>AE25*(1+AF95)-AF99</f>
        <v>125.6922698689911</v>
      </c>
      <c r="AG25" s="152">
        <f>AVERAGE(AC25:AF25)</f>
        <v>126.65597118168068</v>
      </c>
      <c r="AH25" s="151">
        <f>AF25*(1+AH95)-AH99</f>
        <v>125.04873136962931</v>
      </c>
      <c r="AI25" s="151">
        <f>AH25*(1+AI95)-AI99</f>
        <v>124.40454933176815</v>
      </c>
      <c r="AJ25" s="151">
        <f>AI25*(1+AJ95)-AJ99</f>
        <v>123.75972311186914</v>
      </c>
      <c r="AK25" s="151">
        <f>AJ25*(1+AK95)-AK99</f>
        <v>123.11425206575022</v>
      </c>
      <c r="AL25" s="152">
        <f>AVERAGE(AH25:AK25)</f>
        <v>124.08181396975421</v>
      </c>
    </row>
    <row r="26" spans="2:38" ht="15.75" customHeight="1" x14ac:dyDescent="0.3">
      <c r="B26" s="282" t="s">
        <v>2</v>
      </c>
      <c r="C26" s="283"/>
      <c r="D26" s="151">
        <v>147.6</v>
      </c>
      <c r="E26" s="151">
        <v>146.4</v>
      </c>
      <c r="F26" s="151">
        <v>145.69999999999999</v>
      </c>
      <c r="G26" s="151">
        <v>144.30000000000001</v>
      </c>
      <c r="H26" s="180">
        <f>((D26*D24/H24)+(E26*E24/H24)+(F26*F24/H24)+(G26*G24/H24))</f>
        <v>146.02269230769232</v>
      </c>
      <c r="I26" s="151">
        <v>142.1</v>
      </c>
      <c r="J26" s="151">
        <v>141.30000000000001</v>
      </c>
      <c r="K26" s="151">
        <v>140.9</v>
      </c>
      <c r="L26" s="151">
        <v>138.9</v>
      </c>
      <c r="M26" s="180">
        <f>((I26*I24/M24)+(J26*J24/M24)+(K26*K24/M24)+(L26*L24/M24))</f>
        <v>140.81201478743068</v>
      </c>
      <c r="N26" s="151">
        <v>137.80000000000001</v>
      </c>
      <c r="O26" s="151">
        <v>135.5</v>
      </c>
      <c r="P26" s="151">
        <v>134</v>
      </c>
      <c r="Q26" s="151">
        <f>P26*(1+Q96)-Q99</f>
        <v>133.36476923076921</v>
      </c>
      <c r="R26" s="152">
        <f>AVERAGE(N26:Q26)</f>
        <v>135.16619230769231</v>
      </c>
      <c r="S26" s="151">
        <f>Q26*(1+S96)-S99</f>
        <v>132.72890323076919</v>
      </c>
      <c r="T26" s="151">
        <f>S26*(1+T96)-T99</f>
        <v>132.09240136476916</v>
      </c>
      <c r="U26" s="151">
        <f>T26*(1+U96)-U99</f>
        <v>131.45526299690314</v>
      </c>
      <c r="V26" s="151">
        <f>U26*(1+V96)-V99</f>
        <v>130.81748749066927</v>
      </c>
      <c r="W26" s="152">
        <f>AVERAGE(S26:V26)</f>
        <v>131.77351377077767</v>
      </c>
      <c r="X26" s="151">
        <f>V26*(1+X96)-X99</f>
        <v>130.17907420892914</v>
      </c>
      <c r="Y26" s="151">
        <f>X26*(1+Y96)-Y99</f>
        <v>129.54002251390727</v>
      </c>
      <c r="Z26" s="151">
        <f>Y26*(1+Z96)-Z99</f>
        <v>128.90033176719038</v>
      </c>
      <c r="AA26" s="151">
        <f>Z26*(1+AA96)-AA99</f>
        <v>128.26000132972678</v>
      </c>
      <c r="AB26" s="152">
        <f>AVERAGE(X26:AA26)</f>
        <v>129.21985745493839</v>
      </c>
      <c r="AC26" s="151">
        <f>AA26*(1+AC96)-AC99</f>
        <v>127.61903056182572</v>
      </c>
      <c r="AD26" s="151">
        <f>AC26*(1+AD96)-AD99</f>
        <v>126.97741882315677</v>
      </c>
      <c r="AE26" s="151">
        <f>AD26*(1+AE96)-AE99</f>
        <v>126.33516547274914</v>
      </c>
      <c r="AF26" s="151">
        <f>AE26*(1+AF96)-AF99</f>
        <v>125.6922698689911</v>
      </c>
      <c r="AG26" s="152">
        <f>AVERAGE(AC26:AF26)</f>
        <v>126.65597118168068</v>
      </c>
      <c r="AH26" s="151">
        <f>AF26*(1+AH96)-AH99</f>
        <v>125.04873136962931</v>
      </c>
      <c r="AI26" s="151">
        <f>AH26*(1+AI96)-AI99</f>
        <v>124.40454933176815</v>
      </c>
      <c r="AJ26" s="151">
        <f>AI26*(1+AJ96)-AJ99</f>
        <v>123.75972311186914</v>
      </c>
      <c r="AK26" s="151">
        <f>AJ26*(1+AK96)-AK99</f>
        <v>123.11425206575022</v>
      </c>
      <c r="AL26" s="152">
        <f>AVERAGE(AH26:AK26)</f>
        <v>124.08181396975421</v>
      </c>
    </row>
    <row r="27" spans="2:38" ht="15.75" customHeight="1" x14ac:dyDescent="0.3">
      <c r="B27" s="276" t="s">
        <v>91</v>
      </c>
      <c r="C27" s="277"/>
      <c r="D27" s="28">
        <f t="shared" ref="D27:P27" si="11">D24/D25</f>
        <v>1.1134020618556701</v>
      </c>
      <c r="E27" s="28">
        <f t="shared" si="11"/>
        <v>0.63667820069204151</v>
      </c>
      <c r="F27" s="28">
        <f t="shared" si="11"/>
        <v>0.83565459610027859</v>
      </c>
      <c r="G27" s="28">
        <f t="shared" si="11"/>
        <v>1.0117810117810118</v>
      </c>
      <c r="H27" s="29">
        <f>H24/H25</f>
        <v>3.5974285835923192</v>
      </c>
      <c r="I27" s="28">
        <f t="shared" si="11"/>
        <v>1.3133476088508209</v>
      </c>
      <c r="J27" s="28">
        <f t="shared" si="11"/>
        <v>0.85243553008595996</v>
      </c>
      <c r="K27" s="28">
        <f t="shared" si="11"/>
        <v>0.57430007178750897</v>
      </c>
      <c r="L27" s="28">
        <f t="shared" si="11"/>
        <v>1.1375089992800576</v>
      </c>
      <c r="M27" s="29">
        <f>M24/M25</f>
        <v>3.8775453425365325</v>
      </c>
      <c r="N27" s="28">
        <f t="shared" si="11"/>
        <v>1.3992673992673992</v>
      </c>
      <c r="O27" s="28">
        <f t="shared" si="11"/>
        <v>0.94494047619047616</v>
      </c>
      <c r="P27" s="28">
        <f t="shared" si="11"/>
        <v>1.1716417910447761</v>
      </c>
      <c r="Q27" s="28"/>
      <c r="R27" s="29"/>
      <c r="S27" s="28"/>
      <c r="T27" s="28"/>
      <c r="U27" s="28"/>
      <c r="V27" s="28"/>
      <c r="W27" s="29"/>
      <c r="X27" s="28"/>
      <c r="Y27" s="28"/>
      <c r="Z27" s="28"/>
      <c r="AA27" s="28"/>
      <c r="AB27" s="29"/>
      <c r="AC27" s="28"/>
      <c r="AD27" s="28"/>
      <c r="AE27" s="28"/>
      <c r="AF27" s="28"/>
      <c r="AG27" s="29"/>
      <c r="AH27" s="28"/>
      <c r="AI27" s="28"/>
      <c r="AJ27" s="28"/>
      <c r="AK27" s="28"/>
      <c r="AL27" s="29"/>
    </row>
    <row r="28" spans="2:38" x14ac:dyDescent="0.3">
      <c r="B28" s="276" t="s">
        <v>92</v>
      </c>
      <c r="C28" s="277"/>
      <c r="D28" s="28">
        <f t="shared" ref="D28:AL28" si="12">D24/D26</f>
        <v>1.0975609756097562</v>
      </c>
      <c r="E28" s="28">
        <f t="shared" si="12"/>
        <v>0.62841530054644801</v>
      </c>
      <c r="F28" s="28">
        <f t="shared" si="12"/>
        <v>0.82361015785861369</v>
      </c>
      <c r="G28" s="28">
        <f t="shared" si="12"/>
        <v>1.0117810117810118</v>
      </c>
      <c r="H28" s="29">
        <f>H24/H26</f>
        <v>3.5610903468638959</v>
      </c>
      <c r="I28" s="28">
        <f t="shared" si="12"/>
        <v>1.294862772695285</v>
      </c>
      <c r="J28" s="28">
        <f t="shared" si="12"/>
        <v>0.84217975937721157</v>
      </c>
      <c r="K28" s="28">
        <f t="shared" si="12"/>
        <v>0.56777856635911994</v>
      </c>
      <c r="L28" s="28">
        <f t="shared" si="12"/>
        <v>1.1375089992800576</v>
      </c>
      <c r="M28" s="29">
        <f t="shared" si="12"/>
        <v>3.8420016986241667</v>
      </c>
      <c r="N28" s="28">
        <f t="shared" si="12"/>
        <v>1.3860667634252539</v>
      </c>
      <c r="O28" s="28">
        <f t="shared" si="12"/>
        <v>0.9372693726937269</v>
      </c>
      <c r="P28" s="28">
        <f t="shared" si="12"/>
        <v>1.1716417910447761</v>
      </c>
      <c r="Q28" s="206">
        <f t="shared" si="12"/>
        <v>1.3200000000000003</v>
      </c>
      <c r="R28" s="29">
        <f t="shared" si="12"/>
        <v>4.8166000999908647</v>
      </c>
      <c r="S28" s="206">
        <f t="shared" si="12"/>
        <v>1.5290104013117896</v>
      </c>
      <c r="T28" s="206">
        <f t="shared" si="12"/>
        <v>1.0308765782157752</v>
      </c>
      <c r="U28" s="206">
        <f t="shared" si="12"/>
        <v>1.2155619184825017</v>
      </c>
      <c r="V28" s="28">
        <f t="shared" si="12"/>
        <v>1.2354103924208253</v>
      </c>
      <c r="W28" s="29">
        <f t="shared" si="12"/>
        <v>5.0125409322411221</v>
      </c>
      <c r="X28" s="28">
        <f t="shared" si="12"/>
        <v>1.2188319823018272</v>
      </c>
      <c r="Y28" s="28">
        <f t="shared" si="12"/>
        <v>1.1965126074536963</v>
      </c>
      <c r="Z28" s="28">
        <f t="shared" si="12"/>
        <v>1.2279041302762161</v>
      </c>
      <c r="AA28" s="28">
        <f t="shared" si="12"/>
        <v>1.2886305038090724</v>
      </c>
      <c r="AB28" s="29">
        <f t="shared" si="12"/>
        <v>4.9312830213050542</v>
      </c>
      <c r="AC28" s="28">
        <f t="shared" si="12"/>
        <v>1.2699001061144513</v>
      </c>
      <c r="AD28" s="28">
        <f t="shared" si="12"/>
        <v>1.2453176614866988</v>
      </c>
      <c r="AE28" s="28">
        <f t="shared" si="12"/>
        <v>1.2788206354912297</v>
      </c>
      <c r="AF28" s="28">
        <f t="shared" si="12"/>
        <v>1.3338870092404669</v>
      </c>
      <c r="AG28" s="29">
        <f t="shared" si="12"/>
        <v>5.1273535641407699</v>
      </c>
      <c r="AH28" s="28">
        <f t="shared" si="12"/>
        <v>1.3136796902248191</v>
      </c>
      <c r="AI28" s="28">
        <f t="shared" si="12"/>
        <v>1.286599198890114</v>
      </c>
      <c r="AJ28" s="28">
        <f t="shared" si="12"/>
        <v>1.3223951668812419</v>
      </c>
      <c r="AK28" s="28">
        <f t="shared" si="12"/>
        <v>1.3939118381347206</v>
      </c>
      <c r="AL28" s="29">
        <f t="shared" si="12"/>
        <v>5.315867202370451</v>
      </c>
    </row>
    <row r="29" spans="2:38" x14ac:dyDescent="0.3">
      <c r="B29" s="278" t="s">
        <v>72</v>
      </c>
      <c r="C29" s="279"/>
      <c r="D29" s="191">
        <v>0.22</v>
      </c>
      <c r="E29" s="78">
        <v>0.22</v>
      </c>
      <c r="F29" s="78">
        <v>0.22</v>
      </c>
      <c r="G29" s="78">
        <v>0.22</v>
      </c>
      <c r="H29" s="88">
        <f>SUM(D29:G29)</f>
        <v>0.88</v>
      </c>
      <c r="I29" s="78">
        <v>0.25</v>
      </c>
      <c r="J29" s="78">
        <v>0.25</v>
      </c>
      <c r="K29" s="78">
        <v>0.25</v>
      </c>
      <c r="L29" s="78">
        <v>0.25</v>
      </c>
      <c r="M29" s="88">
        <f>SUM(I29:L29)</f>
        <v>1</v>
      </c>
      <c r="N29" s="78">
        <v>0.28000000000000003</v>
      </c>
      <c r="O29" s="78">
        <v>0.28000000000000003</v>
      </c>
      <c r="P29" s="78">
        <f>O29</f>
        <v>0.28000000000000003</v>
      </c>
      <c r="Q29" s="140">
        <f>P29</f>
        <v>0.28000000000000003</v>
      </c>
      <c r="R29" s="88">
        <f>SUM(N29:Q29)</f>
        <v>1.1200000000000001</v>
      </c>
      <c r="S29" s="140">
        <f>Q29</f>
        <v>0.28000000000000003</v>
      </c>
      <c r="T29" s="140">
        <f>S29</f>
        <v>0.28000000000000003</v>
      </c>
      <c r="U29" s="140">
        <f>T29</f>
        <v>0.28000000000000003</v>
      </c>
      <c r="V29" s="140">
        <f>U29</f>
        <v>0.28000000000000003</v>
      </c>
      <c r="W29" s="88">
        <f>SUM(S29:V29)</f>
        <v>1.1200000000000001</v>
      </c>
      <c r="X29" s="140">
        <f>V29</f>
        <v>0.28000000000000003</v>
      </c>
      <c r="Y29" s="140">
        <f>X29</f>
        <v>0.28000000000000003</v>
      </c>
      <c r="Z29" s="140">
        <f>Y29</f>
        <v>0.28000000000000003</v>
      </c>
      <c r="AA29" s="140">
        <f>Z29</f>
        <v>0.28000000000000003</v>
      </c>
      <c r="AB29" s="88">
        <f>SUM(X29:AA29)</f>
        <v>1.1200000000000001</v>
      </c>
      <c r="AC29" s="140">
        <f>AA29</f>
        <v>0.28000000000000003</v>
      </c>
      <c r="AD29" s="140">
        <f>AC29</f>
        <v>0.28000000000000003</v>
      </c>
      <c r="AE29" s="140">
        <f>AD29</f>
        <v>0.28000000000000003</v>
      </c>
      <c r="AF29" s="140">
        <f>AE29</f>
        <v>0.28000000000000003</v>
      </c>
      <c r="AG29" s="88">
        <f>SUM(AC29:AF29)</f>
        <v>1.1200000000000001</v>
      </c>
      <c r="AH29" s="140">
        <f>AF29</f>
        <v>0.28000000000000003</v>
      </c>
      <c r="AI29" s="140">
        <f>AH29</f>
        <v>0.28000000000000003</v>
      </c>
      <c r="AJ29" s="140">
        <f>AI29</f>
        <v>0.28000000000000003</v>
      </c>
      <c r="AK29" s="140">
        <f>AJ29</f>
        <v>0.28000000000000003</v>
      </c>
      <c r="AL29" s="88">
        <f>SUM(AH29:AK29)</f>
        <v>1.1200000000000001</v>
      </c>
    </row>
    <row r="30" spans="2:38" x14ac:dyDescent="0.3">
      <c r="B30" s="82"/>
      <c r="C30" s="84"/>
      <c r="D30" s="188">
        <f>ROUND((D12-(D81+D85)),0)</f>
        <v>0</v>
      </c>
      <c r="E30" s="188">
        <f>ROUND((E12-(E81+E85)),0)</f>
        <v>0</v>
      </c>
      <c r="F30" s="188">
        <f>ROUND((F12-(F81+F85)),0)</f>
        <v>0</v>
      </c>
      <c r="G30" s="188">
        <f>ROUND((G12-(G81+G85)),0)</f>
        <v>0</v>
      </c>
      <c r="H30" s="188"/>
      <c r="I30" s="188">
        <f>ROUND((I12-(I81+I85)),0)</f>
        <v>0</v>
      </c>
      <c r="J30" s="188">
        <f>ROUND((J12-(J81+J85)),0)</f>
        <v>0</v>
      </c>
      <c r="K30" s="188">
        <f>ROUND((K12-(K81+K85)),0)</f>
        <v>0</v>
      </c>
      <c r="L30" s="188">
        <f>ROUND((L12-(L81+L85)),0)</f>
        <v>0</v>
      </c>
      <c r="M30" s="188"/>
      <c r="N30" s="188">
        <f>ROUND((N12-(N81+N85)),0)</f>
        <v>0</v>
      </c>
      <c r="O30" s="188">
        <f>ROUND((O12-(O81+O85)),0)</f>
        <v>0</v>
      </c>
      <c r="P30" s="188">
        <f>ROUND((P12-(P81+P85)),0)</f>
        <v>0</v>
      </c>
      <c r="Q30" s="188">
        <f>ROUND((Q12-(Q81+Q85)),0)</f>
        <v>0</v>
      </c>
      <c r="R30" s="188"/>
      <c r="S30" s="188">
        <f>ROUND((S12-(S81+S85)),0)</f>
        <v>0</v>
      </c>
      <c r="T30" s="188">
        <f>ROUND((T12-(T81+T85)),0)</f>
        <v>0</v>
      </c>
      <c r="U30" s="188">
        <f>ROUND((U12-(U81+U85)),0)</f>
        <v>0</v>
      </c>
      <c r="V30" s="188">
        <f>ROUND((V12-(V81+V85)),0)</f>
        <v>0</v>
      </c>
      <c r="W30" s="188"/>
      <c r="X30" s="188">
        <f>ROUND((X12-(X81+X85)),0)</f>
        <v>0</v>
      </c>
      <c r="Y30" s="188">
        <f>ROUND((Y12-(Y81+Y85)),0)</f>
        <v>0</v>
      </c>
      <c r="Z30" s="188">
        <f>ROUND((Z12-(Z81+Z85)),0)</f>
        <v>0</v>
      </c>
      <c r="AA30" s="188">
        <f>ROUND((AA12-(AA81+AA85)),0)</f>
        <v>0</v>
      </c>
      <c r="AB30" s="188"/>
      <c r="AC30" s="188">
        <f>ROUND((AC12-(AC81+AC85)),0)</f>
        <v>0</v>
      </c>
      <c r="AD30" s="188">
        <f>ROUND((AD12-(AD81+AD85)),0)</f>
        <v>0</v>
      </c>
      <c r="AE30" s="188">
        <f>ROUND((AE12-(AE81+AE85)),0)</f>
        <v>0</v>
      </c>
      <c r="AF30" s="188">
        <f>ROUND((AF12-(AF81+AF85)),0)</f>
        <v>0</v>
      </c>
      <c r="AG30" s="188"/>
      <c r="AH30" s="188">
        <f>ROUND((AH12-(AH81+AH85)),0)</f>
        <v>0</v>
      </c>
      <c r="AI30" s="188">
        <f>ROUND((AI12-(AI81+AI85)),0)</f>
        <v>0</v>
      </c>
      <c r="AJ30" s="188">
        <f>ROUND((AJ12-(AJ81+AJ85)),0)</f>
        <v>0</v>
      </c>
      <c r="AK30" s="188">
        <f>ROUND((AK12-(AK81+AK85)),0)</f>
        <v>0</v>
      </c>
      <c r="AL30" s="188"/>
    </row>
    <row r="31" spans="2:38" ht="15.6" x14ac:dyDescent="0.3">
      <c r="B31" s="272" t="s">
        <v>79</v>
      </c>
      <c r="C31" s="273"/>
      <c r="D31" s="157" t="s">
        <v>150</v>
      </c>
      <c r="E31" s="157" t="s">
        <v>151</v>
      </c>
      <c r="F31" s="157" t="s">
        <v>147</v>
      </c>
      <c r="G31" s="157" t="s">
        <v>146</v>
      </c>
      <c r="H31" s="157" t="s">
        <v>146</v>
      </c>
      <c r="I31" s="157" t="s">
        <v>148</v>
      </c>
      <c r="J31" s="157" t="s">
        <v>149</v>
      </c>
      <c r="K31" s="157" t="s">
        <v>145</v>
      </c>
      <c r="L31" s="157" t="s">
        <v>143</v>
      </c>
      <c r="M31" s="157" t="s">
        <v>143</v>
      </c>
      <c r="N31" s="157" t="s">
        <v>152</v>
      </c>
      <c r="O31" s="157" t="s">
        <v>153</v>
      </c>
      <c r="P31" s="157" t="s">
        <v>203</v>
      </c>
      <c r="Q31" s="119" t="s">
        <v>157</v>
      </c>
      <c r="R31" s="119" t="s">
        <v>157</v>
      </c>
      <c r="S31" s="119" t="s">
        <v>207</v>
      </c>
      <c r="T31" s="119" t="s">
        <v>208</v>
      </c>
      <c r="U31" s="119" t="s">
        <v>156</v>
      </c>
      <c r="V31" s="119" t="s">
        <v>158</v>
      </c>
      <c r="W31" s="119" t="s">
        <v>158</v>
      </c>
      <c r="X31" s="119" t="s">
        <v>209</v>
      </c>
      <c r="Y31" s="119" t="s">
        <v>210</v>
      </c>
      <c r="Z31" s="119" t="s">
        <v>212</v>
      </c>
      <c r="AA31" s="119" t="s">
        <v>159</v>
      </c>
      <c r="AB31" s="119" t="s">
        <v>159</v>
      </c>
      <c r="AC31" s="119" t="s">
        <v>213</v>
      </c>
      <c r="AD31" s="119" t="s">
        <v>214</v>
      </c>
      <c r="AE31" s="119" t="s">
        <v>211</v>
      </c>
      <c r="AF31" s="119" t="s">
        <v>160</v>
      </c>
      <c r="AG31" s="119" t="s">
        <v>160</v>
      </c>
      <c r="AH31" s="119" t="s">
        <v>215</v>
      </c>
      <c r="AI31" s="119" t="s">
        <v>216</v>
      </c>
      <c r="AJ31" s="119" t="s">
        <v>217</v>
      </c>
      <c r="AK31" s="119" t="s">
        <v>161</v>
      </c>
      <c r="AL31" s="120" t="s">
        <v>161</v>
      </c>
    </row>
    <row r="32" spans="2:38" ht="16.2" x14ac:dyDescent="0.45">
      <c r="B32" s="274"/>
      <c r="C32" s="275"/>
      <c r="D32" s="158" t="s">
        <v>90</v>
      </c>
      <c r="E32" s="158" t="s">
        <v>96</v>
      </c>
      <c r="F32" s="158" t="s">
        <v>97</v>
      </c>
      <c r="G32" s="158" t="s">
        <v>100</v>
      </c>
      <c r="H32" s="158" t="s">
        <v>101</v>
      </c>
      <c r="I32" s="158" t="s">
        <v>124</v>
      </c>
      <c r="J32" s="158" t="s">
        <v>132</v>
      </c>
      <c r="K32" s="158" t="s">
        <v>135</v>
      </c>
      <c r="L32" s="158" t="s">
        <v>144</v>
      </c>
      <c r="M32" s="158" t="s">
        <v>142</v>
      </c>
      <c r="N32" s="158" t="s">
        <v>154</v>
      </c>
      <c r="O32" s="158" t="s">
        <v>155</v>
      </c>
      <c r="P32" s="158" t="s">
        <v>269</v>
      </c>
      <c r="Q32" s="121" t="s">
        <v>40</v>
      </c>
      <c r="R32" s="121" t="s">
        <v>41</v>
      </c>
      <c r="S32" s="121" t="s">
        <v>42</v>
      </c>
      <c r="T32" s="121" t="s">
        <v>43</v>
      </c>
      <c r="U32" s="121" t="s">
        <v>44</v>
      </c>
      <c r="V32" s="121" t="s">
        <v>45</v>
      </c>
      <c r="W32" s="121" t="s">
        <v>46</v>
      </c>
      <c r="X32" s="121" t="s">
        <v>47</v>
      </c>
      <c r="Y32" s="121" t="s">
        <v>48</v>
      </c>
      <c r="Z32" s="121" t="s">
        <v>49</v>
      </c>
      <c r="AA32" s="121" t="s">
        <v>50</v>
      </c>
      <c r="AB32" s="121" t="s">
        <v>51</v>
      </c>
      <c r="AC32" s="121" t="s">
        <v>102</v>
      </c>
      <c r="AD32" s="121" t="s">
        <v>103</v>
      </c>
      <c r="AE32" s="121" t="s">
        <v>104</v>
      </c>
      <c r="AF32" s="121" t="s">
        <v>105</v>
      </c>
      <c r="AG32" s="121" t="s">
        <v>106</v>
      </c>
      <c r="AH32" s="121" t="s">
        <v>136</v>
      </c>
      <c r="AI32" s="121" t="s">
        <v>137</v>
      </c>
      <c r="AJ32" s="121" t="s">
        <v>138</v>
      </c>
      <c r="AK32" s="121" t="s">
        <v>139</v>
      </c>
      <c r="AL32" s="122" t="s">
        <v>140</v>
      </c>
    </row>
    <row r="33" spans="2:38" ht="16.2" x14ac:dyDescent="0.45">
      <c r="B33" s="280" t="s">
        <v>247</v>
      </c>
      <c r="C33" s="281"/>
      <c r="D33" s="125"/>
      <c r="E33" s="126"/>
      <c r="F33" s="125"/>
      <c r="G33" s="125"/>
      <c r="H33" s="30"/>
      <c r="I33" s="125"/>
      <c r="J33" s="125"/>
      <c r="K33" s="125"/>
      <c r="L33" s="125"/>
      <c r="M33" s="30"/>
      <c r="N33" s="126"/>
      <c r="O33" s="126"/>
      <c r="P33" s="125"/>
      <c r="Q33" s="125"/>
      <c r="R33" s="30"/>
      <c r="S33" s="125"/>
      <c r="T33" s="125"/>
      <c r="U33" s="125"/>
      <c r="V33" s="125"/>
      <c r="W33" s="30"/>
      <c r="X33" s="125"/>
      <c r="Y33" s="125"/>
      <c r="Z33" s="125"/>
      <c r="AA33" s="125"/>
      <c r="AB33" s="30"/>
      <c r="AC33" s="125"/>
      <c r="AD33" s="125"/>
      <c r="AE33" s="125"/>
      <c r="AF33" s="125"/>
      <c r="AG33" s="30"/>
      <c r="AH33" s="125"/>
      <c r="AI33" s="125"/>
      <c r="AJ33" s="125"/>
      <c r="AK33" s="125"/>
      <c r="AL33" s="30"/>
    </row>
    <row r="34" spans="2:38" ht="16.2" hidden="1" outlineLevel="1" x14ac:dyDescent="0.45">
      <c r="B34" s="249" t="s">
        <v>223</v>
      </c>
      <c r="C34" s="252"/>
      <c r="D34" s="125"/>
      <c r="E34" s="105">
        <f>E35-D35</f>
        <v>-5</v>
      </c>
      <c r="F34" s="105">
        <f t="shared" ref="F34:G34" si="13">F35-E35</f>
        <v>0</v>
      </c>
      <c r="G34" s="105">
        <f t="shared" si="13"/>
        <v>-21</v>
      </c>
      <c r="H34" s="30"/>
      <c r="I34" s="105">
        <f>I35-G35</f>
        <v>-9</v>
      </c>
      <c r="J34" s="105">
        <f>J35-I35</f>
        <v>-9</v>
      </c>
      <c r="K34" s="105">
        <f t="shared" ref="K34:L34" si="14">K35-J35</f>
        <v>0</v>
      </c>
      <c r="L34" s="105">
        <f t="shared" si="14"/>
        <v>-26</v>
      </c>
      <c r="M34" s="30"/>
      <c r="N34" s="105">
        <f>N35-L35</f>
        <v>0</v>
      </c>
      <c r="O34" s="105">
        <f>O35-N35</f>
        <v>-5</v>
      </c>
      <c r="P34" s="105">
        <f>P35-O35</f>
        <v>-4</v>
      </c>
      <c r="Q34" s="105">
        <f>Q35-P35</f>
        <v>5.385385975250415</v>
      </c>
      <c r="R34" s="243"/>
      <c r="S34" s="105">
        <f>S35-Q35</f>
        <v>5.1019446081320439</v>
      </c>
      <c r="T34" s="105">
        <f t="shared" ref="S34:V34" si="15">T35-S35</f>
        <v>3.4012964054212489</v>
      </c>
      <c r="U34" s="105">
        <f t="shared" si="15"/>
        <v>3.6847377725398474</v>
      </c>
      <c r="V34" s="105">
        <f t="shared" si="15"/>
        <v>3.4012964054213626</v>
      </c>
      <c r="W34" s="243"/>
      <c r="X34" s="105">
        <f>X35-V35</f>
        <v>3.6847377725397337</v>
      </c>
      <c r="Y34" s="105">
        <f t="shared" ref="Y34" si="16">Y35-X35</f>
        <v>2.834413671184393</v>
      </c>
      <c r="Z34" s="105">
        <f t="shared" ref="Z34" si="17">Z35-Y35</f>
        <v>3.6847377725398474</v>
      </c>
      <c r="AA34" s="105">
        <f t="shared" ref="AA34" si="18">AA35-Z35</f>
        <v>3.9681791396582184</v>
      </c>
      <c r="AB34" s="243"/>
      <c r="AC34" s="105">
        <f>AC35-AA35</f>
        <v>3.6847377725397337</v>
      </c>
      <c r="AD34" s="105">
        <f t="shared" ref="AD34" si="19">AD35-AC35</f>
        <v>2.8344136711845067</v>
      </c>
      <c r="AE34" s="105">
        <f t="shared" ref="AE34" si="20">AE35-AD35</f>
        <v>3.6847377725397337</v>
      </c>
      <c r="AF34" s="105">
        <f t="shared" ref="AF34" si="21">AF35-AE35</f>
        <v>3.9681791396582184</v>
      </c>
      <c r="AG34" s="243"/>
      <c r="AH34" s="105">
        <f>AH35-AF35</f>
        <v>3.6847377725397337</v>
      </c>
      <c r="AI34" s="105">
        <f t="shared" ref="AI34" si="22">AI35-AH35</f>
        <v>2.8344136711845067</v>
      </c>
      <c r="AJ34" s="105">
        <f t="shared" ref="AJ34" si="23">AJ35-AI35</f>
        <v>3.6847377725397337</v>
      </c>
      <c r="AK34" s="105">
        <f t="shared" ref="AK34" si="24">AK35-AJ35</f>
        <v>3.9681791396582184</v>
      </c>
      <c r="AL34" s="243"/>
    </row>
    <row r="35" spans="2:38" hidden="1" outlineLevel="1" x14ac:dyDescent="0.3">
      <c r="B35" s="282" t="s">
        <v>198</v>
      </c>
      <c r="C35" s="283"/>
      <c r="D35" s="37">
        <v>1041</v>
      </c>
      <c r="E35" s="105">
        <v>1036</v>
      </c>
      <c r="F35" s="105">
        <v>1036</v>
      </c>
      <c r="G35" s="105">
        <v>1015</v>
      </c>
      <c r="H35" s="74"/>
      <c r="I35" s="105">
        <v>1006</v>
      </c>
      <c r="J35" s="37">
        <v>997</v>
      </c>
      <c r="K35" s="37">
        <v>997</v>
      </c>
      <c r="L35" s="105">
        <v>971</v>
      </c>
      <c r="M35" s="233"/>
      <c r="N35" s="105">
        <v>971</v>
      </c>
      <c r="O35" s="105">
        <v>966</v>
      </c>
      <c r="P35" s="37">
        <v>962</v>
      </c>
      <c r="Q35" s="37">
        <f>P35/P80*Q80</f>
        <v>967.38538597525041</v>
      </c>
      <c r="R35" s="74"/>
      <c r="S35" s="37">
        <f>Q35/Q80*S80</f>
        <v>972.48733058338246</v>
      </c>
      <c r="T35" s="37">
        <f>S35/S80*T80</f>
        <v>975.88862698880371</v>
      </c>
      <c r="U35" s="37">
        <f t="shared" ref="S35:V35" si="25">T35/T80*U80</f>
        <v>979.57336476134356</v>
      </c>
      <c r="V35" s="37">
        <f t="shared" si="25"/>
        <v>982.97466116676492</v>
      </c>
      <c r="W35" s="74"/>
      <c r="X35" s="37">
        <f>V35/V80*X80</f>
        <v>986.65939893930465</v>
      </c>
      <c r="Y35" s="37">
        <f>X35/X80*Y80</f>
        <v>989.49381261048904</v>
      </c>
      <c r="Z35" s="37">
        <f t="shared" ref="Z35:AA35" si="26">Y35/Y80*Z80</f>
        <v>993.17855038302889</v>
      </c>
      <c r="AA35" s="37">
        <f t="shared" si="26"/>
        <v>997.14672952268711</v>
      </c>
      <c r="AB35" s="74"/>
      <c r="AC35" s="37">
        <f>AA35/AA80*AC80</f>
        <v>1000.8314672952268</v>
      </c>
      <c r="AD35" s="37">
        <f>AC35/AC80*AD80</f>
        <v>1003.6658809664114</v>
      </c>
      <c r="AE35" s="37">
        <f t="shared" ref="AE35:AF35" si="27">AD35/AD80*AE80</f>
        <v>1007.3506187389511</v>
      </c>
      <c r="AF35" s="37">
        <f t="shared" si="27"/>
        <v>1011.3187978786093</v>
      </c>
      <c r="AG35" s="74"/>
      <c r="AH35" s="37">
        <f>AF35/AF80*AH80</f>
        <v>1015.003535651149</v>
      </c>
      <c r="AI35" s="37">
        <f>AH35/AH80*AI80</f>
        <v>1017.8379493223335</v>
      </c>
      <c r="AJ35" s="37">
        <f t="shared" ref="AJ35:AK35" si="28">AI35/AI80*AJ80</f>
        <v>1021.5226870948733</v>
      </c>
      <c r="AK35" s="37">
        <f t="shared" si="28"/>
        <v>1025.4908662345315</v>
      </c>
      <c r="AL35" s="74"/>
    </row>
    <row r="36" spans="2:38" hidden="1" outlineLevel="1" x14ac:dyDescent="0.3">
      <c r="B36" s="282" t="s">
        <v>242</v>
      </c>
      <c r="C36" s="283"/>
      <c r="D36" s="37">
        <v>4315</v>
      </c>
      <c r="E36" s="105">
        <v>4335</v>
      </c>
      <c r="F36" s="105">
        <v>4371</v>
      </c>
      <c r="G36" s="105">
        <v>4298</v>
      </c>
      <c r="H36" s="74"/>
      <c r="I36" s="105">
        <v>4299</v>
      </c>
      <c r="J36" s="37">
        <v>4299</v>
      </c>
      <c r="K36" s="37">
        <v>4309</v>
      </c>
      <c r="L36" s="37">
        <v>4234</v>
      </c>
      <c r="M36" s="74"/>
      <c r="N36" s="105">
        <v>4251</v>
      </c>
      <c r="O36" s="105">
        <v>4265</v>
      </c>
      <c r="P36" s="37">
        <v>4286</v>
      </c>
      <c r="Q36" s="105">
        <f>P36/P82*Q82</f>
        <v>4309.9935179728936</v>
      </c>
      <c r="R36" s="74"/>
      <c r="S36" s="105">
        <f>Q36/Q82*S82</f>
        <v>4332.7242192103713</v>
      </c>
      <c r="T36" s="105">
        <f t="shared" ref="S36:V36" si="29">S36/S82*T82</f>
        <v>4347.8780200353567</v>
      </c>
      <c r="U36" s="105">
        <f t="shared" si="29"/>
        <v>4364.2946375957572</v>
      </c>
      <c r="V36" s="105">
        <f t="shared" si="29"/>
        <v>4379.4484384207435</v>
      </c>
      <c r="W36" s="74"/>
      <c r="X36" s="105">
        <f>V36/V82*X82</f>
        <v>4395.865055981144</v>
      </c>
      <c r="Y36" s="105">
        <f t="shared" ref="Y36:AA36" si="30">X36/X82*Y82</f>
        <v>4408.4932233352984</v>
      </c>
      <c r="Z36" s="105">
        <f t="shared" si="30"/>
        <v>4424.9098408956979</v>
      </c>
      <c r="AA36" s="105">
        <f t="shared" si="30"/>
        <v>4442.5892751915144</v>
      </c>
      <c r="AB36" s="74"/>
      <c r="AC36" s="105">
        <f>AA36/AA82*AC82</f>
        <v>4459.0058927519158</v>
      </c>
      <c r="AD36" s="105">
        <f t="shared" ref="AD36:AF36" si="31">AC36/AC82*AD82</f>
        <v>4471.6340601060701</v>
      </c>
      <c r="AE36" s="105">
        <f t="shared" si="31"/>
        <v>4488.0506776664706</v>
      </c>
      <c r="AF36" s="105">
        <f t="shared" si="31"/>
        <v>4505.7301119622871</v>
      </c>
      <c r="AG36" s="74"/>
      <c r="AH36" s="105">
        <f>AF36/AF82*AH82</f>
        <v>4522.1467295226876</v>
      </c>
      <c r="AI36" s="105">
        <f t="shared" ref="AI36:AK36" si="32">AH36/AH82*AI82</f>
        <v>4534.7748968768428</v>
      </c>
      <c r="AJ36" s="105">
        <f t="shared" si="32"/>
        <v>4551.1915144372442</v>
      </c>
      <c r="AK36" s="105">
        <f t="shared" si="32"/>
        <v>4568.8709487330598</v>
      </c>
      <c r="AL36" s="74"/>
    </row>
    <row r="37" spans="2:38" hidden="1" outlineLevel="1" x14ac:dyDescent="0.3">
      <c r="B37" s="234" t="s">
        <v>254</v>
      </c>
      <c r="C37" s="235"/>
      <c r="D37" s="160">
        <f>D36/D35</f>
        <v>4.145052833813641</v>
      </c>
      <c r="E37" s="161">
        <f t="shared" ref="E37:G37" si="33">E36/E35</f>
        <v>4.1843629343629347</v>
      </c>
      <c r="F37" s="161">
        <f t="shared" si="33"/>
        <v>4.2191119691119692</v>
      </c>
      <c r="G37" s="161">
        <f t="shared" si="33"/>
        <v>4.2344827586206897</v>
      </c>
      <c r="H37" s="162"/>
      <c r="I37" s="160">
        <f>I36/I35</f>
        <v>4.2733598409542743</v>
      </c>
      <c r="J37" s="161">
        <f t="shared" ref="J37" si="34">J36/J35</f>
        <v>4.3119358074222669</v>
      </c>
      <c r="K37" s="161">
        <f t="shared" ref="K37" si="35">K36/K35</f>
        <v>4.3219658976930795</v>
      </c>
      <c r="L37" s="161">
        <f t="shared" ref="L37" si="36">L36/L35</f>
        <v>4.360453141091658</v>
      </c>
      <c r="M37" s="162"/>
      <c r="N37" s="160">
        <f>N36/N35</f>
        <v>4.3779608650875383</v>
      </c>
      <c r="O37" s="161">
        <f t="shared" ref="O37:P37" si="37">O36/O35</f>
        <v>4.4151138716356106</v>
      </c>
      <c r="P37" s="161">
        <f t="shared" si="37"/>
        <v>4.4553014553014556</v>
      </c>
      <c r="Q37" s="161">
        <f t="shared" ref="Q37" si="38">Q36/Q35</f>
        <v>4.4553014553014556</v>
      </c>
      <c r="R37" s="162"/>
      <c r="S37" s="161">
        <f t="shared" ref="S37:V37" si="39">S36/S35</f>
        <v>4.4553014553014556</v>
      </c>
      <c r="T37" s="161">
        <f t="shared" si="39"/>
        <v>4.4553014553014556</v>
      </c>
      <c r="U37" s="161">
        <f t="shared" si="39"/>
        <v>4.4553014553014556</v>
      </c>
      <c r="V37" s="161">
        <f t="shared" si="39"/>
        <v>4.4553014553014565</v>
      </c>
      <c r="W37" s="162"/>
      <c r="X37" s="161">
        <f t="shared" ref="X37:AA37" si="40">X36/X35</f>
        <v>4.4553014553014565</v>
      </c>
      <c r="Y37" s="161">
        <f t="shared" si="40"/>
        <v>4.4553014553014565</v>
      </c>
      <c r="Z37" s="161">
        <f t="shared" si="40"/>
        <v>4.4553014553014547</v>
      </c>
      <c r="AA37" s="161">
        <f t="shared" si="40"/>
        <v>4.4553014553014556</v>
      </c>
      <c r="AB37" s="162"/>
      <c r="AC37" s="161">
        <f t="shared" ref="AC37:AF37" si="41">AC36/AC35</f>
        <v>4.4553014553014565</v>
      </c>
      <c r="AD37" s="161">
        <f t="shared" si="41"/>
        <v>4.4553014553014556</v>
      </c>
      <c r="AE37" s="161">
        <f t="shared" si="41"/>
        <v>4.4553014553014556</v>
      </c>
      <c r="AF37" s="161">
        <f t="shared" si="41"/>
        <v>4.4553014553014556</v>
      </c>
      <c r="AG37" s="162"/>
      <c r="AH37" s="161">
        <f t="shared" ref="AH37:AK37" si="42">AH36/AH35</f>
        <v>4.4553014553014556</v>
      </c>
      <c r="AI37" s="161">
        <f t="shared" si="42"/>
        <v>4.4553014553014565</v>
      </c>
      <c r="AJ37" s="161">
        <f t="shared" si="42"/>
        <v>4.4553014553014574</v>
      </c>
      <c r="AK37" s="161">
        <f t="shared" si="42"/>
        <v>4.4553014553014565</v>
      </c>
      <c r="AL37" s="162"/>
    </row>
    <row r="38" spans="2:38" ht="16.2" hidden="1" outlineLevel="1" x14ac:dyDescent="0.45">
      <c r="B38" s="249" t="s">
        <v>224</v>
      </c>
      <c r="C38" s="250"/>
      <c r="D38" s="37"/>
      <c r="E38" s="105">
        <f>E39-D39</f>
        <v>-1</v>
      </c>
      <c r="F38" s="105">
        <f t="shared" ref="F38" si="43">F39-E39</f>
        <v>-1</v>
      </c>
      <c r="G38" s="105">
        <f t="shared" ref="G38" si="44">G39-F39</f>
        <v>1</v>
      </c>
      <c r="H38" s="74"/>
      <c r="I38" s="105">
        <f>I39-G39</f>
        <v>-1</v>
      </c>
      <c r="J38" s="105">
        <f>J39-I39</f>
        <v>0</v>
      </c>
      <c r="K38" s="105">
        <f t="shared" ref="K38" si="45">K39-J39</f>
        <v>5</v>
      </c>
      <c r="L38" s="105">
        <f t="shared" ref="L38" si="46">L39-K39</f>
        <v>-1</v>
      </c>
      <c r="M38" s="233"/>
      <c r="N38" s="105">
        <f>N39-L39</f>
        <v>0</v>
      </c>
      <c r="O38" s="105">
        <f>O39-N39</f>
        <v>3</v>
      </c>
      <c r="P38" s="105">
        <f>P39-O39</f>
        <v>5</v>
      </c>
      <c r="Q38" s="105">
        <f>Q39-P39</f>
        <v>3.4372421921037812</v>
      </c>
      <c r="R38" s="243"/>
      <c r="S38" s="105">
        <f>S39-Q39</f>
        <v>3.2563347083088274</v>
      </c>
      <c r="T38" s="105">
        <f t="shared" ref="T38" si="47">T39-S39</f>
        <v>2.1708898055392183</v>
      </c>
      <c r="U38" s="105">
        <f t="shared" ref="U38" si="48">U39-T39</f>
        <v>2.3517972893340584</v>
      </c>
      <c r="V38" s="105">
        <f t="shared" ref="V38" si="49">V39-U39</f>
        <v>2.1708898055392183</v>
      </c>
      <c r="W38" s="74"/>
      <c r="X38" s="105">
        <f>X39-V39</f>
        <v>2.3517972893341721</v>
      </c>
      <c r="Y38" s="105">
        <f t="shared" ref="Y38" si="50">Y39-X39</f>
        <v>1.8090748379493107</v>
      </c>
      <c r="Z38" s="105">
        <f t="shared" ref="Z38" si="51">Z39-Y39</f>
        <v>2.3517972893340584</v>
      </c>
      <c r="AA38" s="105">
        <f t="shared" ref="AA38" si="52">AA39-Z39</f>
        <v>2.5327047731291259</v>
      </c>
      <c r="AB38" s="74"/>
      <c r="AC38" s="105">
        <f>AC39-AA39</f>
        <v>2.3517972893341721</v>
      </c>
      <c r="AD38" s="105">
        <f t="shared" ref="AD38" si="53">AD39-AC39</f>
        <v>1.8090748379493107</v>
      </c>
      <c r="AE38" s="105">
        <f t="shared" ref="AE38" si="54">AE39-AD39</f>
        <v>2.3517972893341721</v>
      </c>
      <c r="AF38" s="105">
        <f t="shared" ref="AF38" si="55">AF39-AE39</f>
        <v>2.5327047731291259</v>
      </c>
      <c r="AG38" s="74"/>
      <c r="AH38" s="105">
        <f>AH39-AF39</f>
        <v>2.3517972893340584</v>
      </c>
      <c r="AI38" s="105">
        <f t="shared" ref="AI38" si="56">AI39-AH39</f>
        <v>1.8090748379493107</v>
      </c>
      <c r="AJ38" s="105">
        <f t="shared" ref="AJ38" si="57">AJ39-AI39</f>
        <v>2.3517972893341721</v>
      </c>
      <c r="AK38" s="105">
        <f t="shared" ref="AK38" si="58">AK39-AJ39</f>
        <v>2.5327047731290122</v>
      </c>
      <c r="AL38" s="74"/>
    </row>
    <row r="39" spans="2:38" hidden="1" outlineLevel="1" x14ac:dyDescent="0.3">
      <c r="B39" s="282" t="s">
        <v>200</v>
      </c>
      <c r="C39" s="283"/>
      <c r="D39" s="37">
        <v>604</v>
      </c>
      <c r="E39" s="105">
        <v>603</v>
      </c>
      <c r="F39" s="105">
        <v>602</v>
      </c>
      <c r="G39" s="105">
        <v>603</v>
      </c>
      <c r="H39" s="74"/>
      <c r="I39" s="105">
        <v>602</v>
      </c>
      <c r="J39" s="37">
        <v>602</v>
      </c>
      <c r="K39" s="37">
        <v>607</v>
      </c>
      <c r="L39" s="105">
        <v>606</v>
      </c>
      <c r="M39" s="233"/>
      <c r="N39" s="105">
        <v>606</v>
      </c>
      <c r="O39" s="105">
        <v>609</v>
      </c>
      <c r="P39" s="37">
        <v>614</v>
      </c>
      <c r="Q39" s="37">
        <f>P39/P80*Q80</f>
        <v>617.43724219210378</v>
      </c>
      <c r="R39" s="74"/>
      <c r="S39" s="37">
        <f>Q39/Q80*S80</f>
        <v>620.69357690041261</v>
      </c>
      <c r="T39" s="37">
        <f t="shared" ref="S39:V39" si="59">S39/S80*T80</f>
        <v>622.86446670595183</v>
      </c>
      <c r="U39" s="37">
        <f t="shared" si="59"/>
        <v>625.21626399528589</v>
      </c>
      <c r="V39" s="37">
        <f t="shared" si="59"/>
        <v>627.3871538008251</v>
      </c>
      <c r="W39" s="74"/>
      <c r="X39" s="37">
        <f>V39/V80*X80</f>
        <v>629.73895109015928</v>
      </c>
      <c r="Y39" s="37">
        <f t="shared" ref="Y39:AA39" si="60">X39/X80*Y80</f>
        <v>631.54802592810859</v>
      </c>
      <c r="Z39" s="37">
        <f t="shared" si="60"/>
        <v>633.89982321744264</v>
      </c>
      <c r="AA39" s="37">
        <f t="shared" si="60"/>
        <v>636.43252799057177</v>
      </c>
      <c r="AB39" s="74"/>
      <c r="AC39" s="37">
        <f>AA39/AA80*AC80</f>
        <v>638.78432527990594</v>
      </c>
      <c r="AD39" s="37">
        <f t="shared" ref="AD39:AF39" si="61">AC39/AC80*AD80</f>
        <v>640.59340011785525</v>
      </c>
      <c r="AE39" s="37">
        <f t="shared" si="61"/>
        <v>642.94519740718943</v>
      </c>
      <c r="AF39" s="37">
        <f t="shared" si="61"/>
        <v>645.47790218031855</v>
      </c>
      <c r="AG39" s="74"/>
      <c r="AH39" s="37">
        <f>AF39/AF80*AH80</f>
        <v>647.82969946965261</v>
      </c>
      <c r="AI39" s="37">
        <f t="shared" ref="AI39:AK39" si="62">AH39/AH80*AI80</f>
        <v>649.63877430760192</v>
      </c>
      <c r="AJ39" s="37">
        <f t="shared" si="62"/>
        <v>651.99057159693609</v>
      </c>
      <c r="AK39" s="37">
        <f t="shared" si="62"/>
        <v>654.5232763700651</v>
      </c>
      <c r="AL39" s="74"/>
    </row>
    <row r="40" spans="2:38" hidden="1" outlineLevel="1" x14ac:dyDescent="0.3">
      <c r="B40" s="282" t="s">
        <v>248</v>
      </c>
      <c r="C40" s="283"/>
      <c r="D40" s="37">
        <v>1826</v>
      </c>
      <c r="E40" s="105">
        <v>1837</v>
      </c>
      <c r="F40" s="105">
        <v>1834</v>
      </c>
      <c r="G40" s="105">
        <v>1839</v>
      </c>
      <c r="H40" s="74"/>
      <c r="I40" s="105">
        <v>1844</v>
      </c>
      <c r="J40" s="37">
        <v>1856</v>
      </c>
      <c r="K40" s="37">
        <v>1882</v>
      </c>
      <c r="L40" s="105">
        <v>1884</v>
      </c>
      <c r="M40" s="233"/>
      <c r="N40" s="105">
        <v>1887</v>
      </c>
      <c r="O40" s="105">
        <v>1904</v>
      </c>
      <c r="P40" s="37">
        <v>1932</v>
      </c>
      <c r="Q40" s="105">
        <f>P40/P82*Q82</f>
        <v>1942.8155568650557</v>
      </c>
      <c r="R40" s="74"/>
      <c r="S40" s="105">
        <f>Q40/Q82*S82</f>
        <v>1953.0618738951091</v>
      </c>
      <c r="T40" s="105">
        <f t="shared" ref="S40:V40" si="63">S40/S82*T82</f>
        <v>1959.8927519151446</v>
      </c>
      <c r="U40" s="105">
        <f t="shared" si="63"/>
        <v>1967.292869770183</v>
      </c>
      <c r="V40" s="105">
        <f t="shared" si="63"/>
        <v>1974.1237477902184</v>
      </c>
      <c r="W40" s="74"/>
      <c r="X40" s="105">
        <f>V40/V82*X82</f>
        <v>1981.5238656452566</v>
      </c>
      <c r="Y40" s="105">
        <f t="shared" ref="Y40:AA40" si="64">X40/X82*Y82</f>
        <v>1987.2162639952858</v>
      </c>
      <c r="Z40" s="105">
        <f t="shared" si="64"/>
        <v>1994.6163818503239</v>
      </c>
      <c r="AA40" s="105">
        <f t="shared" si="64"/>
        <v>2002.5857395403652</v>
      </c>
      <c r="AB40" s="74"/>
      <c r="AC40" s="105">
        <f>AA40/AA82*AC82</f>
        <v>2009.9858573954034</v>
      </c>
      <c r="AD40" s="105">
        <f t="shared" ref="AD40:AF40" si="65">AC40/AC82*AD82</f>
        <v>2015.678255745433</v>
      </c>
      <c r="AE40" s="105">
        <f t="shared" si="65"/>
        <v>2023.0783736004714</v>
      </c>
      <c r="AF40" s="105">
        <f t="shared" si="65"/>
        <v>2031.0477312905127</v>
      </c>
      <c r="AG40" s="74"/>
      <c r="AH40" s="105">
        <f>AF40/AF82*AH82</f>
        <v>2038.4478491455507</v>
      </c>
      <c r="AI40" s="105">
        <f t="shared" ref="AI40:AK40" si="66">AH40/AH82*AI82</f>
        <v>2044.1402474955803</v>
      </c>
      <c r="AJ40" s="105">
        <f t="shared" si="66"/>
        <v>2051.5403653506187</v>
      </c>
      <c r="AK40" s="105">
        <f t="shared" si="66"/>
        <v>2059.50972304066</v>
      </c>
      <c r="AL40" s="74"/>
    </row>
    <row r="41" spans="2:38" hidden="1" outlineLevel="1" x14ac:dyDescent="0.3">
      <c r="B41" s="234" t="s">
        <v>255</v>
      </c>
      <c r="C41" s="235"/>
      <c r="D41" s="160">
        <f>D40/D39</f>
        <v>3.0231788079470197</v>
      </c>
      <c r="E41" s="161">
        <f t="shared" ref="E41" si="67">E40/E39</f>
        <v>3.046434494195688</v>
      </c>
      <c r="F41" s="161">
        <f t="shared" ref="F41" si="68">F40/F39</f>
        <v>3.0465116279069768</v>
      </c>
      <c r="G41" s="161">
        <f t="shared" ref="G41" si="69">G40/G39</f>
        <v>3.0497512437810945</v>
      </c>
      <c r="H41" s="162"/>
      <c r="I41" s="160">
        <f>I40/I39</f>
        <v>3.0631229235880397</v>
      </c>
      <c r="J41" s="161">
        <f t="shared" ref="J41" si="70">J40/J39</f>
        <v>3.0830564784053158</v>
      </c>
      <c r="K41" s="161">
        <f t="shared" ref="K41" si="71">K40/K39</f>
        <v>3.1004942339373969</v>
      </c>
      <c r="L41" s="161">
        <f t="shared" ref="L41" si="72">L40/L39</f>
        <v>3.108910891089109</v>
      </c>
      <c r="M41" s="162"/>
      <c r="N41" s="160">
        <f>N40/N39</f>
        <v>3.113861386138614</v>
      </c>
      <c r="O41" s="161">
        <f t="shared" ref="O41:P41" si="73">O40/O39</f>
        <v>3.1264367816091956</v>
      </c>
      <c r="P41" s="161">
        <f>P40/P39</f>
        <v>3.1465798045602607</v>
      </c>
      <c r="Q41" s="161">
        <f>Q40/Q39</f>
        <v>3.1465798045602598</v>
      </c>
      <c r="R41" s="162"/>
      <c r="S41" s="161">
        <f t="shared" ref="S41:V41" si="74">S40/S39</f>
        <v>3.1465798045602602</v>
      </c>
      <c r="T41" s="161">
        <f t="shared" si="74"/>
        <v>3.1465798045602602</v>
      </c>
      <c r="U41" s="161">
        <f t="shared" si="74"/>
        <v>3.1465798045602607</v>
      </c>
      <c r="V41" s="161">
        <f t="shared" si="74"/>
        <v>3.1465798045602607</v>
      </c>
      <c r="W41" s="162"/>
      <c r="X41" s="161">
        <f t="shared" ref="X41" si="75">X40/X39</f>
        <v>3.1465798045602602</v>
      </c>
      <c r="Y41" s="161">
        <f t="shared" ref="Y41" si="76">Y40/Y39</f>
        <v>3.1465798045602598</v>
      </c>
      <c r="Z41" s="161">
        <f t="shared" ref="Z41" si="77">Z40/Z39</f>
        <v>3.1465798045602598</v>
      </c>
      <c r="AA41" s="161">
        <f t="shared" ref="AA41" si="78">AA40/AA39</f>
        <v>3.1465798045602598</v>
      </c>
      <c r="AB41" s="162"/>
      <c r="AC41" s="161">
        <f t="shared" ref="AC41" si="79">AC40/AC39</f>
        <v>3.1465798045602589</v>
      </c>
      <c r="AD41" s="161">
        <f t="shared" ref="AD41" si="80">AD40/AD39</f>
        <v>3.1465798045602593</v>
      </c>
      <c r="AE41" s="161">
        <f t="shared" ref="AE41" si="81">AE40/AE39</f>
        <v>3.1465798045602593</v>
      </c>
      <c r="AF41" s="161">
        <f t="shared" ref="AF41" si="82">AF40/AF39</f>
        <v>3.1465798045602589</v>
      </c>
      <c r="AG41" s="162"/>
      <c r="AH41" s="161">
        <f t="shared" ref="AH41" si="83">AH40/AH39</f>
        <v>3.1465798045602589</v>
      </c>
      <c r="AI41" s="161">
        <f t="shared" ref="AI41" si="84">AI40/AI39</f>
        <v>3.1465798045602589</v>
      </c>
      <c r="AJ41" s="161">
        <f t="shared" ref="AJ41" si="85">AJ40/AJ39</f>
        <v>3.1465798045602589</v>
      </c>
      <c r="AK41" s="161">
        <f t="shared" ref="AK41" si="86">AK40/AK39</f>
        <v>3.1465798045602593</v>
      </c>
      <c r="AL41" s="162"/>
    </row>
    <row r="42" spans="2:38" ht="16.2" hidden="1" outlineLevel="1" x14ac:dyDescent="0.45">
      <c r="B42" s="249" t="s">
        <v>225</v>
      </c>
      <c r="C42" s="250"/>
      <c r="D42" s="37"/>
      <c r="E42" s="105">
        <f>E43-D43</f>
        <v>0</v>
      </c>
      <c r="F42" s="105">
        <f t="shared" ref="F42" si="87">F43-E43</f>
        <v>0</v>
      </c>
      <c r="G42" s="105">
        <f t="shared" ref="G42" si="88">G43-F43</f>
        <v>-2</v>
      </c>
      <c r="H42" s="74"/>
      <c r="I42" s="105">
        <f>I43-G43</f>
        <v>0</v>
      </c>
      <c r="J42" s="105">
        <f>J43-I43</f>
        <v>0</v>
      </c>
      <c r="K42" s="105">
        <f t="shared" ref="K42" si="89">K43-J43</f>
        <v>-1</v>
      </c>
      <c r="L42" s="105">
        <f t="shared" ref="L42" si="90">L43-K43</f>
        <v>0</v>
      </c>
      <c r="M42" s="233"/>
      <c r="N42" s="105">
        <f>N43-L43</f>
        <v>-1</v>
      </c>
      <c r="O42" s="105">
        <f>O43-N43</f>
        <v>-2</v>
      </c>
      <c r="P42" s="105">
        <f>P43-O43</f>
        <v>-2</v>
      </c>
      <c r="Q42" s="105">
        <f>Q43-P43</f>
        <v>0.67177371832646315</v>
      </c>
      <c r="R42" s="243"/>
      <c r="S42" s="105">
        <f>S43-Q43</f>
        <v>0.63641720683558844</v>
      </c>
      <c r="T42" s="105">
        <f t="shared" ref="T42" si="91">T43-S43</f>
        <v>0.42427813789039703</v>
      </c>
      <c r="U42" s="105">
        <f t="shared" ref="U42" si="92">U43-T43</f>
        <v>0.45963464938127174</v>
      </c>
      <c r="V42" s="105">
        <f t="shared" ref="V42" si="93">V43-U43</f>
        <v>0.42427813789038282</v>
      </c>
      <c r="W42" s="74"/>
      <c r="X42" s="105">
        <f>X43-V43</f>
        <v>0.45963464938127174</v>
      </c>
      <c r="Y42" s="105">
        <f t="shared" ref="Y42" si="94">Y43-X43</f>
        <v>0.35356511490866183</v>
      </c>
      <c r="Z42" s="105">
        <f t="shared" ref="Z42" si="95">Z43-Y43</f>
        <v>0.45963464938125753</v>
      </c>
      <c r="AA42" s="105">
        <f t="shared" ref="AA42" si="96">AA43-Z43</f>
        <v>0.49499116087213224</v>
      </c>
      <c r="AB42" s="74"/>
      <c r="AC42" s="105">
        <f>AC43-AA43</f>
        <v>0.45963464938125753</v>
      </c>
      <c r="AD42" s="105">
        <f t="shared" ref="AD42" si="97">AD43-AC43</f>
        <v>0.35356511490866183</v>
      </c>
      <c r="AE42" s="105">
        <f t="shared" ref="AE42" si="98">AE43-AD43</f>
        <v>0.45963464938125753</v>
      </c>
      <c r="AF42" s="105">
        <f t="shared" ref="AF42" si="99">AF43-AE43</f>
        <v>0.49499116087213224</v>
      </c>
      <c r="AG42" s="74"/>
      <c r="AH42" s="105">
        <f>AH43-AF43</f>
        <v>0.45963464938125753</v>
      </c>
      <c r="AI42" s="105">
        <f t="shared" ref="AI42" si="100">AI43-AH43</f>
        <v>0.35356511490866183</v>
      </c>
      <c r="AJ42" s="105">
        <f t="shared" ref="AJ42" si="101">AJ43-AI43</f>
        <v>0.45963464938125753</v>
      </c>
      <c r="AK42" s="105">
        <f t="shared" ref="AK42" si="102">AK43-AJ43</f>
        <v>0.49499116087213224</v>
      </c>
      <c r="AL42" s="74"/>
    </row>
    <row r="43" spans="2:38" hidden="1" outlineLevel="1" x14ac:dyDescent="0.3">
      <c r="B43" s="282" t="s">
        <v>201</v>
      </c>
      <c r="C43" s="283"/>
      <c r="D43" s="37">
        <v>128</v>
      </c>
      <c r="E43" s="105">
        <v>128</v>
      </c>
      <c r="F43" s="105">
        <v>128</v>
      </c>
      <c r="G43" s="105">
        <v>126</v>
      </c>
      <c r="H43" s="74"/>
      <c r="I43" s="105">
        <v>126</v>
      </c>
      <c r="J43" s="37">
        <v>126</v>
      </c>
      <c r="K43" s="37">
        <v>125</v>
      </c>
      <c r="L43" s="105">
        <v>125</v>
      </c>
      <c r="M43" s="233"/>
      <c r="N43" s="105">
        <v>124</v>
      </c>
      <c r="O43" s="105">
        <v>122</v>
      </c>
      <c r="P43" s="37">
        <v>120</v>
      </c>
      <c r="Q43" s="37">
        <f>P43/P80*Q80</f>
        <v>120.67177371832646</v>
      </c>
      <c r="R43" s="74"/>
      <c r="S43" s="37">
        <f>Q43/Q80*S80</f>
        <v>121.30819092516205</v>
      </c>
      <c r="T43" s="37">
        <f t="shared" ref="S43:V43" si="103">S43/S80*T80</f>
        <v>121.73246906305245</v>
      </c>
      <c r="U43" s="37">
        <f t="shared" si="103"/>
        <v>122.19210371243372</v>
      </c>
      <c r="V43" s="37">
        <f t="shared" si="103"/>
        <v>122.6163818503241</v>
      </c>
      <c r="W43" s="74"/>
      <c r="X43" s="37">
        <f>V43/V80*X80</f>
        <v>123.07601649970537</v>
      </c>
      <c r="Y43" s="37">
        <f t="shared" ref="Y43:AA43" si="104">X43/X80*Y80</f>
        <v>123.42958161461404</v>
      </c>
      <c r="Z43" s="37">
        <f t="shared" si="104"/>
        <v>123.88921626399529</v>
      </c>
      <c r="AA43" s="37">
        <f t="shared" si="104"/>
        <v>124.38420742486743</v>
      </c>
      <c r="AB43" s="74"/>
      <c r="AC43" s="37">
        <f>AA43/AA80*AC80</f>
        <v>124.84384207424868</v>
      </c>
      <c r="AD43" s="37">
        <f t="shared" ref="AD43:AF43" si="105">AC43/AC80*AD80</f>
        <v>125.19740718915735</v>
      </c>
      <c r="AE43" s="37">
        <f t="shared" si="105"/>
        <v>125.6570418385386</v>
      </c>
      <c r="AF43" s="37">
        <f t="shared" si="105"/>
        <v>126.15203299941074</v>
      </c>
      <c r="AG43" s="74"/>
      <c r="AH43" s="37">
        <f>AF43/AF80*AH80</f>
        <v>126.61166764879199</v>
      </c>
      <c r="AI43" s="37">
        <f t="shared" ref="AI43:AK43" si="106">AH43/AH80*AI80</f>
        <v>126.96523276370066</v>
      </c>
      <c r="AJ43" s="37">
        <f t="shared" si="106"/>
        <v>127.42486741308191</v>
      </c>
      <c r="AK43" s="37">
        <f t="shared" si="106"/>
        <v>127.91985857395404</v>
      </c>
      <c r="AL43" s="74"/>
    </row>
    <row r="44" spans="2:38" hidden="1" outlineLevel="1" x14ac:dyDescent="0.3">
      <c r="B44" s="282" t="s">
        <v>249</v>
      </c>
      <c r="C44" s="283"/>
      <c r="D44" s="37">
        <v>422</v>
      </c>
      <c r="E44" s="105">
        <v>415</v>
      </c>
      <c r="F44" s="105">
        <v>430</v>
      </c>
      <c r="G44" s="105">
        <v>422</v>
      </c>
      <c r="H44" s="74"/>
      <c r="I44" s="105">
        <v>426</v>
      </c>
      <c r="J44" s="37">
        <v>430</v>
      </c>
      <c r="K44" s="37">
        <v>432</v>
      </c>
      <c r="L44" s="105">
        <v>435</v>
      </c>
      <c r="M44" s="233"/>
      <c r="N44" s="105">
        <v>432</v>
      </c>
      <c r="O44" s="105">
        <v>430</v>
      </c>
      <c r="P44" s="37">
        <v>430</v>
      </c>
      <c r="Q44" s="105">
        <f>P44/P82*Q82</f>
        <v>432.40718915733646</v>
      </c>
      <c r="R44" s="74"/>
      <c r="S44" s="105">
        <f>Q44/Q82*S82</f>
        <v>434.6876841484974</v>
      </c>
      <c r="T44" s="105">
        <f t="shared" ref="S44:V44" si="107">S44/S82*T82</f>
        <v>436.20801414260467</v>
      </c>
      <c r="U44" s="105">
        <f t="shared" si="107"/>
        <v>437.85503830288758</v>
      </c>
      <c r="V44" s="105">
        <f t="shared" si="107"/>
        <v>439.37536829699485</v>
      </c>
      <c r="W44" s="74"/>
      <c r="X44" s="105">
        <f>V44/V82*X82</f>
        <v>441.02239245727765</v>
      </c>
      <c r="Y44" s="105">
        <f t="shared" ref="Y44:AA44" si="108">X44/X82*Y82</f>
        <v>442.28933411903364</v>
      </c>
      <c r="Z44" s="105">
        <f t="shared" si="108"/>
        <v>443.93635827931644</v>
      </c>
      <c r="AA44" s="105">
        <f t="shared" si="108"/>
        <v>445.71007660577493</v>
      </c>
      <c r="AB44" s="74"/>
      <c r="AC44" s="105">
        <f>AA44/AA82*AC82</f>
        <v>447.35710076605778</v>
      </c>
      <c r="AD44" s="105">
        <f t="shared" ref="AD44:AF44" si="109">AC44/AC82*AD82</f>
        <v>448.62404242781383</v>
      </c>
      <c r="AE44" s="105">
        <f t="shared" si="109"/>
        <v>450.27106658809669</v>
      </c>
      <c r="AF44" s="105">
        <f t="shared" si="109"/>
        <v>452.04478491455518</v>
      </c>
      <c r="AG44" s="74"/>
      <c r="AH44" s="105">
        <f>AF44/AF82*AH82</f>
        <v>453.69180907483798</v>
      </c>
      <c r="AI44" s="105">
        <f t="shared" ref="AI44:AK44" si="110">AH44/AH82*AI82</f>
        <v>454.95875073659403</v>
      </c>
      <c r="AJ44" s="105">
        <f t="shared" si="110"/>
        <v>456.60577489687688</v>
      </c>
      <c r="AK44" s="105">
        <f t="shared" si="110"/>
        <v>458.37949322333532</v>
      </c>
      <c r="AL44" s="74"/>
    </row>
    <row r="45" spans="2:38" hidden="1" outlineLevel="1" x14ac:dyDescent="0.3">
      <c r="B45" s="234" t="s">
        <v>256</v>
      </c>
      <c r="C45" s="235"/>
      <c r="D45" s="160">
        <f>D44/D43</f>
        <v>3.296875</v>
      </c>
      <c r="E45" s="161">
        <f t="shared" ref="E45" si="111">E44/E43</f>
        <v>3.2421875</v>
      </c>
      <c r="F45" s="161">
        <f t="shared" ref="F45" si="112">F44/F43</f>
        <v>3.359375</v>
      </c>
      <c r="G45" s="161">
        <f t="shared" ref="G45" si="113">G44/G43</f>
        <v>3.3492063492063493</v>
      </c>
      <c r="H45" s="162"/>
      <c r="I45" s="160">
        <f>I44/I43</f>
        <v>3.3809523809523809</v>
      </c>
      <c r="J45" s="161">
        <f t="shared" ref="J45" si="114">J44/J43</f>
        <v>3.4126984126984126</v>
      </c>
      <c r="K45" s="161">
        <f t="shared" ref="K45" si="115">K44/K43</f>
        <v>3.456</v>
      </c>
      <c r="L45" s="161">
        <f t="shared" ref="L45" si="116">L44/L43</f>
        <v>3.48</v>
      </c>
      <c r="M45" s="162"/>
      <c r="N45" s="160">
        <f>N44/N43</f>
        <v>3.4838709677419355</v>
      </c>
      <c r="O45" s="161">
        <f t="shared" ref="O45" si="117">O44/O43</f>
        <v>3.5245901639344264</v>
      </c>
      <c r="P45" s="161">
        <f>P44/P43</f>
        <v>3.5833333333333335</v>
      </c>
      <c r="Q45" s="161">
        <f>Q44/Q43</f>
        <v>3.583333333333333</v>
      </c>
      <c r="R45" s="162"/>
      <c r="S45" s="161">
        <f t="shared" ref="S45:V45" si="118">S44/S43</f>
        <v>3.5833333333333339</v>
      </c>
      <c r="T45" s="161">
        <f t="shared" si="118"/>
        <v>3.5833333333333339</v>
      </c>
      <c r="U45" s="161">
        <f t="shared" si="118"/>
        <v>3.5833333333333339</v>
      </c>
      <c r="V45" s="161">
        <f t="shared" si="118"/>
        <v>3.5833333333333344</v>
      </c>
      <c r="W45" s="162"/>
      <c r="X45" s="161">
        <f t="shared" ref="X45" si="119">X44/X43</f>
        <v>3.5833333333333339</v>
      </c>
      <c r="Y45" s="161">
        <f t="shared" ref="Y45" si="120">Y44/Y43</f>
        <v>3.5833333333333335</v>
      </c>
      <c r="Z45" s="161">
        <f t="shared" ref="Z45" si="121">Z44/Z43</f>
        <v>3.583333333333333</v>
      </c>
      <c r="AA45" s="161">
        <f t="shared" ref="AA45" si="122">AA44/AA43</f>
        <v>3.583333333333333</v>
      </c>
      <c r="AB45" s="162"/>
      <c r="AC45" s="161">
        <f t="shared" ref="AC45" si="123">AC44/AC43</f>
        <v>3.5833333333333335</v>
      </c>
      <c r="AD45" s="161">
        <f t="shared" ref="AD45" si="124">AD44/AD43</f>
        <v>3.5833333333333335</v>
      </c>
      <c r="AE45" s="161">
        <f t="shared" ref="AE45" si="125">AE44/AE43</f>
        <v>3.5833333333333335</v>
      </c>
      <c r="AF45" s="161">
        <f t="shared" ref="AF45" si="126">AF44/AF43</f>
        <v>3.5833333333333335</v>
      </c>
      <c r="AG45" s="162"/>
      <c r="AH45" s="161">
        <f t="shared" ref="AH45" si="127">AH44/AH43</f>
        <v>3.5833333333333335</v>
      </c>
      <c r="AI45" s="161">
        <f t="shared" ref="AI45" si="128">AI44/AI43</f>
        <v>3.5833333333333335</v>
      </c>
      <c r="AJ45" s="161">
        <f t="shared" ref="AJ45" si="129">AJ44/AJ43</f>
        <v>3.5833333333333335</v>
      </c>
      <c r="AK45" s="161">
        <f t="shared" ref="AK45" si="130">AK44/AK43</f>
        <v>3.583333333333333</v>
      </c>
      <c r="AL45" s="162"/>
    </row>
    <row r="46" spans="2:38" ht="16.2" hidden="1" outlineLevel="1" x14ac:dyDescent="0.45">
      <c r="B46" s="249" t="s">
        <v>226</v>
      </c>
      <c r="C46" s="250"/>
      <c r="D46" s="37"/>
      <c r="E46" s="105">
        <f>E47-D47</f>
        <v>-1</v>
      </c>
      <c r="F46" s="105">
        <f t="shared" ref="F46" si="131">F47-E47</f>
        <v>1</v>
      </c>
      <c r="G46" s="105">
        <f t="shared" ref="G46" si="132">G47-F47</f>
        <v>-1</v>
      </c>
      <c r="H46" s="74"/>
      <c r="I46" s="105">
        <f>I47-G47</f>
        <v>1</v>
      </c>
      <c r="J46" s="105">
        <f>J47-I47</f>
        <v>2</v>
      </c>
      <c r="K46" s="105">
        <f t="shared" ref="K46" si="133">K47-J47</f>
        <v>-1</v>
      </c>
      <c r="L46" s="105">
        <f t="shared" ref="L46" si="134">L47-K47</f>
        <v>1</v>
      </c>
      <c r="M46" s="233"/>
      <c r="N46" s="105">
        <f>N47-L47</f>
        <v>1</v>
      </c>
      <c r="O46" s="105">
        <f>O47-N47</f>
        <v>1</v>
      </c>
      <c r="P46" s="105">
        <f>P47-O47</f>
        <v>-1</v>
      </c>
      <c r="Q46" s="105">
        <f>Q47-P47</f>
        <v>0.53182086034178155</v>
      </c>
      <c r="R46" s="243"/>
      <c r="S46" s="105">
        <f>S47-Q47</f>
        <v>0.50383028874485092</v>
      </c>
      <c r="T46" s="105">
        <f t="shared" ref="T46" si="135">T47-S47</f>
        <v>0.33588685916322447</v>
      </c>
      <c r="U46" s="105">
        <f t="shared" ref="U46" si="136">U47-T47</f>
        <v>0.36387743076016932</v>
      </c>
      <c r="V46" s="105">
        <f t="shared" ref="V46" si="137">V47-U47</f>
        <v>0.33588685916322447</v>
      </c>
      <c r="W46" s="74"/>
      <c r="X46" s="105">
        <f>X47-V47</f>
        <v>0.36387743076016932</v>
      </c>
      <c r="Y46" s="105">
        <f t="shared" ref="Y46" si="138">Y47-X47</f>
        <v>0.27990571596934899</v>
      </c>
      <c r="Z46" s="105">
        <f t="shared" ref="Z46" si="139">Z47-Y47</f>
        <v>0.36387743076016932</v>
      </c>
      <c r="AA46" s="105">
        <f t="shared" ref="AA46" si="140">AA47-Z47</f>
        <v>0.39186800235709995</v>
      </c>
      <c r="AB46" s="74"/>
      <c r="AC46" s="105">
        <f>AC47-AA47</f>
        <v>0.36387743076016932</v>
      </c>
      <c r="AD46" s="105">
        <f t="shared" ref="AD46" si="141">AD47-AC47</f>
        <v>0.27990571596934899</v>
      </c>
      <c r="AE46" s="105">
        <f t="shared" ref="AE46" si="142">AE47-AD47</f>
        <v>0.36387743076015511</v>
      </c>
      <c r="AF46" s="105">
        <f t="shared" ref="AF46" si="143">AF47-AE47</f>
        <v>0.39186800235709995</v>
      </c>
      <c r="AG46" s="74"/>
      <c r="AH46" s="105">
        <f>AH47-AF47</f>
        <v>0.36387743076016932</v>
      </c>
      <c r="AI46" s="105">
        <f t="shared" ref="AI46" si="144">AI47-AH47</f>
        <v>0.2799057159693632</v>
      </c>
      <c r="AJ46" s="105">
        <f t="shared" ref="AJ46" si="145">AJ47-AI47</f>
        <v>0.36387743076015511</v>
      </c>
      <c r="AK46" s="105">
        <f t="shared" ref="AK46" si="146">AK47-AJ47</f>
        <v>0.39186800235709995</v>
      </c>
      <c r="AL46" s="74"/>
    </row>
    <row r="47" spans="2:38" hidden="1" outlineLevel="1" x14ac:dyDescent="0.3">
      <c r="B47" s="282" t="s">
        <v>202</v>
      </c>
      <c r="C47" s="283"/>
      <c r="D47" s="37">
        <v>92</v>
      </c>
      <c r="E47" s="105">
        <v>91</v>
      </c>
      <c r="F47" s="105">
        <v>92</v>
      </c>
      <c r="G47" s="105">
        <v>91</v>
      </c>
      <c r="H47" s="74"/>
      <c r="I47" s="37">
        <v>92</v>
      </c>
      <c r="J47" s="105">
        <v>94</v>
      </c>
      <c r="K47" s="105">
        <v>93</v>
      </c>
      <c r="L47" s="105">
        <v>94</v>
      </c>
      <c r="M47" s="233"/>
      <c r="N47" s="105">
        <v>95</v>
      </c>
      <c r="O47" s="105">
        <v>96</v>
      </c>
      <c r="P47" s="37">
        <v>95</v>
      </c>
      <c r="Q47" s="37">
        <f>P47/P80*Q80</f>
        <v>95.531820860341782</v>
      </c>
      <c r="R47" s="233"/>
      <c r="S47" s="37">
        <f>Q47/Q80*S80</f>
        <v>96.035651149086632</v>
      </c>
      <c r="T47" s="37">
        <f t="shared" ref="S47:V47" si="147">S47/S80*T80</f>
        <v>96.371538008249857</v>
      </c>
      <c r="U47" s="37">
        <f t="shared" si="147"/>
        <v>96.735415439010026</v>
      </c>
      <c r="V47" s="37">
        <f t="shared" si="147"/>
        <v>97.071302298173251</v>
      </c>
      <c r="W47" s="233"/>
      <c r="X47" s="37">
        <f>V47/V80*X80</f>
        <v>97.43517972893342</v>
      </c>
      <c r="Y47" s="37">
        <f t="shared" ref="Y47:AA47" si="148">X47/X80*Y80</f>
        <v>97.715085444902769</v>
      </c>
      <c r="Z47" s="37">
        <f t="shared" si="148"/>
        <v>98.078962875662938</v>
      </c>
      <c r="AA47" s="37">
        <f t="shared" si="148"/>
        <v>98.470830878020038</v>
      </c>
      <c r="AB47" s="233"/>
      <c r="AC47" s="37">
        <f>AA47/AA80*AC80</f>
        <v>98.834708308780208</v>
      </c>
      <c r="AD47" s="37">
        <f t="shared" ref="AD47:AF47" si="149">AC47/AC80*AD80</f>
        <v>99.114614024749557</v>
      </c>
      <c r="AE47" s="37">
        <f t="shared" si="149"/>
        <v>99.478491455509712</v>
      </c>
      <c r="AF47" s="37">
        <f t="shared" si="149"/>
        <v>99.870359457866812</v>
      </c>
      <c r="AG47" s="233"/>
      <c r="AH47" s="37">
        <f>AF47/AF80*AH80</f>
        <v>100.23423688862698</v>
      </c>
      <c r="AI47" s="37">
        <f t="shared" ref="AI47:AK47" si="150">AH47/AH80*AI80</f>
        <v>100.51414260459634</v>
      </c>
      <c r="AJ47" s="37">
        <f t="shared" si="150"/>
        <v>100.8780200353565</v>
      </c>
      <c r="AK47" s="37">
        <f t="shared" si="150"/>
        <v>101.2698880377136</v>
      </c>
      <c r="AL47" s="233"/>
    </row>
    <row r="48" spans="2:38" hidden="1" outlineLevel="1" x14ac:dyDescent="0.3">
      <c r="B48" s="282" t="s">
        <v>250</v>
      </c>
      <c r="C48" s="283"/>
      <c r="D48" s="37">
        <v>204</v>
      </c>
      <c r="E48" s="105">
        <v>202</v>
      </c>
      <c r="F48" s="105">
        <v>204</v>
      </c>
      <c r="G48" s="105">
        <v>204</v>
      </c>
      <c r="H48" s="74"/>
      <c r="I48" s="37">
        <v>205</v>
      </c>
      <c r="J48" s="105">
        <v>208</v>
      </c>
      <c r="K48" s="105">
        <v>206</v>
      </c>
      <c r="L48" s="105">
        <v>210</v>
      </c>
      <c r="M48" s="233"/>
      <c r="N48" s="105">
        <v>216</v>
      </c>
      <c r="O48" s="105">
        <v>217</v>
      </c>
      <c r="P48" s="37">
        <v>220</v>
      </c>
      <c r="Q48" s="37">
        <f>P48/P82*Q82</f>
        <v>221.23158515026515</v>
      </c>
      <c r="R48" s="233"/>
      <c r="S48" s="37">
        <f>Q48/Q82*S82</f>
        <v>222.39835002946376</v>
      </c>
      <c r="T48" s="37">
        <f t="shared" ref="S48:V48" si="151">S48/S82*T82</f>
        <v>223.17619328226283</v>
      </c>
      <c r="U48" s="37">
        <f t="shared" si="151"/>
        <v>224.0188568061285</v>
      </c>
      <c r="V48" s="37">
        <f t="shared" si="151"/>
        <v>224.79670005892757</v>
      </c>
      <c r="W48" s="233"/>
      <c r="X48" s="37">
        <f>V48/V82*X82</f>
        <v>225.63936358279318</v>
      </c>
      <c r="Y48" s="37">
        <f t="shared" ref="Y48:AA48" si="152">X48/X82*Y82</f>
        <v>226.28756629345904</v>
      </c>
      <c r="Z48" s="37">
        <f t="shared" si="152"/>
        <v>227.13022981732468</v>
      </c>
      <c r="AA48" s="37">
        <f t="shared" si="152"/>
        <v>228.03771361225691</v>
      </c>
      <c r="AB48" s="233"/>
      <c r="AC48" s="37">
        <f>AA48/AA82*AC82</f>
        <v>228.88037713612255</v>
      </c>
      <c r="AD48" s="37">
        <f t="shared" ref="AD48:AF48" si="153">AC48/AC82*AD82</f>
        <v>229.52857984678843</v>
      </c>
      <c r="AE48" s="37">
        <f t="shared" si="153"/>
        <v>230.3712433706541</v>
      </c>
      <c r="AF48" s="37">
        <f t="shared" si="153"/>
        <v>231.27872716558633</v>
      </c>
      <c r="AG48" s="233"/>
      <c r="AH48" s="37">
        <f>AF48/AF82*AH82</f>
        <v>232.12139068945194</v>
      </c>
      <c r="AI48" s="37">
        <f t="shared" ref="AI48:AK48" si="154">AH48/AH82*AI82</f>
        <v>232.76959340011783</v>
      </c>
      <c r="AJ48" s="37">
        <f t="shared" si="154"/>
        <v>233.61225692398349</v>
      </c>
      <c r="AK48" s="37">
        <f t="shared" si="154"/>
        <v>234.51974071891573</v>
      </c>
      <c r="AL48" s="233"/>
    </row>
    <row r="49" spans="2:38" s="129" customFormat="1" hidden="1" outlineLevel="1" x14ac:dyDescent="0.3">
      <c r="B49" s="234" t="s">
        <v>257</v>
      </c>
      <c r="C49" s="235"/>
      <c r="D49" s="160">
        <f>D48/D47</f>
        <v>2.2173913043478262</v>
      </c>
      <c r="E49" s="161">
        <f t="shared" ref="E49" si="155">E48/E47</f>
        <v>2.2197802197802199</v>
      </c>
      <c r="F49" s="161">
        <f t="shared" ref="F49" si="156">F48/F47</f>
        <v>2.2173913043478262</v>
      </c>
      <c r="G49" s="161">
        <f t="shared" ref="G49" si="157">G48/G47</f>
        <v>2.2417582417582418</v>
      </c>
      <c r="H49" s="162"/>
      <c r="I49" s="160">
        <f>I48/I47</f>
        <v>2.2282608695652173</v>
      </c>
      <c r="J49" s="161">
        <f t="shared" ref="J49" si="158">J48/J47</f>
        <v>2.2127659574468086</v>
      </c>
      <c r="K49" s="161">
        <f t="shared" ref="K49" si="159">K48/K47</f>
        <v>2.21505376344086</v>
      </c>
      <c r="L49" s="161">
        <f t="shared" ref="L49" si="160">L48/L47</f>
        <v>2.2340425531914891</v>
      </c>
      <c r="M49" s="162"/>
      <c r="N49" s="160">
        <f>N48/N47</f>
        <v>2.2736842105263158</v>
      </c>
      <c r="O49" s="161">
        <f t="shared" ref="O49" si="161">O48/O47</f>
        <v>2.2604166666666665</v>
      </c>
      <c r="P49" s="161">
        <f>P48/P47</f>
        <v>2.3157894736842106</v>
      </c>
      <c r="Q49" s="161">
        <f>Q48/Q47</f>
        <v>2.3157894736842102</v>
      </c>
      <c r="R49" s="162"/>
      <c r="S49" s="161">
        <f t="shared" ref="S49:V49" si="162">S48/S47</f>
        <v>2.3157894736842102</v>
      </c>
      <c r="T49" s="161">
        <f t="shared" si="162"/>
        <v>2.3157894736842106</v>
      </c>
      <c r="U49" s="161">
        <f t="shared" si="162"/>
        <v>2.3157894736842106</v>
      </c>
      <c r="V49" s="161">
        <f t="shared" si="162"/>
        <v>2.3157894736842111</v>
      </c>
      <c r="W49" s="162"/>
      <c r="X49" s="161">
        <f t="shared" ref="X49" si="163">X48/X47</f>
        <v>2.3157894736842106</v>
      </c>
      <c r="Y49" s="161">
        <f t="shared" ref="Y49" si="164">Y48/Y47</f>
        <v>2.3157894736842106</v>
      </c>
      <c r="Z49" s="161">
        <f t="shared" ref="Z49" si="165">Z48/Z47</f>
        <v>2.3157894736842102</v>
      </c>
      <c r="AA49" s="161">
        <f t="shared" ref="AA49" si="166">AA48/AA47</f>
        <v>2.3157894736842102</v>
      </c>
      <c r="AB49" s="162"/>
      <c r="AC49" s="161">
        <f t="shared" ref="AC49" si="167">AC48/AC47</f>
        <v>2.3157894736842102</v>
      </c>
      <c r="AD49" s="161">
        <f t="shared" ref="AD49" si="168">AD48/AD47</f>
        <v>2.3157894736842102</v>
      </c>
      <c r="AE49" s="161">
        <f t="shared" ref="AE49" si="169">AE48/AE47</f>
        <v>2.3157894736842106</v>
      </c>
      <c r="AF49" s="161">
        <f t="shared" ref="AF49" si="170">AF48/AF47</f>
        <v>2.3157894736842106</v>
      </c>
      <c r="AG49" s="162"/>
      <c r="AH49" s="161">
        <f t="shared" ref="AH49" si="171">AH48/AH47</f>
        <v>2.3157894736842102</v>
      </c>
      <c r="AI49" s="161">
        <f t="shared" ref="AI49" si="172">AI48/AI47</f>
        <v>2.3157894736842102</v>
      </c>
      <c r="AJ49" s="161">
        <f t="shared" ref="AJ49" si="173">AJ48/AJ47</f>
        <v>2.3157894736842106</v>
      </c>
      <c r="AK49" s="161">
        <f t="shared" ref="AK49" si="174">AK48/AK47</f>
        <v>2.3157894736842106</v>
      </c>
      <c r="AL49" s="162"/>
    </row>
    <row r="50" spans="2:38" ht="16.2" hidden="1" outlineLevel="1" x14ac:dyDescent="0.45">
      <c r="B50" s="249" t="s">
        <v>227</v>
      </c>
      <c r="C50" s="250"/>
      <c r="D50" s="105"/>
      <c r="E50" s="105">
        <f>E51-D51</f>
        <v>-8</v>
      </c>
      <c r="F50" s="105">
        <f t="shared" ref="F50" si="175">F51-E51</f>
        <v>1</v>
      </c>
      <c r="G50" s="105">
        <f t="shared" ref="G50" si="176">G51-F51</f>
        <v>-21</v>
      </c>
      <c r="H50" s="233"/>
      <c r="I50" s="105">
        <f>I51-G51</f>
        <v>-7</v>
      </c>
      <c r="J50" s="105">
        <f>J51-I51</f>
        <v>-1</v>
      </c>
      <c r="K50" s="105">
        <f t="shared" ref="K50" si="177">K51-J51</f>
        <v>-3</v>
      </c>
      <c r="L50" s="105">
        <f t="shared" ref="L50" si="178">L51-K51</f>
        <v>-46</v>
      </c>
      <c r="M50" s="233"/>
      <c r="N50" s="105">
        <f>N51-L51</f>
        <v>-7</v>
      </c>
      <c r="O50" s="105">
        <f>O51-N51</f>
        <v>-6</v>
      </c>
      <c r="P50" s="105">
        <f>P51-O51</f>
        <v>-3</v>
      </c>
      <c r="Q50" s="105">
        <f>Q51-P51</f>
        <v>0.78373600471419991</v>
      </c>
      <c r="R50" s="243"/>
      <c r="S50" s="105">
        <f>S51-Q51</f>
        <v>0.74248674130819836</v>
      </c>
      <c r="T50" s="105">
        <f t="shared" ref="T50" si="179">T51-S51</f>
        <v>0.49499116087213224</v>
      </c>
      <c r="U50" s="105">
        <f t="shared" ref="U50" si="180">U51-T51</f>
        <v>0.53624042427813379</v>
      </c>
      <c r="V50" s="105">
        <f t="shared" ref="V50" si="181">V51-U51</f>
        <v>0.49499116087213224</v>
      </c>
      <c r="W50" s="74"/>
      <c r="X50" s="105">
        <f>X51-V51</f>
        <v>0.53624042427813379</v>
      </c>
      <c r="Y50" s="105">
        <f t="shared" ref="Y50" si="182">Y51-X51</f>
        <v>0.41249263406010073</v>
      </c>
      <c r="Z50" s="105">
        <f t="shared" ref="Z50" si="183">Z51-Y51</f>
        <v>0.53624042427813379</v>
      </c>
      <c r="AA50" s="105">
        <f t="shared" ref="AA50" si="184">AA51-Z51</f>
        <v>0.57748968768416375</v>
      </c>
      <c r="AB50" s="74"/>
      <c r="AC50" s="105">
        <f>AC51-AA51</f>
        <v>0.53624042427813379</v>
      </c>
      <c r="AD50" s="105">
        <f t="shared" ref="AD50" si="185">AD51-AC51</f>
        <v>0.41249263406010073</v>
      </c>
      <c r="AE50" s="105">
        <f t="shared" ref="AE50" si="186">AE51-AD51</f>
        <v>0.53624042427813379</v>
      </c>
      <c r="AF50" s="105">
        <f t="shared" ref="AF50" si="187">AF51-AE51</f>
        <v>0.57748968768416375</v>
      </c>
      <c r="AG50" s="74"/>
      <c r="AH50" s="105">
        <f>AH51-AF51</f>
        <v>0.53624042427813379</v>
      </c>
      <c r="AI50" s="105">
        <f t="shared" ref="AI50" si="188">AI51-AH51</f>
        <v>0.41249263406010073</v>
      </c>
      <c r="AJ50" s="105">
        <f t="shared" ref="AJ50" si="189">AJ51-AI51</f>
        <v>0.53624042427813379</v>
      </c>
      <c r="AK50" s="105">
        <f t="shared" ref="AK50" si="190">AK51-AJ51</f>
        <v>0.57748968768416375</v>
      </c>
      <c r="AL50" s="74"/>
    </row>
    <row r="51" spans="2:38" hidden="1" outlineLevel="1" x14ac:dyDescent="0.3">
      <c r="B51" s="249" t="s">
        <v>228</v>
      </c>
      <c r="C51" s="250"/>
      <c r="D51" s="37">
        <v>241</v>
      </c>
      <c r="E51" s="105">
        <v>233</v>
      </c>
      <c r="F51" s="105">
        <v>234</v>
      </c>
      <c r="G51" s="105">
        <v>213</v>
      </c>
      <c r="H51" s="233"/>
      <c r="I51" s="37">
        <v>206</v>
      </c>
      <c r="J51" s="105">
        <v>205</v>
      </c>
      <c r="K51" s="105">
        <v>202</v>
      </c>
      <c r="L51" s="105">
        <v>156</v>
      </c>
      <c r="M51" s="233"/>
      <c r="N51" s="105">
        <v>149</v>
      </c>
      <c r="O51" s="105">
        <v>143</v>
      </c>
      <c r="P51" s="37">
        <v>140</v>
      </c>
      <c r="Q51" s="105">
        <f>P51/P80*Q80</f>
        <v>140.7837360047142</v>
      </c>
      <c r="R51" s="233"/>
      <c r="S51" s="105">
        <f>Q51/Q80*S80</f>
        <v>141.5262227460224</v>
      </c>
      <c r="T51" s="105">
        <f t="shared" ref="S51:V51" si="191">S51/S80*T80</f>
        <v>142.02121390689453</v>
      </c>
      <c r="U51" s="105">
        <f t="shared" si="191"/>
        <v>142.55745433117266</v>
      </c>
      <c r="V51" s="105">
        <f t="shared" si="191"/>
        <v>143.0524454920448</v>
      </c>
      <c r="W51" s="233"/>
      <c r="X51" s="105">
        <f>V51/V80*X80</f>
        <v>143.58868591632293</v>
      </c>
      <c r="Y51" s="105">
        <f t="shared" ref="Y51:AA51" si="192">X51/X80*Y80</f>
        <v>144.00117855038303</v>
      </c>
      <c r="Z51" s="105">
        <f t="shared" si="192"/>
        <v>144.53741897466116</v>
      </c>
      <c r="AA51" s="105">
        <f t="shared" si="192"/>
        <v>145.11490866234533</v>
      </c>
      <c r="AB51" s="233"/>
      <c r="AC51" s="105">
        <f>AA51/AA80*AC80</f>
        <v>145.65114908662346</v>
      </c>
      <c r="AD51" s="105">
        <f t="shared" ref="AD51:AF51" si="193">AC51/AC80*AD80</f>
        <v>146.06364172068356</v>
      </c>
      <c r="AE51" s="105">
        <f t="shared" si="193"/>
        <v>146.5998821449617</v>
      </c>
      <c r="AF51" s="105">
        <f t="shared" si="193"/>
        <v>147.17737183264586</v>
      </c>
      <c r="AG51" s="233"/>
      <c r="AH51" s="105">
        <f>AF51/AF80*AH80</f>
        <v>147.71361225692399</v>
      </c>
      <c r="AI51" s="105">
        <f t="shared" ref="AI51:AK51" si="194">AH51/AH80*AI80</f>
        <v>148.1261048909841</v>
      </c>
      <c r="AJ51" s="105">
        <f t="shared" si="194"/>
        <v>148.66234531526223</v>
      </c>
      <c r="AK51" s="105">
        <f t="shared" si="194"/>
        <v>149.23983500294639</v>
      </c>
      <c r="AL51" s="233"/>
    </row>
    <row r="52" spans="2:38" hidden="1" outlineLevel="1" x14ac:dyDescent="0.3">
      <c r="B52" s="282" t="s">
        <v>243</v>
      </c>
      <c r="C52" s="283"/>
      <c r="D52" s="37">
        <v>561</v>
      </c>
      <c r="E52" s="105">
        <v>541</v>
      </c>
      <c r="F52" s="105">
        <v>550</v>
      </c>
      <c r="G52" s="105">
        <v>501</v>
      </c>
      <c r="H52" s="74"/>
      <c r="I52" s="37">
        <v>491</v>
      </c>
      <c r="J52" s="105">
        <v>490</v>
      </c>
      <c r="K52" s="105">
        <v>485</v>
      </c>
      <c r="L52" s="105">
        <v>352</v>
      </c>
      <c r="M52" s="233"/>
      <c r="N52" s="105">
        <v>337</v>
      </c>
      <c r="O52" s="105">
        <v>324</v>
      </c>
      <c r="P52" s="37">
        <v>317</v>
      </c>
      <c r="Q52" s="105">
        <f>P52/P82*Q82</f>
        <v>318.77460223924572</v>
      </c>
      <c r="R52" s="233"/>
      <c r="S52" s="105">
        <f>Q52/Q82*S82</f>
        <v>320.45580436063642</v>
      </c>
      <c r="T52" s="105">
        <f t="shared" ref="S52:V52" si="195">S52/S82*T82</f>
        <v>321.5766057748969</v>
      </c>
      <c r="U52" s="105">
        <f t="shared" si="195"/>
        <v>322.79080730701241</v>
      </c>
      <c r="V52" s="105">
        <f t="shared" si="195"/>
        <v>323.9116087212729</v>
      </c>
      <c r="W52" s="233"/>
      <c r="X52" s="105">
        <f>V52/V82*X82</f>
        <v>325.12581025338835</v>
      </c>
      <c r="Y52" s="105">
        <f t="shared" ref="Y52:AA52" si="196">X52/X82*Y82</f>
        <v>326.05981143193867</v>
      </c>
      <c r="Z52" s="105">
        <f t="shared" si="196"/>
        <v>327.27401296405412</v>
      </c>
      <c r="AA52" s="105">
        <f t="shared" si="196"/>
        <v>328.58161461402466</v>
      </c>
      <c r="AB52" s="233"/>
      <c r="AC52" s="105">
        <f>AA52/AA82*AC82</f>
        <v>329.79581614614017</v>
      </c>
      <c r="AD52" s="105">
        <f t="shared" ref="AD52:AF52" si="197">AC52/AC82*AD82</f>
        <v>330.72981732469054</v>
      </c>
      <c r="AE52" s="105">
        <f t="shared" si="197"/>
        <v>331.94401885680605</v>
      </c>
      <c r="AF52" s="105">
        <f t="shared" si="197"/>
        <v>333.25162050677659</v>
      </c>
      <c r="AG52" s="233"/>
      <c r="AH52" s="105">
        <f>AF52/AF82*AH82</f>
        <v>334.46582203889204</v>
      </c>
      <c r="AI52" s="105">
        <f t="shared" ref="AI52:AK52" si="198">AH52/AH82*AI82</f>
        <v>335.39982321744247</v>
      </c>
      <c r="AJ52" s="105">
        <f t="shared" si="198"/>
        <v>336.61402474955798</v>
      </c>
      <c r="AK52" s="105">
        <f t="shared" si="198"/>
        <v>337.92162639952852</v>
      </c>
      <c r="AL52" s="233"/>
    </row>
    <row r="53" spans="2:38" s="129" customFormat="1" hidden="1" outlineLevel="1" x14ac:dyDescent="0.3">
      <c r="B53" s="234" t="s">
        <v>258</v>
      </c>
      <c r="C53" s="235"/>
      <c r="D53" s="160">
        <f>D52/D51</f>
        <v>2.3278008298755188</v>
      </c>
      <c r="E53" s="161">
        <f t="shared" ref="E53" si="199">E52/E51</f>
        <v>2.3218884120171674</v>
      </c>
      <c r="F53" s="161">
        <f t="shared" ref="F53" si="200">F52/F51</f>
        <v>2.3504273504273505</v>
      </c>
      <c r="G53" s="161">
        <f t="shared" ref="G53" si="201">G52/G51</f>
        <v>2.352112676056338</v>
      </c>
      <c r="H53" s="162"/>
      <c r="I53" s="160">
        <f>I52/I51</f>
        <v>2.383495145631068</v>
      </c>
      <c r="J53" s="161">
        <f t="shared" ref="J53" si="202">J52/J51</f>
        <v>2.3902439024390243</v>
      </c>
      <c r="K53" s="161">
        <f t="shared" ref="K53" si="203">K52/K51</f>
        <v>2.4009900990099009</v>
      </c>
      <c r="L53" s="161">
        <f t="shared" ref="L53" si="204">L52/L51</f>
        <v>2.2564102564102564</v>
      </c>
      <c r="M53" s="162"/>
      <c r="N53" s="160">
        <f>N52/N51</f>
        <v>2.261744966442953</v>
      </c>
      <c r="O53" s="161">
        <f t="shared" ref="O53" si="205">O52/O51</f>
        <v>2.2657342657342658</v>
      </c>
      <c r="P53" s="161">
        <f>P52/P51</f>
        <v>2.2642857142857142</v>
      </c>
      <c r="Q53" s="161">
        <f>Q52/Q51</f>
        <v>2.2642857142857142</v>
      </c>
      <c r="R53" s="257"/>
      <c r="S53" s="161">
        <f t="shared" ref="S53:V53" si="206">S52/S51</f>
        <v>2.2642857142857142</v>
      </c>
      <c r="T53" s="161">
        <f t="shared" si="206"/>
        <v>2.2642857142857142</v>
      </c>
      <c r="U53" s="161">
        <f t="shared" si="206"/>
        <v>2.2642857142857147</v>
      </c>
      <c r="V53" s="161">
        <f t="shared" si="206"/>
        <v>2.2642857142857147</v>
      </c>
      <c r="W53" s="162"/>
      <c r="X53" s="161">
        <f t="shared" ref="X53" si="207">X52/X51</f>
        <v>2.2642857142857142</v>
      </c>
      <c r="Y53" s="161">
        <f t="shared" ref="Y53" si="208">Y52/Y51</f>
        <v>2.2642857142857138</v>
      </c>
      <c r="Z53" s="161">
        <f t="shared" ref="Z53" si="209">Z52/Z51</f>
        <v>2.2642857142857138</v>
      </c>
      <c r="AA53" s="161">
        <f t="shared" ref="AA53" si="210">AA52/AA51</f>
        <v>2.2642857142857133</v>
      </c>
      <c r="AB53" s="162"/>
      <c r="AC53" s="161">
        <f t="shared" ref="AC53" si="211">AC52/AC51</f>
        <v>2.2642857142857138</v>
      </c>
      <c r="AD53" s="161">
        <f t="shared" ref="AD53" si="212">AD52/AD51</f>
        <v>2.2642857142857138</v>
      </c>
      <c r="AE53" s="161">
        <f t="shared" ref="AE53" si="213">AE52/AE51</f>
        <v>2.2642857142857138</v>
      </c>
      <c r="AF53" s="161">
        <f t="shared" ref="AF53" si="214">AF52/AF51</f>
        <v>2.2642857142857133</v>
      </c>
      <c r="AG53" s="162"/>
      <c r="AH53" s="161">
        <f t="shared" ref="AH53" si="215">AH52/AH51</f>
        <v>2.2642857142857133</v>
      </c>
      <c r="AI53" s="161">
        <f t="shared" ref="AI53" si="216">AI52/AI51</f>
        <v>2.2642857142857138</v>
      </c>
      <c r="AJ53" s="161">
        <f t="shared" ref="AJ53" si="217">AJ52/AJ51</f>
        <v>2.2642857142857138</v>
      </c>
      <c r="AK53" s="161">
        <f t="shared" ref="AK53" si="218">AK52/AK51</f>
        <v>2.2642857142857138</v>
      </c>
      <c r="AL53" s="162"/>
    </row>
    <row r="54" spans="2:38" ht="16.2" hidden="1" outlineLevel="1" x14ac:dyDescent="0.45">
      <c r="B54" s="282" t="s">
        <v>229</v>
      </c>
      <c r="C54" s="283"/>
      <c r="D54" s="37"/>
      <c r="E54" s="105">
        <f>E55-D55</f>
        <v>0</v>
      </c>
      <c r="F54" s="105">
        <f t="shared" ref="F54" si="219">F55-E55</f>
        <v>0</v>
      </c>
      <c r="G54" s="105">
        <f t="shared" ref="G54" si="220">G55-F55</f>
        <v>0</v>
      </c>
      <c r="H54" s="74"/>
      <c r="I54" s="105">
        <f>I55-G55</f>
        <v>0</v>
      </c>
      <c r="J54" s="105">
        <f>J55-I55</f>
        <v>0</v>
      </c>
      <c r="K54" s="105">
        <f t="shared" ref="K54" si="221">K55-J55</f>
        <v>0</v>
      </c>
      <c r="L54" s="105">
        <f t="shared" ref="L54" si="222">L55-K55</f>
        <v>30</v>
      </c>
      <c r="M54" s="233"/>
      <c r="N54" s="105">
        <f>N55-L55</f>
        <v>0</v>
      </c>
      <c r="O54" s="105">
        <f>O55-N55</f>
        <v>0</v>
      </c>
      <c r="P54" s="105">
        <f>P55-O55</f>
        <v>1</v>
      </c>
      <c r="Q54" s="105">
        <f>Q55-P55</f>
        <v>0.17354154390100263</v>
      </c>
      <c r="R54" s="243"/>
      <c r="S54" s="105">
        <f>S55-Q55</f>
        <v>0.16440777843252619</v>
      </c>
      <c r="T54" s="105">
        <f t="shared" ref="T54" si="223">T55-S55</f>
        <v>0.10960518562168531</v>
      </c>
      <c r="U54" s="105">
        <f t="shared" ref="U54" si="224">U55-T55</f>
        <v>0.11873895109016175</v>
      </c>
      <c r="V54" s="105">
        <f t="shared" ref="V54" si="225">V55-U55</f>
        <v>0.10960518562168531</v>
      </c>
      <c r="W54" s="74"/>
      <c r="X54" s="105">
        <f>X55-V55</f>
        <v>0.1187389510901582</v>
      </c>
      <c r="Y54" s="105">
        <f t="shared" ref="Y54" si="226">Y55-X55</f>
        <v>9.133765468473598E-2</v>
      </c>
      <c r="Z54" s="105">
        <f t="shared" ref="Z54" si="227">Z55-Y55</f>
        <v>0.11873895109016175</v>
      </c>
      <c r="AA54" s="105">
        <f t="shared" ref="AA54" si="228">AA55-Z55</f>
        <v>0.12787271655863464</v>
      </c>
      <c r="AB54" s="74"/>
      <c r="AC54" s="105">
        <f>AC55-AA55</f>
        <v>0.1187389510901582</v>
      </c>
      <c r="AD54" s="105">
        <f t="shared" ref="AD54" si="229">AD55-AC55</f>
        <v>9.133765468473598E-2</v>
      </c>
      <c r="AE54" s="105">
        <f t="shared" ref="AE54" si="230">AE55-AD55</f>
        <v>0.1187389510901582</v>
      </c>
      <c r="AF54" s="105">
        <f t="shared" ref="AF54" si="231">AF55-AE55</f>
        <v>0.12787271655863464</v>
      </c>
      <c r="AG54" s="74"/>
      <c r="AH54" s="105">
        <f>AH55-AF55</f>
        <v>0.1187389510901582</v>
      </c>
      <c r="AI54" s="105">
        <f t="shared" ref="AI54" si="232">AI55-AH55</f>
        <v>9.133765468473598E-2</v>
      </c>
      <c r="AJ54" s="105">
        <f t="shared" ref="AJ54" si="233">AJ55-AI55</f>
        <v>0.1187389510901582</v>
      </c>
      <c r="AK54" s="105">
        <f t="shared" ref="AK54" si="234">AK55-AJ55</f>
        <v>0.12787271655863464</v>
      </c>
      <c r="AL54" s="74"/>
    </row>
    <row r="55" spans="2:38" hidden="1" outlineLevel="1" x14ac:dyDescent="0.3">
      <c r="B55" s="282" t="s">
        <v>230</v>
      </c>
      <c r="C55" s="283"/>
      <c r="D55" s="37">
        <v>0</v>
      </c>
      <c r="E55" s="105">
        <v>0</v>
      </c>
      <c r="F55" s="105">
        <v>0</v>
      </c>
      <c r="G55" s="105">
        <v>0</v>
      </c>
      <c r="H55" s="74"/>
      <c r="I55" s="37">
        <v>0</v>
      </c>
      <c r="J55" s="105">
        <v>0</v>
      </c>
      <c r="K55" s="105">
        <v>0</v>
      </c>
      <c r="L55" s="105">
        <v>30</v>
      </c>
      <c r="M55" s="233"/>
      <c r="N55" s="105">
        <v>30</v>
      </c>
      <c r="O55" s="105">
        <v>30</v>
      </c>
      <c r="P55" s="37">
        <v>31</v>
      </c>
      <c r="Q55" s="37">
        <f>P55/P80*Q80</f>
        <v>31.173541543901003</v>
      </c>
      <c r="R55" s="233"/>
      <c r="S55" s="37">
        <f>Q55/Q80*S80</f>
        <v>31.337949322333529</v>
      </c>
      <c r="T55" s="37">
        <f t="shared" ref="S55:V55" si="235">S55/S80*T80</f>
        <v>31.447554507955214</v>
      </c>
      <c r="U55" s="37">
        <f t="shared" si="235"/>
        <v>31.566293459045376</v>
      </c>
      <c r="V55" s="37">
        <f t="shared" si="235"/>
        <v>31.675898644667061</v>
      </c>
      <c r="W55" s="233"/>
      <c r="X55" s="37">
        <f>V55/V80*X80</f>
        <v>31.794637595757219</v>
      </c>
      <c r="Y55" s="37">
        <f t="shared" ref="Y55:AA55" si="236">X55/X80*Y80</f>
        <v>31.885975250441955</v>
      </c>
      <c r="Z55" s="37">
        <f t="shared" si="236"/>
        <v>32.004714201532117</v>
      </c>
      <c r="AA55" s="37">
        <f t="shared" si="236"/>
        <v>32.132586918090752</v>
      </c>
      <c r="AB55" s="233"/>
      <c r="AC55" s="37">
        <f>AA55/AA80*AC80</f>
        <v>32.25132586918091</v>
      </c>
      <c r="AD55" s="37">
        <f t="shared" ref="AD55:AF55" si="237">AC55/AC80*AD80</f>
        <v>32.342663523865646</v>
      </c>
      <c r="AE55" s="37">
        <f t="shared" si="237"/>
        <v>32.461402474955804</v>
      </c>
      <c r="AF55" s="37">
        <f t="shared" si="237"/>
        <v>32.589275191514439</v>
      </c>
      <c r="AG55" s="233"/>
      <c r="AH55" s="37">
        <f>AF55/AF80*AH80</f>
        <v>32.708014142604597</v>
      </c>
      <c r="AI55" s="37">
        <f t="shared" ref="AI55:AK55" si="238">AH55/AH80*AI80</f>
        <v>32.799351797289333</v>
      </c>
      <c r="AJ55" s="37">
        <f t="shared" si="238"/>
        <v>32.918090748379491</v>
      </c>
      <c r="AK55" s="37">
        <f t="shared" si="238"/>
        <v>33.045963464938126</v>
      </c>
      <c r="AL55" s="233"/>
    </row>
    <row r="56" spans="2:38" hidden="1" outlineLevel="1" x14ac:dyDescent="0.3">
      <c r="B56" s="282" t="s">
        <v>251</v>
      </c>
      <c r="C56" s="283"/>
      <c r="D56" s="37">
        <v>0</v>
      </c>
      <c r="E56" s="105">
        <v>0</v>
      </c>
      <c r="F56" s="105">
        <v>0</v>
      </c>
      <c r="G56" s="105">
        <v>0</v>
      </c>
      <c r="H56" s="74"/>
      <c r="I56" s="37">
        <v>0</v>
      </c>
      <c r="J56" s="105">
        <v>0</v>
      </c>
      <c r="K56" s="105">
        <v>0</v>
      </c>
      <c r="L56" s="105">
        <v>101</v>
      </c>
      <c r="M56" s="233"/>
      <c r="N56" s="105">
        <v>101</v>
      </c>
      <c r="O56" s="105">
        <v>101</v>
      </c>
      <c r="P56" s="105">
        <v>106</v>
      </c>
      <c r="Q56" s="105">
        <f>P56/P82*Q82</f>
        <v>106.59340011785504</v>
      </c>
      <c r="R56" s="233"/>
      <c r="S56" s="105">
        <f>Q56/Q82*S82</f>
        <v>107.15556865055983</v>
      </c>
      <c r="T56" s="105">
        <f t="shared" ref="S56:V56" si="239">S56/S82*T82</f>
        <v>107.53034767236301</v>
      </c>
      <c r="U56" s="105">
        <f t="shared" si="239"/>
        <v>107.93635827931647</v>
      </c>
      <c r="V56" s="105">
        <f t="shared" si="239"/>
        <v>108.31113730111966</v>
      </c>
      <c r="W56" s="233"/>
      <c r="X56" s="105">
        <f>V56/V82*X82</f>
        <v>108.71714790807309</v>
      </c>
      <c r="Y56" s="105">
        <f t="shared" ref="Y56:AA56" si="240">X56/X82*Y82</f>
        <v>109.02946375957573</v>
      </c>
      <c r="Z56" s="105">
        <f t="shared" si="240"/>
        <v>109.43547436652916</v>
      </c>
      <c r="AA56" s="105">
        <f t="shared" si="240"/>
        <v>109.87271655863287</v>
      </c>
      <c r="AB56" s="233"/>
      <c r="AC56" s="105">
        <f>AA56/AA82*AC82</f>
        <v>110.27872716558633</v>
      </c>
      <c r="AD56" s="105">
        <f t="shared" ref="AD56:AF56" si="241">AC56/AC82*AD82</f>
        <v>110.59104301708899</v>
      </c>
      <c r="AE56" s="105">
        <f t="shared" si="241"/>
        <v>110.99705362404244</v>
      </c>
      <c r="AF56" s="105">
        <f t="shared" si="241"/>
        <v>111.43429581614615</v>
      </c>
      <c r="AG56" s="233"/>
      <c r="AH56" s="105">
        <f>AF56/AF82*AH82</f>
        <v>111.84030642309959</v>
      </c>
      <c r="AI56" s="105">
        <f t="shared" ref="AI56:AK56" si="242">AH56/AH82*AI82</f>
        <v>112.15262227460224</v>
      </c>
      <c r="AJ56" s="105">
        <f t="shared" si="242"/>
        <v>112.5586328815557</v>
      </c>
      <c r="AK56" s="105">
        <f t="shared" si="242"/>
        <v>112.99587507365941</v>
      </c>
      <c r="AL56" s="233"/>
    </row>
    <row r="57" spans="2:38" s="129" customFormat="1" hidden="1" outlineLevel="1" x14ac:dyDescent="0.3">
      <c r="B57" s="234" t="s">
        <v>259</v>
      </c>
      <c r="C57" s="235"/>
      <c r="D57" s="160"/>
      <c r="E57" s="161"/>
      <c r="F57" s="161"/>
      <c r="G57" s="161"/>
      <c r="H57" s="162"/>
      <c r="I57" s="160"/>
      <c r="J57" s="161"/>
      <c r="K57" s="161"/>
      <c r="L57" s="161">
        <f t="shared" ref="L57" si="243">L56/L55</f>
        <v>3.3666666666666667</v>
      </c>
      <c r="M57" s="162"/>
      <c r="N57" s="160">
        <f>N56/N55</f>
        <v>3.3666666666666667</v>
      </c>
      <c r="O57" s="161">
        <f t="shared" ref="O57" si="244">O56/O55</f>
        <v>3.3666666666666667</v>
      </c>
      <c r="P57" s="161">
        <f>P56/P55</f>
        <v>3.4193548387096775</v>
      </c>
      <c r="Q57" s="161">
        <f>Q56/Q55</f>
        <v>3.4193548387096775</v>
      </c>
      <c r="R57" s="257"/>
      <c r="S57" s="161">
        <f t="shared" ref="S57:V57" si="245">S56/S55</f>
        <v>3.4193548387096779</v>
      </c>
      <c r="T57" s="161">
        <f t="shared" si="245"/>
        <v>3.4193548387096779</v>
      </c>
      <c r="U57" s="161">
        <f t="shared" si="245"/>
        <v>3.4193548387096779</v>
      </c>
      <c r="V57" s="161">
        <f t="shared" si="245"/>
        <v>3.4193548387096784</v>
      </c>
      <c r="W57" s="162"/>
      <c r="X57" s="161">
        <f t="shared" ref="X57" si="246">X56/X55</f>
        <v>3.4193548387096779</v>
      </c>
      <c r="Y57" s="161">
        <f t="shared" ref="Y57" si="247">Y56/Y55</f>
        <v>3.4193548387096779</v>
      </c>
      <c r="Z57" s="161">
        <f t="shared" ref="Z57" si="248">Z56/Z55</f>
        <v>3.419354838709677</v>
      </c>
      <c r="AA57" s="161">
        <f t="shared" ref="AA57" si="249">AA56/AA55</f>
        <v>3.4193548387096766</v>
      </c>
      <c r="AB57" s="162"/>
      <c r="AC57" s="161">
        <f t="shared" ref="AC57" si="250">AC56/AC55</f>
        <v>3.419354838709677</v>
      </c>
      <c r="AD57" s="161">
        <f t="shared" ref="AD57" si="251">AD56/AD55</f>
        <v>3.4193548387096779</v>
      </c>
      <c r="AE57" s="161">
        <f t="shared" ref="AE57" si="252">AE56/AE55</f>
        <v>3.4193548387096779</v>
      </c>
      <c r="AF57" s="161">
        <f t="shared" ref="AF57" si="253">AF56/AF55</f>
        <v>3.4193548387096775</v>
      </c>
      <c r="AG57" s="162"/>
      <c r="AH57" s="161">
        <f t="shared" ref="AH57" si="254">AH56/AH55</f>
        <v>3.4193548387096775</v>
      </c>
      <c r="AI57" s="161">
        <f t="shared" ref="AI57" si="255">AI56/AI55</f>
        <v>3.4193548387096775</v>
      </c>
      <c r="AJ57" s="161">
        <f t="shared" ref="AJ57" si="256">AJ56/AJ55</f>
        <v>3.4193548387096779</v>
      </c>
      <c r="AK57" s="161">
        <f t="shared" ref="AK57" si="257">AK56/AK55</f>
        <v>3.4193548387096775</v>
      </c>
      <c r="AL57" s="162"/>
    </row>
    <row r="58" spans="2:38" ht="16.2" hidden="1" outlineLevel="1" x14ac:dyDescent="0.45">
      <c r="B58" s="249" t="s">
        <v>231</v>
      </c>
      <c r="C58" s="250"/>
      <c r="D58" s="37"/>
      <c r="E58" s="105">
        <f>E59-D59</f>
        <v>9</v>
      </c>
      <c r="F58" s="105">
        <f t="shared" ref="F58" si="258">F59-E59</f>
        <v>4</v>
      </c>
      <c r="G58" s="105">
        <f t="shared" ref="G58" si="259">G59-F59</f>
        <v>-1</v>
      </c>
      <c r="H58" s="74"/>
      <c r="I58" s="105">
        <f>I59-G59</f>
        <v>7</v>
      </c>
      <c r="J58" s="105">
        <f>J59-I59</f>
        <v>6</v>
      </c>
      <c r="K58" s="105">
        <f t="shared" ref="K58" si="260">K59-J59</f>
        <v>3</v>
      </c>
      <c r="L58" s="105">
        <f t="shared" ref="L58" si="261">L59-K59</f>
        <v>1</v>
      </c>
      <c r="M58" s="233"/>
      <c r="N58" s="105">
        <f>N59-L59</f>
        <v>19</v>
      </c>
      <c r="O58" s="105">
        <f>O59-N59</f>
        <v>14</v>
      </c>
      <c r="P58" s="105">
        <f>P59-O59</f>
        <v>-1</v>
      </c>
      <c r="Q58" s="105">
        <f>Q59-P59</f>
        <v>2.2728344136712053</v>
      </c>
      <c r="R58" s="243"/>
      <c r="S58" s="105">
        <f>S59-Q59</f>
        <v>2.1532115497937525</v>
      </c>
      <c r="T58" s="105">
        <f t="shared" ref="T58" si="262">T59-S59</f>
        <v>1.4354743665291494</v>
      </c>
      <c r="U58" s="105">
        <f t="shared" ref="U58" si="263">U59-T59</f>
        <v>1.5550972304066022</v>
      </c>
      <c r="V58" s="105">
        <f t="shared" ref="V58" si="264">V59-U59</f>
        <v>1.4354743665291494</v>
      </c>
      <c r="W58" s="74"/>
      <c r="X58" s="105">
        <f>X59-V59</f>
        <v>1.5550972304066022</v>
      </c>
      <c r="Y58" s="105">
        <f t="shared" ref="Y58" si="265">Y59-X59</f>
        <v>1.1962286387743006</v>
      </c>
      <c r="Z58" s="105">
        <f t="shared" ref="Z58" si="266">Z59-Y59</f>
        <v>1.5550972304066022</v>
      </c>
      <c r="AA58" s="105">
        <f t="shared" ref="AA58" si="267">AA59-Z59</f>
        <v>1.6747200942839982</v>
      </c>
      <c r="AB58" s="74"/>
      <c r="AC58" s="105">
        <f>AC59-AA59</f>
        <v>1.5550972304066022</v>
      </c>
      <c r="AD58" s="105">
        <f t="shared" ref="AD58" si="268">AD59-AC59</f>
        <v>1.1962286387743006</v>
      </c>
      <c r="AE58" s="105">
        <f t="shared" ref="AE58" si="269">AE59-AD59</f>
        <v>1.5550972304066022</v>
      </c>
      <c r="AF58" s="105">
        <f t="shared" ref="AF58" si="270">AF59-AE59</f>
        <v>1.674720094284055</v>
      </c>
      <c r="AG58" s="74"/>
      <c r="AH58" s="105">
        <f>AH59-AF59</f>
        <v>1.5550972304066022</v>
      </c>
      <c r="AI58" s="105">
        <f t="shared" ref="AI58" si="271">AI59-AH59</f>
        <v>1.1962286387743006</v>
      </c>
      <c r="AJ58" s="105">
        <f t="shared" ref="AJ58" si="272">AJ59-AI59</f>
        <v>1.5550972304066022</v>
      </c>
      <c r="AK58" s="105">
        <f t="shared" ref="AK58" si="273">AK59-AJ59</f>
        <v>1.6747200942839982</v>
      </c>
      <c r="AL58" s="74"/>
    </row>
    <row r="59" spans="2:38" hidden="1" outlineLevel="1" x14ac:dyDescent="0.3">
      <c r="B59" s="249" t="s">
        <v>232</v>
      </c>
      <c r="C59" s="250"/>
      <c r="D59" s="37">
        <v>345</v>
      </c>
      <c r="E59" s="105">
        <v>354</v>
      </c>
      <c r="F59" s="105">
        <v>358</v>
      </c>
      <c r="G59" s="105">
        <v>357</v>
      </c>
      <c r="H59" s="74"/>
      <c r="I59" s="37">
        <v>364</v>
      </c>
      <c r="J59" s="105">
        <v>370</v>
      </c>
      <c r="K59" s="105">
        <v>373</v>
      </c>
      <c r="L59" s="105">
        <v>374</v>
      </c>
      <c r="M59" s="233"/>
      <c r="N59" s="105">
        <v>393</v>
      </c>
      <c r="O59" s="105">
        <v>407</v>
      </c>
      <c r="P59" s="37">
        <v>406</v>
      </c>
      <c r="Q59" s="37">
        <f>P59/P80*Q80</f>
        <v>408.27283441367121</v>
      </c>
      <c r="R59" s="233"/>
      <c r="S59" s="37">
        <f>Q59/Q80*S80</f>
        <v>410.42604596346496</v>
      </c>
      <c r="T59" s="37">
        <f t="shared" ref="S59:V59" si="274">S59/S80*T80</f>
        <v>411.86152032999411</v>
      </c>
      <c r="U59" s="37">
        <f t="shared" si="274"/>
        <v>413.41661756040071</v>
      </c>
      <c r="V59" s="37">
        <f t="shared" si="274"/>
        <v>414.85209192692986</v>
      </c>
      <c r="W59" s="233"/>
      <c r="X59" s="37">
        <f>V59/V80*X80</f>
        <v>416.40718915733646</v>
      </c>
      <c r="Y59" s="37">
        <f t="shared" ref="Y59:AA59" si="275">X59/X80*Y80</f>
        <v>417.60341779611076</v>
      </c>
      <c r="Z59" s="37">
        <f t="shared" si="275"/>
        <v>419.15851502651736</v>
      </c>
      <c r="AA59" s="37">
        <f t="shared" si="275"/>
        <v>420.83323512080136</v>
      </c>
      <c r="AB59" s="233"/>
      <c r="AC59" s="37">
        <f>AA59/AA80*AC80</f>
        <v>422.38833235120796</v>
      </c>
      <c r="AD59" s="37">
        <f t="shared" ref="AD59:AF59" si="276">AC59/AC80*AD80</f>
        <v>423.58456098998226</v>
      </c>
      <c r="AE59" s="37">
        <f t="shared" si="276"/>
        <v>425.13965822038887</v>
      </c>
      <c r="AF59" s="37">
        <f t="shared" si="276"/>
        <v>426.81437831467292</v>
      </c>
      <c r="AG59" s="233"/>
      <c r="AH59" s="37">
        <f>AF59/AF80*AH80</f>
        <v>428.36947554507952</v>
      </c>
      <c r="AI59" s="37">
        <f t="shared" ref="AI59:AK59" si="277">AH59/AH80*AI80</f>
        <v>429.56570418385382</v>
      </c>
      <c r="AJ59" s="37">
        <f t="shared" si="277"/>
        <v>431.12080141426043</v>
      </c>
      <c r="AK59" s="37">
        <f t="shared" si="277"/>
        <v>432.79552150854443</v>
      </c>
      <c r="AL59" s="233"/>
    </row>
    <row r="60" spans="2:38" hidden="1" outlineLevel="1" x14ac:dyDescent="0.3">
      <c r="B60" s="249" t="s">
        <v>252</v>
      </c>
      <c r="C60" s="250"/>
      <c r="D60" s="37">
        <v>862</v>
      </c>
      <c r="E60" s="105">
        <v>897</v>
      </c>
      <c r="F60" s="105">
        <v>914</v>
      </c>
      <c r="G60" s="105">
        <v>912</v>
      </c>
      <c r="H60" s="74"/>
      <c r="I60" s="37">
        <v>949</v>
      </c>
      <c r="J60" s="105">
        <v>989</v>
      </c>
      <c r="K60" s="105">
        <v>1014</v>
      </c>
      <c r="L60" s="105">
        <v>1029</v>
      </c>
      <c r="M60" s="233"/>
      <c r="N60" s="105">
        <v>1091</v>
      </c>
      <c r="O60" s="105">
        <v>1145</v>
      </c>
      <c r="P60" s="105">
        <v>1155</v>
      </c>
      <c r="Q60" s="105">
        <f>P60/P82*Q82</f>
        <v>1161.4658220388922</v>
      </c>
      <c r="R60" s="233"/>
      <c r="S60" s="105">
        <f>Q60/Q82*S82</f>
        <v>1167.5913376546848</v>
      </c>
      <c r="T60" s="105">
        <f t="shared" ref="S60:V60" si="278">S60/S82*T82</f>
        <v>1171.6750147318799</v>
      </c>
      <c r="U60" s="105">
        <f t="shared" si="278"/>
        <v>1176.0989982321744</v>
      </c>
      <c r="V60" s="105">
        <f t="shared" si="278"/>
        <v>1180.1826753093696</v>
      </c>
      <c r="W60" s="233"/>
      <c r="X60" s="105">
        <f>V60/V82*X82</f>
        <v>1184.6066588096642</v>
      </c>
      <c r="Y60" s="105">
        <f t="shared" ref="Y60:AA60" si="279">X60/X82*Y82</f>
        <v>1188.0097230406598</v>
      </c>
      <c r="Z60" s="105">
        <f t="shared" si="279"/>
        <v>1192.4337065409543</v>
      </c>
      <c r="AA60" s="105">
        <f t="shared" si="279"/>
        <v>1197.1979964643485</v>
      </c>
      <c r="AB60" s="233"/>
      <c r="AC60" s="105">
        <f>AA60/AA82*AC82</f>
        <v>1201.6219799646433</v>
      </c>
      <c r="AD60" s="105">
        <f t="shared" ref="AD60:AF60" si="280">AC60/AC82*AD82</f>
        <v>1205.0250441956391</v>
      </c>
      <c r="AE60" s="105">
        <f t="shared" si="280"/>
        <v>1209.4490276959339</v>
      </c>
      <c r="AF60" s="105">
        <f t="shared" si="280"/>
        <v>1214.2133176193281</v>
      </c>
      <c r="AG60" s="233"/>
      <c r="AH60" s="105">
        <f>AF60/AF82*AH82</f>
        <v>1218.6373011196226</v>
      </c>
      <c r="AI60" s="105">
        <f t="shared" ref="AI60:AK60" si="281">AH60/AH82*AI82</f>
        <v>1222.0403653506185</v>
      </c>
      <c r="AJ60" s="105">
        <f t="shared" si="281"/>
        <v>1226.4643488509132</v>
      </c>
      <c r="AK60" s="105">
        <f t="shared" si="281"/>
        <v>1231.2286387743075</v>
      </c>
      <c r="AL60" s="233"/>
    </row>
    <row r="61" spans="2:38" s="129" customFormat="1" hidden="1" outlineLevel="1" x14ac:dyDescent="0.3">
      <c r="B61" s="234" t="s">
        <v>260</v>
      </c>
      <c r="C61" s="235"/>
      <c r="D61" s="160"/>
      <c r="E61" s="161"/>
      <c r="F61" s="161"/>
      <c r="G61" s="161"/>
      <c r="H61" s="162"/>
      <c r="I61" s="160"/>
      <c r="J61" s="161"/>
      <c r="K61" s="161"/>
      <c r="L61" s="161">
        <f t="shared" ref="L61" si="282">L60/L59</f>
        <v>2.751336898395722</v>
      </c>
      <c r="M61" s="162"/>
      <c r="N61" s="160">
        <f>N60/N59</f>
        <v>2.776081424936387</v>
      </c>
      <c r="O61" s="161">
        <f t="shared" ref="O61" si="283">O60/O59</f>
        <v>2.8132678132678133</v>
      </c>
      <c r="P61" s="161">
        <f>P60/P59</f>
        <v>2.8448275862068964</v>
      </c>
      <c r="Q61" s="161">
        <f>Q60/Q59</f>
        <v>2.8448275862068964</v>
      </c>
      <c r="R61" s="257"/>
      <c r="S61" s="161">
        <f t="shared" ref="S61:V61" si="284">S60/S59</f>
        <v>2.8448275862068968</v>
      </c>
      <c r="T61" s="161">
        <f t="shared" si="284"/>
        <v>2.8448275862068968</v>
      </c>
      <c r="U61" s="161">
        <f t="shared" si="284"/>
        <v>2.8448275862068964</v>
      </c>
      <c r="V61" s="161">
        <f t="shared" si="284"/>
        <v>2.8448275862068972</v>
      </c>
      <c r="W61" s="162"/>
      <c r="X61" s="161">
        <f t="shared" ref="X61" si="285">X60/X59</f>
        <v>2.8448275862068968</v>
      </c>
      <c r="Y61" s="161">
        <f t="shared" ref="Y61" si="286">Y60/Y59</f>
        <v>2.8448275862068964</v>
      </c>
      <c r="Z61" s="161">
        <f t="shared" ref="Z61" si="287">Z60/Z59</f>
        <v>2.8448275862068959</v>
      </c>
      <c r="AA61" s="161">
        <f t="shared" ref="AA61" si="288">AA60/AA59</f>
        <v>2.8448275862068964</v>
      </c>
      <c r="AB61" s="162"/>
      <c r="AC61" s="161">
        <f t="shared" ref="AC61" si="289">AC60/AC59</f>
        <v>2.8448275862068964</v>
      </c>
      <c r="AD61" s="161">
        <f t="shared" ref="AD61" si="290">AD60/AD59</f>
        <v>2.8448275862068964</v>
      </c>
      <c r="AE61" s="161">
        <f t="shared" ref="AE61" si="291">AE60/AE59</f>
        <v>2.8448275862068968</v>
      </c>
      <c r="AF61" s="161">
        <f t="shared" ref="AF61" si="292">AF60/AF59</f>
        <v>2.8448275862068964</v>
      </c>
      <c r="AG61" s="162"/>
      <c r="AH61" s="161">
        <f t="shared" ref="AH61" si="293">AH60/AH59</f>
        <v>2.8448275862068964</v>
      </c>
      <c r="AI61" s="161">
        <f t="shared" ref="AI61" si="294">AI60/AI59</f>
        <v>2.8448275862068959</v>
      </c>
      <c r="AJ61" s="161">
        <f t="shared" ref="AJ61" si="295">AJ60/AJ59</f>
        <v>2.8448275862068964</v>
      </c>
      <c r="AK61" s="161">
        <f t="shared" ref="AK61" si="296">AK60/AK59</f>
        <v>2.8448275862068968</v>
      </c>
      <c r="AL61" s="162"/>
    </row>
    <row r="62" spans="2:38" ht="16.2" hidden="1" outlineLevel="1" x14ac:dyDescent="0.45">
      <c r="B62" s="282" t="s">
        <v>233</v>
      </c>
      <c r="C62" s="283"/>
      <c r="D62" s="37"/>
      <c r="E62" s="105">
        <f>E63-D63</f>
        <v>1</v>
      </c>
      <c r="F62" s="105">
        <f t="shared" ref="F62" si="297">F63-E63</f>
        <v>-1</v>
      </c>
      <c r="G62" s="105">
        <f t="shared" ref="G62" si="298">G63-F63</f>
        <v>-4</v>
      </c>
      <c r="H62" s="74"/>
      <c r="I62" s="105">
        <f>I63-G63</f>
        <v>0</v>
      </c>
      <c r="J62" s="105">
        <f>J63-I63</f>
        <v>1</v>
      </c>
      <c r="K62" s="105">
        <f t="shared" ref="K62" si="299">K63-J63</f>
        <v>-1</v>
      </c>
      <c r="L62" s="105">
        <f t="shared" ref="L62" si="300">L63-K63</f>
        <v>-4</v>
      </c>
      <c r="M62" s="233"/>
      <c r="N62" s="105">
        <f>N63-L63</f>
        <v>-2</v>
      </c>
      <c r="O62" s="105">
        <f>O63-N63</f>
        <v>-2</v>
      </c>
      <c r="P62" s="105">
        <f>P63-O63</f>
        <v>0</v>
      </c>
      <c r="Q62" s="105">
        <f>Q63-P63</f>
        <v>1.4779021803182104</v>
      </c>
      <c r="R62" s="243"/>
      <c r="S62" s="105">
        <f>S63-Q63</f>
        <v>1.4001178550382747</v>
      </c>
      <c r="T62" s="105">
        <f t="shared" ref="T62" si="301">T63-S63</f>
        <v>0.93341190335888768</v>
      </c>
      <c r="U62" s="105">
        <f t="shared" ref="U62" si="302">U63-T63</f>
        <v>1.0111962286387666</v>
      </c>
      <c r="V62" s="105">
        <f t="shared" ref="V62" si="303">V63-U63</f>
        <v>0.93341190335888768</v>
      </c>
      <c r="W62" s="74"/>
      <c r="X62" s="105">
        <f>X63-V63</f>
        <v>1.0111962286387666</v>
      </c>
      <c r="Y62" s="105">
        <f t="shared" ref="Y62" si="304">Y63-X63</f>
        <v>0.77784325279901623</v>
      </c>
      <c r="Z62" s="105">
        <f t="shared" ref="Z62" si="305">Z63-Y63</f>
        <v>1.0111962286387666</v>
      </c>
      <c r="AA62" s="105">
        <f t="shared" ref="AA62" si="306">AA63-Z63</f>
        <v>1.0889805539186455</v>
      </c>
      <c r="AB62" s="74"/>
      <c r="AC62" s="105">
        <f>AC63-AA63</f>
        <v>1.0111962286388234</v>
      </c>
      <c r="AD62" s="105">
        <f t="shared" ref="AD62" si="307">AD63-AC63</f>
        <v>0.77784325279907307</v>
      </c>
      <c r="AE62" s="105">
        <f t="shared" ref="AE62" si="308">AE63-AD63</f>
        <v>1.0111962286387666</v>
      </c>
      <c r="AF62" s="105">
        <f t="shared" ref="AF62" si="309">AF63-AE63</f>
        <v>1.0889805539187023</v>
      </c>
      <c r="AG62" s="74"/>
      <c r="AH62" s="105">
        <f>AH63-AF63</f>
        <v>1.0111962286387666</v>
      </c>
      <c r="AI62" s="105">
        <f t="shared" ref="AI62" si="310">AI63-AH63</f>
        <v>0.77784325279907307</v>
      </c>
      <c r="AJ62" s="105">
        <f t="shared" ref="AJ62" si="311">AJ63-AI63</f>
        <v>1.0111962286387666</v>
      </c>
      <c r="AK62" s="105">
        <f t="shared" ref="AK62" si="312">AK63-AJ63</f>
        <v>1.0889805539186455</v>
      </c>
      <c r="AL62" s="74"/>
    </row>
    <row r="63" spans="2:38" hidden="1" outlineLevel="1" x14ac:dyDescent="0.3">
      <c r="B63" s="282" t="s">
        <v>234</v>
      </c>
      <c r="C63" s="283"/>
      <c r="D63" s="37">
        <v>276</v>
      </c>
      <c r="E63" s="105">
        <v>277</v>
      </c>
      <c r="F63" s="105">
        <v>276</v>
      </c>
      <c r="G63" s="105">
        <v>272</v>
      </c>
      <c r="H63" s="74"/>
      <c r="I63" s="37">
        <v>272</v>
      </c>
      <c r="J63" s="105">
        <v>273</v>
      </c>
      <c r="K63" s="105">
        <v>272</v>
      </c>
      <c r="L63" s="105">
        <v>268</v>
      </c>
      <c r="M63" s="233"/>
      <c r="N63" s="105">
        <v>266</v>
      </c>
      <c r="O63" s="105">
        <v>264</v>
      </c>
      <c r="P63" s="37">
        <v>264</v>
      </c>
      <c r="Q63" s="37">
        <f>P63/P80*Q80</f>
        <v>265.47790218031821</v>
      </c>
      <c r="R63" s="233"/>
      <c r="S63" s="37">
        <f>Q63/Q80*S80</f>
        <v>266.87802003535649</v>
      </c>
      <c r="T63" s="37">
        <f t="shared" ref="S63:V63" si="313">S63/S80*T80</f>
        <v>267.81143193871537</v>
      </c>
      <c r="U63" s="37">
        <f t="shared" si="313"/>
        <v>268.82262816735414</v>
      </c>
      <c r="V63" s="37">
        <f t="shared" si="313"/>
        <v>269.75604007071303</v>
      </c>
      <c r="W63" s="233"/>
      <c r="X63" s="37">
        <f>V63/V80*X80</f>
        <v>270.76723629935179</v>
      </c>
      <c r="Y63" s="37">
        <f t="shared" ref="Y63:AA63" si="314">X63/X80*Y80</f>
        <v>271.54507955215081</v>
      </c>
      <c r="Z63" s="37">
        <f t="shared" si="314"/>
        <v>272.55627578078958</v>
      </c>
      <c r="AA63" s="37">
        <f t="shared" si="314"/>
        <v>273.64525633470822</v>
      </c>
      <c r="AB63" s="233"/>
      <c r="AC63" s="37">
        <f>AA63/AA80*AC80</f>
        <v>274.65645256334705</v>
      </c>
      <c r="AD63" s="37">
        <f t="shared" ref="AD63:AF63" si="315">AC63/AC80*AD80</f>
        <v>275.43429581614612</v>
      </c>
      <c r="AE63" s="37">
        <f t="shared" si="315"/>
        <v>276.44549204478488</v>
      </c>
      <c r="AF63" s="37">
        <f t="shared" si="315"/>
        <v>277.53447259870359</v>
      </c>
      <c r="AG63" s="233"/>
      <c r="AH63" s="37">
        <f>AF63/AF80*AH80</f>
        <v>278.54566882734235</v>
      </c>
      <c r="AI63" s="37">
        <f t="shared" ref="AI63:AK63" si="316">AH63/AH80*AI80</f>
        <v>279.32351208014143</v>
      </c>
      <c r="AJ63" s="37">
        <f t="shared" si="316"/>
        <v>280.33470830878019</v>
      </c>
      <c r="AK63" s="37">
        <f t="shared" si="316"/>
        <v>281.42368886269884</v>
      </c>
      <c r="AL63" s="233"/>
    </row>
    <row r="64" spans="2:38" hidden="1" outlineLevel="1" x14ac:dyDescent="0.3">
      <c r="B64" s="282" t="s">
        <v>244</v>
      </c>
      <c r="C64" s="283"/>
      <c r="D64" s="37">
        <v>1284</v>
      </c>
      <c r="E64" s="105">
        <v>1285</v>
      </c>
      <c r="F64" s="105">
        <v>1289</v>
      </c>
      <c r="G64" s="105">
        <v>1258</v>
      </c>
      <c r="H64" s="74"/>
      <c r="I64" s="37">
        <v>1266</v>
      </c>
      <c r="J64" s="105">
        <v>1267</v>
      </c>
      <c r="K64" s="105">
        <v>1300</v>
      </c>
      <c r="L64" s="105">
        <v>1303</v>
      </c>
      <c r="M64" s="233"/>
      <c r="N64" s="105">
        <v>1295</v>
      </c>
      <c r="O64" s="105">
        <v>1283</v>
      </c>
      <c r="P64" s="105">
        <v>1290</v>
      </c>
      <c r="Q64" s="105">
        <f>P64/P82*Q82</f>
        <v>1297.2215674720094</v>
      </c>
      <c r="R64" s="233"/>
      <c r="S64" s="105">
        <f>Q64/Q82*S82</f>
        <v>1304.0630524454921</v>
      </c>
      <c r="T64" s="105">
        <f t="shared" ref="S64:V64" si="317">S64/S82*T82</f>
        <v>1308.6240424278139</v>
      </c>
      <c r="U64" s="105">
        <f t="shared" si="317"/>
        <v>1313.5651149086625</v>
      </c>
      <c r="V64" s="105">
        <f t="shared" si="317"/>
        <v>1318.1261048909844</v>
      </c>
      <c r="W64" s="233"/>
      <c r="X64" s="105">
        <f>V64/V82*X82</f>
        <v>1323.0671773718329</v>
      </c>
      <c r="Y64" s="105">
        <f t="shared" ref="Y64:AA64" si="318">X64/X82*Y82</f>
        <v>1326.8680023571007</v>
      </c>
      <c r="Z64" s="105">
        <f t="shared" si="318"/>
        <v>1331.8090748379493</v>
      </c>
      <c r="AA64" s="105">
        <f t="shared" si="318"/>
        <v>1337.1302298173246</v>
      </c>
      <c r="AB64" s="233"/>
      <c r="AC64" s="105">
        <f>AA64/AA82*AC82</f>
        <v>1342.0713022981734</v>
      </c>
      <c r="AD64" s="105">
        <f t="shared" ref="AD64:AF64" si="319">AC64/AC82*AD82</f>
        <v>1345.8721272834416</v>
      </c>
      <c r="AE64" s="105">
        <f t="shared" si="319"/>
        <v>1350.8131997642902</v>
      </c>
      <c r="AF64" s="105">
        <f t="shared" si="319"/>
        <v>1356.1343547436657</v>
      </c>
      <c r="AG64" s="233"/>
      <c r="AH64" s="105">
        <f>AF64/AF82*AH82</f>
        <v>1361.075427224514</v>
      </c>
      <c r="AI64" s="105">
        <f t="shared" ref="AI64:AK64" si="320">AH64/AH82*AI82</f>
        <v>1364.8762522097823</v>
      </c>
      <c r="AJ64" s="105">
        <f t="shared" si="320"/>
        <v>1369.817324690631</v>
      </c>
      <c r="AK64" s="105">
        <f t="shared" si="320"/>
        <v>1375.1384796700063</v>
      </c>
      <c r="AL64" s="233"/>
    </row>
    <row r="65" spans="2:38" s="129" customFormat="1" hidden="1" outlineLevel="1" x14ac:dyDescent="0.3">
      <c r="B65" s="234" t="s">
        <v>261</v>
      </c>
      <c r="C65" s="235"/>
      <c r="D65" s="160">
        <f>D64/D63</f>
        <v>4.6521739130434785</v>
      </c>
      <c r="E65" s="161">
        <f t="shared" ref="E65" si="321">E64/E63</f>
        <v>4.6389891696750905</v>
      </c>
      <c r="F65" s="161">
        <f t="shared" ref="F65" si="322">F64/F63</f>
        <v>4.6702898550724639</v>
      </c>
      <c r="G65" s="161">
        <f t="shared" ref="G65" si="323">G64/G63</f>
        <v>4.625</v>
      </c>
      <c r="H65" s="162"/>
      <c r="I65" s="160">
        <f>I64/I63</f>
        <v>4.6544117647058822</v>
      </c>
      <c r="J65" s="161">
        <f t="shared" ref="J65" si="324">J64/J63</f>
        <v>4.6410256410256414</v>
      </c>
      <c r="K65" s="161">
        <f t="shared" ref="K65" si="325">K64/K63</f>
        <v>4.7794117647058822</v>
      </c>
      <c r="L65" s="161">
        <f t="shared" ref="L65" si="326">L64/L63</f>
        <v>4.8619402985074629</v>
      </c>
      <c r="M65" s="162"/>
      <c r="N65" s="160">
        <f>N64/N63</f>
        <v>4.8684210526315788</v>
      </c>
      <c r="O65" s="161">
        <f t="shared" ref="O65" si="327">O64/O63</f>
        <v>4.8598484848484844</v>
      </c>
      <c r="P65" s="161">
        <f>P64/P63</f>
        <v>4.8863636363636367</v>
      </c>
      <c r="Q65" s="161">
        <f>Q64/Q63</f>
        <v>4.8863636363636358</v>
      </c>
      <c r="R65" s="257"/>
      <c r="S65" s="161">
        <f t="shared" ref="S65:V65" si="328">S64/S63</f>
        <v>4.8863636363636367</v>
      </c>
      <c r="T65" s="161">
        <f t="shared" si="328"/>
        <v>4.8863636363636367</v>
      </c>
      <c r="U65" s="161">
        <f t="shared" si="328"/>
        <v>4.8863636363636376</v>
      </c>
      <c r="V65" s="161">
        <f t="shared" si="328"/>
        <v>4.8863636363636376</v>
      </c>
      <c r="W65" s="162"/>
      <c r="X65" s="161">
        <f t="shared" ref="X65" si="329">X64/X63</f>
        <v>4.8863636363636376</v>
      </c>
      <c r="Y65" s="161">
        <f t="shared" ref="Y65" si="330">Y64/Y63</f>
        <v>4.8863636363636367</v>
      </c>
      <c r="Z65" s="161">
        <f t="shared" ref="Z65" si="331">Z64/Z63</f>
        <v>4.8863636363636376</v>
      </c>
      <c r="AA65" s="161">
        <f t="shared" ref="AA65" si="332">AA64/AA63</f>
        <v>4.8863636363636376</v>
      </c>
      <c r="AB65" s="162"/>
      <c r="AC65" s="161">
        <f t="shared" ref="AC65" si="333">AC64/AC63</f>
        <v>4.8863636363636376</v>
      </c>
      <c r="AD65" s="161">
        <f t="shared" ref="AD65" si="334">AD64/AD63</f>
        <v>4.8863636363636376</v>
      </c>
      <c r="AE65" s="161">
        <f t="shared" ref="AE65" si="335">AE64/AE63</f>
        <v>4.8863636363636376</v>
      </c>
      <c r="AF65" s="161">
        <f t="shared" ref="AF65" si="336">AF64/AF63</f>
        <v>4.8863636363636376</v>
      </c>
      <c r="AG65" s="162"/>
      <c r="AH65" s="161">
        <f t="shared" ref="AH65" si="337">AH64/AH63</f>
        <v>4.8863636363636367</v>
      </c>
      <c r="AI65" s="161">
        <f t="shared" ref="AI65" si="338">AI64/AI63</f>
        <v>4.8863636363636376</v>
      </c>
      <c r="AJ65" s="161">
        <f t="shared" ref="AJ65" si="339">AJ64/AJ63</f>
        <v>4.8863636363636385</v>
      </c>
      <c r="AK65" s="161">
        <f t="shared" ref="AK65" si="340">AK64/AK63</f>
        <v>4.8863636363636385</v>
      </c>
      <c r="AL65" s="162"/>
    </row>
    <row r="66" spans="2:38" ht="16.2" hidden="1" outlineLevel="1" x14ac:dyDescent="0.45">
      <c r="B66" s="282" t="s">
        <v>235</v>
      </c>
      <c r="C66" s="283"/>
      <c r="D66" s="37"/>
      <c r="E66" s="105">
        <f>E67-D67</f>
        <v>1</v>
      </c>
      <c r="F66" s="105">
        <f t="shared" ref="F66" si="341">F67-E67</f>
        <v>5</v>
      </c>
      <c r="G66" s="105">
        <f t="shared" ref="G66" si="342">G67-F67</f>
        <v>-3</v>
      </c>
      <c r="H66" s="74"/>
      <c r="I66" s="105">
        <f>I67-G67</f>
        <v>2</v>
      </c>
      <c r="J66" s="105">
        <f>J67-I67</f>
        <v>0</v>
      </c>
      <c r="K66" s="105">
        <f t="shared" ref="K66" si="343">K67-J67</f>
        <v>1</v>
      </c>
      <c r="L66" s="105">
        <f t="shared" ref="L66" si="344">L67-K67</f>
        <v>0</v>
      </c>
      <c r="M66" s="233"/>
      <c r="N66" s="105">
        <f>N67-L67</f>
        <v>1</v>
      </c>
      <c r="O66" s="105">
        <f>O67-N67</f>
        <v>2</v>
      </c>
      <c r="P66" s="105">
        <f>P67-O67</f>
        <v>0</v>
      </c>
      <c r="Q66" s="105">
        <f>Q67-P67</f>
        <v>3.0957572186210882</v>
      </c>
      <c r="R66" s="243"/>
      <c r="S66" s="105">
        <f>S67-Q67</f>
        <v>2.9328226281674006</v>
      </c>
      <c r="T66" s="105">
        <f t="shared" ref="T66" si="345">T67-S67</f>
        <v>1.95521508544482</v>
      </c>
      <c r="U66" s="105">
        <f t="shared" ref="U66" si="346">U67-T67</f>
        <v>2.118149675898735</v>
      </c>
      <c r="V66" s="105">
        <f t="shared" ref="V66" si="347">V67-U67</f>
        <v>1.9552150854449337</v>
      </c>
      <c r="W66" s="74"/>
      <c r="X66" s="105">
        <f>X67-V67</f>
        <v>2.1181496758986214</v>
      </c>
      <c r="Y66" s="105">
        <f t="shared" ref="Y66" si="348">Y67-X67</f>
        <v>1.6293459045374448</v>
      </c>
      <c r="Z66" s="105">
        <f t="shared" ref="Z66" si="349">Z67-Y67</f>
        <v>2.1181496758986214</v>
      </c>
      <c r="AA66" s="105">
        <f t="shared" ref="AA66" si="350">AA67-Z67</f>
        <v>2.2810842663524227</v>
      </c>
      <c r="AB66" s="74"/>
      <c r="AC66" s="105">
        <f>AC67-AA67</f>
        <v>2.1181496758986214</v>
      </c>
      <c r="AD66" s="105">
        <f t="shared" ref="AD66" si="351">AD67-AC67</f>
        <v>1.6293459045374448</v>
      </c>
      <c r="AE66" s="105">
        <f t="shared" ref="AE66" si="352">AE67-AD67</f>
        <v>2.1181496758986214</v>
      </c>
      <c r="AF66" s="105">
        <f t="shared" ref="AF66" si="353">AF67-AE67</f>
        <v>2.2810842663524227</v>
      </c>
      <c r="AG66" s="74"/>
      <c r="AH66" s="105">
        <f>AH67-AF67</f>
        <v>2.1181496758986214</v>
      </c>
      <c r="AI66" s="105">
        <f t="shared" ref="AI66" si="354">AI67-AH67</f>
        <v>1.6293459045374448</v>
      </c>
      <c r="AJ66" s="105">
        <f t="shared" ref="AJ66" si="355">AJ67-AI67</f>
        <v>2.1181496758986214</v>
      </c>
      <c r="AK66" s="105">
        <f t="shared" ref="AK66" si="356">AK67-AJ67</f>
        <v>2.2810842663524227</v>
      </c>
      <c r="AL66" s="74"/>
    </row>
    <row r="67" spans="2:38" hidden="1" outlineLevel="1" x14ac:dyDescent="0.3">
      <c r="B67" s="282" t="s">
        <v>236</v>
      </c>
      <c r="C67" s="283"/>
      <c r="D67" s="37">
        <v>544</v>
      </c>
      <c r="E67" s="105">
        <v>545</v>
      </c>
      <c r="F67" s="105">
        <v>550</v>
      </c>
      <c r="G67" s="105">
        <v>547</v>
      </c>
      <c r="H67" s="74"/>
      <c r="I67" s="37">
        <v>549</v>
      </c>
      <c r="J67" s="105">
        <v>549</v>
      </c>
      <c r="K67" s="105">
        <v>550</v>
      </c>
      <c r="L67" s="105">
        <v>550</v>
      </c>
      <c r="M67" s="233"/>
      <c r="N67" s="105">
        <v>551</v>
      </c>
      <c r="O67" s="105">
        <v>553</v>
      </c>
      <c r="P67" s="37">
        <v>553</v>
      </c>
      <c r="Q67" s="37">
        <f>P67/P80*Q80</f>
        <v>556.09575721862109</v>
      </c>
      <c r="R67" s="233"/>
      <c r="S67" s="37">
        <f>Q67/Q80*S80</f>
        <v>559.02857984678849</v>
      </c>
      <c r="T67" s="37">
        <f t="shared" ref="S67:V67" si="357">S67/S80*T80</f>
        <v>560.98379493223331</v>
      </c>
      <c r="U67" s="37">
        <f t="shared" si="357"/>
        <v>563.10194460813204</v>
      </c>
      <c r="V67" s="37">
        <f t="shared" si="357"/>
        <v>565.05715969357698</v>
      </c>
      <c r="W67" s="233"/>
      <c r="X67" s="37">
        <f>V67/V80*X80</f>
        <v>567.1753093694756</v>
      </c>
      <c r="Y67" s="37">
        <f t="shared" ref="Y67:AA67" si="358">X67/X80*Y80</f>
        <v>568.80465527401304</v>
      </c>
      <c r="Z67" s="37">
        <f t="shared" si="358"/>
        <v>570.92280494991167</v>
      </c>
      <c r="AA67" s="37">
        <f t="shared" si="358"/>
        <v>573.20388921626409</v>
      </c>
      <c r="AB67" s="233"/>
      <c r="AC67" s="37">
        <f>AA67/AA80*AC80</f>
        <v>575.32203889216271</v>
      </c>
      <c r="AD67" s="37">
        <f t="shared" ref="AD67:AF67" si="359">AC67/AC80*AD80</f>
        <v>576.95138479670015</v>
      </c>
      <c r="AE67" s="37">
        <f t="shared" si="359"/>
        <v>579.06953447259878</v>
      </c>
      <c r="AF67" s="37">
        <f t="shared" si="359"/>
        <v>581.3506187389512</v>
      </c>
      <c r="AG67" s="233"/>
      <c r="AH67" s="37">
        <f>AF67/AF80*AH80</f>
        <v>583.46876841484982</v>
      </c>
      <c r="AI67" s="37">
        <f t="shared" ref="AI67:AK67" si="360">AH67/AH80*AI80</f>
        <v>585.09811431938726</v>
      </c>
      <c r="AJ67" s="37">
        <f t="shared" si="360"/>
        <v>587.21626399528589</v>
      </c>
      <c r="AK67" s="37">
        <f t="shared" si="360"/>
        <v>589.49734826163831</v>
      </c>
      <c r="AL67" s="233"/>
    </row>
    <row r="68" spans="2:38" hidden="1" outlineLevel="1" x14ac:dyDescent="0.3">
      <c r="B68" s="282" t="s">
        <v>245</v>
      </c>
      <c r="C68" s="283"/>
      <c r="D68" s="37">
        <v>2898</v>
      </c>
      <c r="E68" s="105">
        <v>2912</v>
      </c>
      <c r="F68" s="105">
        <v>2945</v>
      </c>
      <c r="G68" s="105">
        <v>2927</v>
      </c>
      <c r="H68" s="74"/>
      <c r="I68" s="37">
        <v>2941</v>
      </c>
      <c r="J68" s="105">
        <v>2949</v>
      </c>
      <c r="K68" s="105">
        <v>2964</v>
      </c>
      <c r="L68" s="105">
        <v>2972</v>
      </c>
      <c r="M68" s="233"/>
      <c r="N68" s="105">
        <v>2989</v>
      </c>
      <c r="O68" s="105">
        <v>3014</v>
      </c>
      <c r="P68" s="105">
        <v>3013</v>
      </c>
      <c r="Q68" s="105">
        <f>P68/P82*Q82</f>
        <v>3029.8671184443133</v>
      </c>
      <c r="R68" s="233"/>
      <c r="S68" s="105">
        <f>Q68/Q82*S82</f>
        <v>3045.8464938126108</v>
      </c>
      <c r="T68" s="105">
        <f t="shared" ref="S68:V68" si="361">S68/S82*T82</f>
        <v>3056.499410724809</v>
      </c>
      <c r="U68" s="105">
        <f t="shared" si="361"/>
        <v>3068.0400707130239</v>
      </c>
      <c r="V68" s="105">
        <f t="shared" si="361"/>
        <v>3078.6929876252225</v>
      </c>
      <c r="W68" s="233"/>
      <c r="X68" s="105">
        <f>V68/V82*X82</f>
        <v>3090.2336476134369</v>
      </c>
      <c r="Y68" s="105">
        <f t="shared" ref="Y68:AA68" si="362">X68/X82*Y82</f>
        <v>3099.1110783736017</v>
      </c>
      <c r="Z68" s="105">
        <f t="shared" si="362"/>
        <v>3110.6517383618161</v>
      </c>
      <c r="AA68" s="105">
        <f t="shared" si="362"/>
        <v>3123.0801414260472</v>
      </c>
      <c r="AB68" s="233"/>
      <c r="AC68" s="105">
        <f>AA68/AA82*AC82</f>
        <v>3134.6208014142617</v>
      </c>
      <c r="AD68" s="105">
        <f t="shared" ref="AD68:AF68" si="363">AC68/AC82*AD82</f>
        <v>3143.4982321744269</v>
      </c>
      <c r="AE68" s="105">
        <f t="shared" si="363"/>
        <v>3155.0388921626413</v>
      </c>
      <c r="AF68" s="105">
        <f t="shared" si="363"/>
        <v>3167.4672952268725</v>
      </c>
      <c r="AG68" s="233"/>
      <c r="AH68" s="105">
        <f>AF68/AF82*AH82</f>
        <v>3179.0079552150864</v>
      </c>
      <c r="AI68" s="105">
        <f t="shared" ref="AI68:AK68" si="364">AH68/AH82*AI82</f>
        <v>3187.8853859752517</v>
      </c>
      <c r="AJ68" s="105">
        <f t="shared" si="364"/>
        <v>3199.4260459634661</v>
      </c>
      <c r="AK68" s="105">
        <f t="shared" si="364"/>
        <v>3211.8544490276972</v>
      </c>
      <c r="AL68" s="233"/>
    </row>
    <row r="69" spans="2:38" s="129" customFormat="1" hidden="1" outlineLevel="1" x14ac:dyDescent="0.3">
      <c r="B69" s="234" t="s">
        <v>262</v>
      </c>
      <c r="C69" s="235"/>
      <c r="D69" s="160">
        <f>D68/D67</f>
        <v>5.3272058823529411</v>
      </c>
      <c r="E69" s="161">
        <f t="shared" ref="E69" si="365">E68/E67</f>
        <v>5.3431192660550462</v>
      </c>
      <c r="F69" s="161">
        <f t="shared" ref="F69" si="366">F68/F67</f>
        <v>5.3545454545454545</v>
      </c>
      <c r="G69" s="161">
        <f t="shared" ref="G69" si="367">G68/G67</f>
        <v>5.3510054844606945</v>
      </c>
      <c r="H69" s="162"/>
      <c r="I69" s="160">
        <f>I68/I67</f>
        <v>5.3570127504553735</v>
      </c>
      <c r="J69" s="161">
        <f t="shared" ref="J69" si="368">J68/J67</f>
        <v>5.3715846994535523</v>
      </c>
      <c r="K69" s="161">
        <f t="shared" ref="K69" si="369">K68/K67</f>
        <v>5.3890909090909087</v>
      </c>
      <c r="L69" s="161">
        <f t="shared" ref="L69" si="370">L68/L67</f>
        <v>5.4036363636363633</v>
      </c>
      <c r="M69" s="162"/>
      <c r="N69" s="160">
        <f>N68/N67</f>
        <v>5.4246823956442833</v>
      </c>
      <c r="O69" s="161">
        <f t="shared" ref="O69" si="371">O68/O67</f>
        <v>5.450271247739602</v>
      </c>
      <c r="P69" s="161">
        <f>P68/P67</f>
        <v>5.4484629294755873</v>
      </c>
      <c r="Q69" s="161">
        <f>Q68/Q67</f>
        <v>5.4484629294755873</v>
      </c>
      <c r="R69" s="257"/>
      <c r="S69" s="161">
        <f t="shared" ref="S69:V69" si="372">S68/S67</f>
        <v>5.4484629294755882</v>
      </c>
      <c r="T69" s="161">
        <f t="shared" si="372"/>
        <v>5.4484629294755891</v>
      </c>
      <c r="U69" s="161">
        <f t="shared" si="372"/>
        <v>5.4484629294755891</v>
      </c>
      <c r="V69" s="161">
        <f t="shared" si="372"/>
        <v>5.44846292947559</v>
      </c>
      <c r="W69" s="162"/>
      <c r="X69" s="161">
        <f t="shared" ref="X69" si="373">X68/X67</f>
        <v>5.44846292947559</v>
      </c>
      <c r="Y69" s="161">
        <f t="shared" ref="Y69" si="374">Y68/Y67</f>
        <v>5.4484629294755891</v>
      </c>
      <c r="Z69" s="161">
        <f t="shared" ref="Z69" si="375">Z68/Z67</f>
        <v>5.4484629294755891</v>
      </c>
      <c r="AA69" s="161">
        <f t="shared" ref="AA69" si="376">AA68/AA67</f>
        <v>5.4484629294755891</v>
      </c>
      <c r="AB69" s="162"/>
      <c r="AC69" s="161">
        <f t="shared" ref="AC69" si="377">AC68/AC67</f>
        <v>5.4484629294755891</v>
      </c>
      <c r="AD69" s="161">
        <f t="shared" ref="AD69" si="378">AD68/AD67</f>
        <v>5.4484629294755891</v>
      </c>
      <c r="AE69" s="161">
        <f t="shared" ref="AE69" si="379">AE68/AE67</f>
        <v>5.4484629294755891</v>
      </c>
      <c r="AF69" s="161">
        <f t="shared" ref="AF69" si="380">AF68/AF67</f>
        <v>5.4484629294755891</v>
      </c>
      <c r="AG69" s="162"/>
      <c r="AH69" s="161">
        <f t="shared" ref="AH69" si="381">AH68/AH67</f>
        <v>5.4484629294755882</v>
      </c>
      <c r="AI69" s="161">
        <f t="shared" ref="AI69" si="382">AI68/AI67</f>
        <v>5.4484629294755891</v>
      </c>
      <c r="AJ69" s="161">
        <f t="shared" ref="AJ69" si="383">AJ68/AJ67</f>
        <v>5.4484629294755891</v>
      </c>
      <c r="AK69" s="161">
        <f t="shared" ref="AK69" si="384">AK68/AK67</f>
        <v>5.4484629294755891</v>
      </c>
      <c r="AL69" s="162"/>
    </row>
    <row r="70" spans="2:38" ht="16.2" hidden="1" outlineLevel="1" x14ac:dyDescent="0.45">
      <c r="B70" s="282" t="s">
        <v>237</v>
      </c>
      <c r="C70" s="283"/>
      <c r="D70" s="37"/>
      <c r="E70" s="105">
        <f>E71-D71</f>
        <v>0</v>
      </c>
      <c r="F70" s="105">
        <f t="shared" ref="F70" si="385">F71-E71</f>
        <v>5</v>
      </c>
      <c r="G70" s="105">
        <f t="shared" ref="G70" si="386">G71-F71</f>
        <v>-82</v>
      </c>
      <c r="H70" s="74"/>
      <c r="I70" s="105">
        <f>I71-G71</f>
        <v>2</v>
      </c>
      <c r="J70" s="105">
        <f>J71-I71</f>
        <v>1</v>
      </c>
      <c r="K70" s="105">
        <f t="shared" ref="K70" si="387">K71-J71</f>
        <v>5</v>
      </c>
      <c r="L70" s="105">
        <f t="shared" ref="L70" si="388">L71-K71</f>
        <v>-3</v>
      </c>
      <c r="M70" s="233"/>
      <c r="N70" s="105">
        <f>N71-L71</f>
        <v>2</v>
      </c>
      <c r="O70" s="105">
        <f>O71-N71</f>
        <v>0</v>
      </c>
      <c r="P70" s="105">
        <f>P71-O71</f>
        <v>0</v>
      </c>
      <c r="Q70" s="105">
        <f>Q71-P71</f>
        <v>0.68856806128461301</v>
      </c>
      <c r="R70" s="243"/>
      <c r="S70" s="105">
        <f>S71-Q71</f>
        <v>0.65232763700647922</v>
      </c>
      <c r="T70" s="105">
        <f t="shared" ref="T70" si="389">T71-S71</f>
        <v>0.43488509133766229</v>
      </c>
      <c r="U70" s="105">
        <f t="shared" ref="U70" si="390">U71-T71</f>
        <v>0.47112551561578186</v>
      </c>
      <c r="V70" s="105">
        <f t="shared" ref="V70" si="391">V71-U71</f>
        <v>0.43488509133766229</v>
      </c>
      <c r="W70" s="74"/>
      <c r="X70" s="105">
        <f>X71-V71</f>
        <v>0.47112551561579608</v>
      </c>
      <c r="Y70" s="105">
        <f t="shared" ref="Y70" si="392">Y71-X71</f>
        <v>0.36240424278136629</v>
      </c>
      <c r="Z70" s="105">
        <f t="shared" ref="Z70" si="393">Z71-Y71</f>
        <v>0.47112551561579608</v>
      </c>
      <c r="AA70" s="105">
        <f t="shared" ref="AA70" si="394">AA71-Z71</f>
        <v>0.50736593989392986</v>
      </c>
      <c r="AB70" s="74"/>
      <c r="AC70" s="105">
        <f>AC71-AA71</f>
        <v>0.47112551561579608</v>
      </c>
      <c r="AD70" s="105">
        <f t="shared" ref="AD70" si="395">AD71-AC71</f>
        <v>0.3624042427813805</v>
      </c>
      <c r="AE70" s="105">
        <f t="shared" ref="AE70" si="396">AE71-AD71</f>
        <v>0.47112551561579608</v>
      </c>
      <c r="AF70" s="105">
        <f t="shared" ref="AF70" si="397">AF71-AE71</f>
        <v>0.50736593989392986</v>
      </c>
      <c r="AG70" s="74"/>
      <c r="AH70" s="105">
        <f>AH71-AF71</f>
        <v>0.47112551561579608</v>
      </c>
      <c r="AI70" s="105">
        <f t="shared" ref="AI70" si="398">AI71-AH71</f>
        <v>0.36240424278136629</v>
      </c>
      <c r="AJ70" s="105">
        <f t="shared" ref="AJ70" si="399">AJ71-AI71</f>
        <v>0.47112551561579608</v>
      </c>
      <c r="AK70" s="105">
        <f t="shared" ref="AK70" si="400">AK71-AJ71</f>
        <v>0.50736593989392986</v>
      </c>
      <c r="AL70" s="74"/>
    </row>
    <row r="71" spans="2:38" hidden="1" outlineLevel="1" x14ac:dyDescent="0.3">
      <c r="B71" s="282" t="s">
        <v>238</v>
      </c>
      <c r="C71" s="283"/>
      <c r="D71" s="37">
        <v>193</v>
      </c>
      <c r="E71" s="105">
        <v>193</v>
      </c>
      <c r="F71" s="105">
        <v>198</v>
      </c>
      <c r="G71" s="105">
        <v>116</v>
      </c>
      <c r="H71" s="74"/>
      <c r="I71" s="37">
        <v>118</v>
      </c>
      <c r="J71" s="105">
        <v>119</v>
      </c>
      <c r="K71" s="105">
        <v>124</v>
      </c>
      <c r="L71" s="105">
        <v>121</v>
      </c>
      <c r="M71" s="233"/>
      <c r="N71" s="105">
        <v>123</v>
      </c>
      <c r="O71" s="105">
        <v>123</v>
      </c>
      <c r="P71" s="37">
        <v>123</v>
      </c>
      <c r="Q71" s="37">
        <f>P71/P80*Q80</f>
        <v>123.68856806128461</v>
      </c>
      <c r="R71" s="233"/>
      <c r="S71" s="37">
        <f>Q71/Q80*S80</f>
        <v>124.34089569829109</v>
      </c>
      <c r="T71" s="37">
        <f t="shared" ref="S71:V71" si="401">S71/S80*T80</f>
        <v>124.77578078962875</v>
      </c>
      <c r="U71" s="37">
        <f t="shared" si="401"/>
        <v>125.24690630524454</v>
      </c>
      <c r="V71" s="37">
        <f t="shared" si="401"/>
        <v>125.6817913965822</v>
      </c>
      <c r="W71" s="233"/>
      <c r="X71" s="37">
        <f>V71/V80*X80</f>
        <v>126.15291691219799</v>
      </c>
      <c r="Y71" s="37">
        <f t="shared" ref="Y71:AA71" si="402">X71/X80*Y80</f>
        <v>126.51532115497936</v>
      </c>
      <c r="Z71" s="37">
        <f t="shared" si="402"/>
        <v>126.98644667059516</v>
      </c>
      <c r="AA71" s="37">
        <f t="shared" si="402"/>
        <v>127.49381261048909</v>
      </c>
      <c r="AB71" s="233"/>
      <c r="AC71" s="37">
        <f>AA71/AA80*AC80</f>
        <v>127.96493812610488</v>
      </c>
      <c r="AD71" s="37">
        <f t="shared" ref="AD71:AF71" si="403">AC71/AC80*AD80</f>
        <v>128.32734236888626</v>
      </c>
      <c r="AE71" s="37">
        <f t="shared" si="403"/>
        <v>128.79846788450206</v>
      </c>
      <c r="AF71" s="37">
        <f t="shared" si="403"/>
        <v>129.30583382439599</v>
      </c>
      <c r="AG71" s="233"/>
      <c r="AH71" s="37">
        <f>AF71/AF80*AH80</f>
        <v>129.77695934001179</v>
      </c>
      <c r="AI71" s="37">
        <f t="shared" ref="AI71:AK71" si="404">AH71/AH80*AI80</f>
        <v>130.13936358279315</v>
      </c>
      <c r="AJ71" s="37">
        <f t="shared" si="404"/>
        <v>130.61048909840895</v>
      </c>
      <c r="AK71" s="37">
        <f t="shared" si="404"/>
        <v>131.11785503830288</v>
      </c>
      <c r="AL71" s="233"/>
    </row>
    <row r="72" spans="2:38" hidden="1" outlineLevel="1" x14ac:dyDescent="0.3">
      <c r="B72" s="282" t="s">
        <v>253</v>
      </c>
      <c r="C72" s="283"/>
      <c r="D72" s="37">
        <v>366</v>
      </c>
      <c r="E72" s="105">
        <v>366</v>
      </c>
      <c r="F72" s="105">
        <v>371</v>
      </c>
      <c r="G72" s="105">
        <v>244</v>
      </c>
      <c r="H72" s="74"/>
      <c r="I72" s="37">
        <v>247</v>
      </c>
      <c r="J72" s="105">
        <v>251</v>
      </c>
      <c r="K72" s="105">
        <v>260</v>
      </c>
      <c r="L72" s="105">
        <v>259</v>
      </c>
      <c r="M72" s="233"/>
      <c r="N72" s="105">
        <v>269</v>
      </c>
      <c r="O72" s="105">
        <v>269</v>
      </c>
      <c r="P72" s="105">
        <v>268</v>
      </c>
      <c r="Q72" s="105">
        <f>P72/P82*Q82</f>
        <v>269.50029463759574</v>
      </c>
      <c r="R72" s="233"/>
      <c r="S72" s="105">
        <f>Q72/Q82*S82</f>
        <v>270.92162639952858</v>
      </c>
      <c r="T72" s="105">
        <f t="shared" ref="S72:V72" si="405">S72/S82*T82</f>
        <v>271.86918090748384</v>
      </c>
      <c r="U72" s="105">
        <f t="shared" si="405"/>
        <v>272.89569829110201</v>
      </c>
      <c r="V72" s="105">
        <f t="shared" si="405"/>
        <v>273.84325279905721</v>
      </c>
      <c r="W72" s="233"/>
      <c r="X72" s="105">
        <f>V72/V82*X82</f>
        <v>274.86977018267532</v>
      </c>
      <c r="Y72" s="105">
        <f t="shared" ref="Y72:AA72" si="406">X72/X82*Y82</f>
        <v>275.65939893930459</v>
      </c>
      <c r="Z72" s="105">
        <f t="shared" si="406"/>
        <v>276.68591632292271</v>
      </c>
      <c r="AA72" s="105">
        <f t="shared" si="406"/>
        <v>277.79139658220379</v>
      </c>
      <c r="AB72" s="233"/>
      <c r="AC72" s="105">
        <f>AA72/AA82*AC82</f>
        <v>278.81791396582196</v>
      </c>
      <c r="AD72" s="105">
        <f t="shared" ref="AD72:AF72" si="407">AC72/AC82*AD82</f>
        <v>279.60754272245129</v>
      </c>
      <c r="AE72" s="105">
        <f t="shared" si="407"/>
        <v>280.63406010606946</v>
      </c>
      <c r="AF72" s="105">
        <f t="shared" si="407"/>
        <v>281.73954036535054</v>
      </c>
      <c r="AG72" s="233"/>
      <c r="AH72" s="105">
        <f>AF72/AF82*AH82</f>
        <v>282.76605774896865</v>
      </c>
      <c r="AI72" s="105">
        <f t="shared" ref="AI72:AK72" si="408">AH72/AH82*AI82</f>
        <v>283.55568650559803</v>
      </c>
      <c r="AJ72" s="105">
        <f t="shared" si="408"/>
        <v>284.58220388921615</v>
      </c>
      <c r="AK72" s="105">
        <f t="shared" si="408"/>
        <v>285.68768414849723</v>
      </c>
      <c r="AL72" s="233"/>
    </row>
    <row r="73" spans="2:38" s="129" customFormat="1" hidden="1" outlineLevel="1" x14ac:dyDescent="0.3">
      <c r="B73" s="234" t="s">
        <v>263</v>
      </c>
      <c r="C73" s="235"/>
      <c r="D73" s="160">
        <f>D72/D71</f>
        <v>1.8963730569948187</v>
      </c>
      <c r="E73" s="161">
        <f t="shared" ref="E73" si="409">E72/E71</f>
        <v>1.8963730569948187</v>
      </c>
      <c r="F73" s="161">
        <f t="shared" ref="F73" si="410">F72/F71</f>
        <v>1.8737373737373737</v>
      </c>
      <c r="G73" s="161">
        <f t="shared" ref="G73" si="411">G72/G71</f>
        <v>2.103448275862069</v>
      </c>
      <c r="H73" s="162"/>
      <c r="I73" s="160">
        <f>I72/I71</f>
        <v>2.093220338983051</v>
      </c>
      <c r="J73" s="161">
        <f t="shared" ref="J73" si="412">J72/J71</f>
        <v>2.1092436974789917</v>
      </c>
      <c r="K73" s="161">
        <f t="shared" ref="K73" si="413">K72/K71</f>
        <v>2.096774193548387</v>
      </c>
      <c r="L73" s="161">
        <f t="shared" ref="L73" si="414">L72/L71</f>
        <v>2.1404958677685952</v>
      </c>
      <c r="M73" s="162"/>
      <c r="N73" s="160">
        <f>N72/N71</f>
        <v>2.1869918699186992</v>
      </c>
      <c r="O73" s="161">
        <f t="shared" ref="O73" si="415">O72/O71</f>
        <v>2.1869918699186992</v>
      </c>
      <c r="P73" s="161">
        <f>P72/P71</f>
        <v>2.178861788617886</v>
      </c>
      <c r="Q73" s="161">
        <f>Q72/Q71</f>
        <v>2.178861788617886</v>
      </c>
      <c r="R73" s="257"/>
      <c r="S73" s="161">
        <f t="shared" ref="S73:V73" si="416">S72/S71</f>
        <v>2.1788617886178865</v>
      </c>
      <c r="T73" s="161">
        <f t="shared" si="416"/>
        <v>2.1788617886178865</v>
      </c>
      <c r="U73" s="161">
        <f t="shared" si="416"/>
        <v>2.1788617886178869</v>
      </c>
      <c r="V73" s="161">
        <f t="shared" si="416"/>
        <v>2.1788617886178865</v>
      </c>
      <c r="W73" s="162"/>
      <c r="X73" s="161">
        <f t="shared" ref="X73" si="417">X72/X71</f>
        <v>2.1788617886178865</v>
      </c>
      <c r="Y73" s="161">
        <f t="shared" ref="Y73" si="418">Y72/Y71</f>
        <v>2.178861788617886</v>
      </c>
      <c r="Z73" s="161">
        <f t="shared" ref="Z73" si="419">Z72/Z71</f>
        <v>2.1788617886178856</v>
      </c>
      <c r="AA73" s="161">
        <f t="shared" ref="AA73" si="420">AA72/AA71</f>
        <v>2.1788617886178856</v>
      </c>
      <c r="AB73" s="162"/>
      <c r="AC73" s="161">
        <f t="shared" ref="AC73" si="421">AC72/AC71</f>
        <v>2.1788617886178856</v>
      </c>
      <c r="AD73" s="161">
        <f t="shared" ref="AD73" si="422">AD72/AD71</f>
        <v>2.1788617886178856</v>
      </c>
      <c r="AE73" s="161">
        <f t="shared" ref="AE73" si="423">AE72/AE71</f>
        <v>2.1788617886178856</v>
      </c>
      <c r="AF73" s="161">
        <f t="shared" ref="AF73" si="424">AF72/AF71</f>
        <v>2.1788617886178856</v>
      </c>
      <c r="AG73" s="162"/>
      <c r="AH73" s="161">
        <f t="shared" ref="AH73" si="425">AH72/AH71</f>
        <v>2.1788617886178852</v>
      </c>
      <c r="AI73" s="161">
        <f t="shared" ref="AI73" si="426">AI72/AI71</f>
        <v>2.1788617886178856</v>
      </c>
      <c r="AJ73" s="161">
        <f t="shared" ref="AJ73" si="427">AJ72/AJ71</f>
        <v>2.1788617886178856</v>
      </c>
      <c r="AK73" s="161">
        <f t="shared" ref="AK73" si="428">AK72/AK71</f>
        <v>2.1788617886178856</v>
      </c>
      <c r="AL73" s="162"/>
    </row>
    <row r="74" spans="2:38" ht="16.2" hidden="1" outlineLevel="1" x14ac:dyDescent="0.45">
      <c r="B74" s="282" t="s">
        <v>239</v>
      </c>
      <c r="C74" s="283"/>
      <c r="D74" s="37"/>
      <c r="E74" s="105">
        <f>E75-D75</f>
        <v>0</v>
      </c>
      <c r="F74" s="105">
        <f t="shared" ref="F74" si="429">F75-E75</f>
        <v>0</v>
      </c>
      <c r="G74" s="105">
        <f t="shared" ref="G74" si="430">G75-F75</f>
        <v>83</v>
      </c>
      <c r="H74" s="74"/>
      <c r="I74" s="105">
        <f>I75-G75</f>
        <v>1</v>
      </c>
      <c r="J74" s="105">
        <f>J75-I75</f>
        <v>0</v>
      </c>
      <c r="K74" s="105">
        <f t="shared" ref="K74" si="431">K75-J75</f>
        <v>5</v>
      </c>
      <c r="L74" s="105">
        <f t="shared" ref="L74" si="432">L75-K75</f>
        <v>-1</v>
      </c>
      <c r="M74" s="233"/>
      <c r="N74" s="105">
        <f>N75-L75</f>
        <v>0</v>
      </c>
      <c r="O74" s="105">
        <f>O75-N75</f>
        <v>0</v>
      </c>
      <c r="P74" s="105">
        <f>P75-O75</f>
        <v>-2</v>
      </c>
      <c r="Q74" s="105">
        <f>Q75-P75</f>
        <v>0.48143783146730357</v>
      </c>
      <c r="R74" s="243"/>
      <c r="S74" s="105">
        <f>S75-Q75</f>
        <v>0.45609899823216438</v>
      </c>
      <c r="T74" s="105">
        <f t="shared" ref="T74" si="433">T75-S75</f>
        <v>0.30406599882144292</v>
      </c>
      <c r="U74" s="105">
        <f t="shared" ref="U74" si="434">U75-T75</f>
        <v>0.3294048320565679</v>
      </c>
      <c r="V74" s="105">
        <f t="shared" ref="V74" si="435">V75-U75</f>
        <v>0.30406599882145713</v>
      </c>
      <c r="W74" s="74"/>
      <c r="X74" s="105">
        <f>X75-V75</f>
        <v>0.3294048320565679</v>
      </c>
      <c r="Y74" s="105">
        <f t="shared" ref="Y74" si="436">Y75-X75</f>
        <v>0.25338833235120717</v>
      </c>
      <c r="Z74" s="105">
        <f t="shared" ref="Z74" si="437">Z75-Y75</f>
        <v>0.3294048320565679</v>
      </c>
      <c r="AA74" s="105">
        <f t="shared" ref="AA74" si="438">AA75-Z75</f>
        <v>0.35474366529169288</v>
      </c>
      <c r="AB74" s="74"/>
      <c r="AC74" s="105">
        <f>AC75-AA75</f>
        <v>0.3294048320565679</v>
      </c>
      <c r="AD74" s="105">
        <f t="shared" ref="AD74" si="439">AD75-AC75</f>
        <v>0.25338833235120717</v>
      </c>
      <c r="AE74" s="105">
        <f t="shared" ref="AE74" si="440">AE75-AD75</f>
        <v>0.3294048320565679</v>
      </c>
      <c r="AF74" s="105">
        <f t="shared" ref="AF74" si="441">AF75-AE75</f>
        <v>0.35474366529167867</v>
      </c>
      <c r="AG74" s="74"/>
      <c r="AH74" s="105">
        <f>AH75-AF75</f>
        <v>0.3294048320565679</v>
      </c>
      <c r="AI74" s="105">
        <f t="shared" ref="AI74" si="442">AI75-AH75</f>
        <v>0.25338833235120717</v>
      </c>
      <c r="AJ74" s="105">
        <f t="shared" ref="AJ74" si="443">AJ75-AI75</f>
        <v>0.3294048320565679</v>
      </c>
      <c r="AK74" s="105">
        <f t="shared" ref="AK74" si="444">AK75-AJ75</f>
        <v>0.35474366529169288</v>
      </c>
      <c r="AL74" s="74"/>
    </row>
    <row r="75" spans="2:38" hidden="1" outlineLevel="1" x14ac:dyDescent="0.3">
      <c r="B75" s="282" t="s">
        <v>240</v>
      </c>
      <c r="C75" s="283"/>
      <c r="D75" s="37">
        <v>0</v>
      </c>
      <c r="E75" s="105">
        <v>0</v>
      </c>
      <c r="F75" s="105">
        <v>0</v>
      </c>
      <c r="G75" s="105">
        <v>83</v>
      </c>
      <c r="H75" s="74"/>
      <c r="I75" s="37">
        <v>84</v>
      </c>
      <c r="J75" s="105">
        <v>84</v>
      </c>
      <c r="K75" s="105">
        <v>89</v>
      </c>
      <c r="L75" s="105">
        <v>88</v>
      </c>
      <c r="M75" s="233"/>
      <c r="N75" s="105">
        <v>88</v>
      </c>
      <c r="O75" s="105">
        <v>88</v>
      </c>
      <c r="P75" s="37">
        <v>86</v>
      </c>
      <c r="Q75" s="37">
        <f>P75/P80*Q80</f>
        <v>86.481437831467304</v>
      </c>
      <c r="R75" s="233"/>
      <c r="S75" s="37">
        <f>Q75/Q80*S80</f>
        <v>86.937536829699468</v>
      </c>
      <c r="T75" s="37">
        <f t="shared" ref="S75:V75" si="445">S75/S80*T80</f>
        <v>87.241602828520911</v>
      </c>
      <c r="U75" s="37">
        <f t="shared" si="445"/>
        <v>87.571007660577479</v>
      </c>
      <c r="V75" s="37">
        <f t="shared" si="445"/>
        <v>87.875073659398936</v>
      </c>
      <c r="W75" s="233"/>
      <c r="X75" s="37">
        <f>V75/V80*X80</f>
        <v>88.204478491455504</v>
      </c>
      <c r="Y75" s="37">
        <f t="shared" ref="Y75:AA75" si="446">X75/X80*Y80</f>
        <v>88.457866823806711</v>
      </c>
      <c r="Z75" s="37">
        <f t="shared" si="446"/>
        <v>88.787271655863279</v>
      </c>
      <c r="AA75" s="37">
        <f t="shared" si="446"/>
        <v>89.142015321154972</v>
      </c>
      <c r="AB75" s="233"/>
      <c r="AC75" s="37">
        <f>AA75/AA80*AC80</f>
        <v>89.47142015321154</v>
      </c>
      <c r="AD75" s="37">
        <f t="shared" ref="AD75:AF75" si="447">AC75/AC80*AD80</f>
        <v>89.724808485562747</v>
      </c>
      <c r="AE75" s="37">
        <f t="shared" si="447"/>
        <v>90.054213317619315</v>
      </c>
      <c r="AF75" s="37">
        <f t="shared" si="447"/>
        <v>90.408956982910993</v>
      </c>
      <c r="AG75" s="233"/>
      <c r="AH75" s="37">
        <f>AF75/AF80*AH80</f>
        <v>90.738361814967561</v>
      </c>
      <c r="AI75" s="37">
        <f t="shared" ref="AI75:AK75" si="448">AH75/AH80*AI80</f>
        <v>90.991750147318768</v>
      </c>
      <c r="AJ75" s="37">
        <f t="shared" si="448"/>
        <v>91.321154979375336</v>
      </c>
      <c r="AK75" s="37">
        <f t="shared" si="448"/>
        <v>91.675898644667029</v>
      </c>
      <c r="AL75" s="233"/>
    </row>
    <row r="76" spans="2:38" hidden="1" outlineLevel="1" x14ac:dyDescent="0.3">
      <c r="B76" s="282" t="s">
        <v>246</v>
      </c>
      <c r="C76" s="283"/>
      <c r="D76" s="37">
        <v>0</v>
      </c>
      <c r="E76" s="105">
        <v>0</v>
      </c>
      <c r="F76" s="105">
        <v>0</v>
      </c>
      <c r="G76" s="105">
        <v>129</v>
      </c>
      <c r="H76" s="74"/>
      <c r="I76" s="37">
        <v>130</v>
      </c>
      <c r="J76" s="105">
        <v>130</v>
      </c>
      <c r="K76" s="105">
        <v>140</v>
      </c>
      <c r="L76" s="105">
        <v>139</v>
      </c>
      <c r="M76" s="233"/>
      <c r="N76" s="105">
        <v>139</v>
      </c>
      <c r="O76" s="105">
        <v>139</v>
      </c>
      <c r="P76" s="105">
        <v>136</v>
      </c>
      <c r="Q76" s="105">
        <f>P76/P82*Q82</f>
        <v>136.76134354743664</v>
      </c>
      <c r="R76" s="233"/>
      <c r="S76" s="105">
        <f>Q76/Q82*S82</f>
        <v>137.48261638185033</v>
      </c>
      <c r="T76" s="105">
        <f t="shared" ref="S76:V76" si="449">S76/S82*T82</f>
        <v>137.96346493812612</v>
      </c>
      <c r="U76" s="105">
        <f t="shared" si="449"/>
        <v>138.48438420742491</v>
      </c>
      <c r="V76" s="105">
        <f t="shared" si="449"/>
        <v>138.9652327637007</v>
      </c>
      <c r="W76" s="233"/>
      <c r="X76" s="105">
        <f>V76/V82*X82</f>
        <v>139.48615203299943</v>
      </c>
      <c r="Y76" s="105">
        <f t="shared" ref="Y76:AA76" si="450">X76/X82*Y82</f>
        <v>139.88685916322925</v>
      </c>
      <c r="Z76" s="105">
        <f t="shared" si="450"/>
        <v>140.40777843252798</v>
      </c>
      <c r="AA76" s="105">
        <f t="shared" si="450"/>
        <v>140.96876841484971</v>
      </c>
      <c r="AB76" s="233"/>
      <c r="AC76" s="105">
        <f>AA76/AA82*AC82</f>
        <v>141.48968768414846</v>
      </c>
      <c r="AD76" s="105">
        <f t="shared" ref="AD76:AF76" si="451">AC76/AC82*AD82</f>
        <v>141.89039481437828</v>
      </c>
      <c r="AE76" s="105">
        <f t="shared" si="451"/>
        <v>142.41131408367704</v>
      </c>
      <c r="AF76" s="105">
        <f t="shared" si="451"/>
        <v>142.9723040659988</v>
      </c>
      <c r="AG76" s="233"/>
      <c r="AH76" s="105">
        <f>AF76/AF82*AH82</f>
        <v>143.49322333529756</v>
      </c>
      <c r="AI76" s="105">
        <f t="shared" ref="AI76:AK76" si="452">AH76/AH82*AI82</f>
        <v>143.89393046552738</v>
      </c>
      <c r="AJ76" s="105">
        <f t="shared" si="452"/>
        <v>144.41484973482613</v>
      </c>
      <c r="AK76" s="105">
        <f t="shared" si="452"/>
        <v>144.97583971714786</v>
      </c>
      <c r="AL76" s="233"/>
    </row>
    <row r="77" spans="2:38" s="129" customFormat="1" hidden="1" outlineLevel="1" x14ac:dyDescent="0.3">
      <c r="B77" s="234" t="s">
        <v>264</v>
      </c>
      <c r="C77" s="235"/>
      <c r="D77" s="160"/>
      <c r="E77" s="161"/>
      <c r="F77" s="161"/>
      <c r="G77" s="161">
        <f t="shared" ref="G77" si="453">G76/G75</f>
        <v>1.5542168674698795</v>
      </c>
      <c r="H77" s="162"/>
      <c r="I77" s="160">
        <f>I76/I75</f>
        <v>1.5476190476190477</v>
      </c>
      <c r="J77" s="161">
        <f t="shared" ref="J77" si="454">J76/J75</f>
        <v>1.5476190476190477</v>
      </c>
      <c r="K77" s="161">
        <f t="shared" ref="K77" si="455">K76/K75</f>
        <v>1.5730337078651686</v>
      </c>
      <c r="L77" s="161">
        <f t="shared" ref="L77" si="456">L76/L75</f>
        <v>1.5795454545454546</v>
      </c>
      <c r="M77" s="162"/>
      <c r="N77" s="160">
        <f>N76/N75</f>
        <v>1.5795454545454546</v>
      </c>
      <c r="O77" s="161">
        <f t="shared" ref="O77" si="457">O76/O75</f>
        <v>1.5795454545454546</v>
      </c>
      <c r="P77" s="161">
        <f>P76/P75</f>
        <v>1.5813953488372092</v>
      </c>
      <c r="Q77" s="161">
        <f>Q76/Q75</f>
        <v>1.581395348837209</v>
      </c>
      <c r="R77" s="257"/>
      <c r="S77" s="161">
        <f t="shared" ref="S77:V77" si="458">S76/S75</f>
        <v>1.5813953488372094</v>
      </c>
      <c r="T77" s="161">
        <f t="shared" si="458"/>
        <v>1.5813953488372097</v>
      </c>
      <c r="U77" s="161">
        <f t="shared" si="458"/>
        <v>1.5813953488372099</v>
      </c>
      <c r="V77" s="161">
        <f t="shared" si="458"/>
        <v>1.5813953488372099</v>
      </c>
      <c r="W77" s="162"/>
      <c r="X77" s="161">
        <f t="shared" ref="X77" si="459">X76/X75</f>
        <v>1.5813953488372097</v>
      </c>
      <c r="Y77" s="161">
        <f t="shared" ref="Y77" si="460">Y76/Y75</f>
        <v>1.5813953488372097</v>
      </c>
      <c r="Z77" s="161">
        <f t="shared" ref="Z77" si="461">Z76/Z75</f>
        <v>1.5813953488372092</v>
      </c>
      <c r="AA77" s="161">
        <f t="shared" ref="AA77" si="462">AA76/AA75</f>
        <v>1.581395348837209</v>
      </c>
      <c r="AB77" s="162"/>
      <c r="AC77" s="161">
        <f t="shared" ref="AC77" si="463">AC76/AC75</f>
        <v>1.581395348837209</v>
      </c>
      <c r="AD77" s="161">
        <f t="shared" ref="AD77" si="464">AD76/AD75</f>
        <v>1.5813953488372092</v>
      </c>
      <c r="AE77" s="161">
        <f t="shared" ref="AE77" si="465">AE76/AE75</f>
        <v>1.5813953488372092</v>
      </c>
      <c r="AF77" s="161">
        <f t="shared" ref="AF77" si="466">AF76/AF75</f>
        <v>1.5813953488372094</v>
      </c>
      <c r="AG77" s="162"/>
      <c r="AH77" s="161">
        <f t="shared" ref="AH77" si="467">AH76/AH75</f>
        <v>1.5813953488372094</v>
      </c>
      <c r="AI77" s="161">
        <f t="shared" ref="AI77" si="468">AI76/AI75</f>
        <v>1.5813953488372094</v>
      </c>
      <c r="AJ77" s="161">
        <f t="shared" ref="AJ77" si="469">AJ76/AJ75</f>
        <v>1.5813953488372094</v>
      </c>
      <c r="AK77" s="161">
        <f t="shared" ref="AK77" si="470">AK76/AK75</f>
        <v>1.5813953488372094</v>
      </c>
      <c r="AL77" s="162"/>
    </row>
    <row r="78" spans="2:38" collapsed="1" x14ac:dyDescent="0.3">
      <c r="B78" s="251" t="s">
        <v>204</v>
      </c>
      <c r="C78" s="252"/>
      <c r="D78" s="37">
        <f>(D35+D39+D43+D47+D51+D55+D59+D63+D67+D71+D75)-D80</f>
        <v>0</v>
      </c>
      <c r="E78" s="105">
        <f t="shared" ref="E78:G78" si="471">(E35+E39+E43+E47+E51+E55+E59+E63+E67+E71+E75)-E80</f>
        <v>0</v>
      </c>
      <c r="F78" s="105">
        <f t="shared" si="471"/>
        <v>0</v>
      </c>
      <c r="G78" s="105">
        <f t="shared" si="471"/>
        <v>0</v>
      </c>
      <c r="H78" s="74"/>
      <c r="I78" s="37">
        <f>(I35+I39+I43+I47+I51+I55+I59+I63+I67+I71+I75)-I80</f>
        <v>0</v>
      </c>
      <c r="J78" s="105">
        <f t="shared" ref="J78:L78" si="472">(J35+J39+J43+J47+J51+J55+J59+J63+J67+J71+J75)-J80</f>
        <v>0</v>
      </c>
      <c r="K78" s="105">
        <f t="shared" si="472"/>
        <v>0</v>
      </c>
      <c r="L78" s="105">
        <f t="shared" si="472"/>
        <v>0</v>
      </c>
      <c r="M78" s="74"/>
      <c r="N78" s="37">
        <f>(N35+N39+N43+N47+N51+N55+N59+N63+N67+N71+N75)-N80</f>
        <v>0</v>
      </c>
      <c r="O78" s="105">
        <f t="shared" ref="O78:Q78" si="473">(O35+O39+O43+O47+O51+O55+O59+O63+O67+O71+O75)-O80</f>
        <v>0</v>
      </c>
      <c r="P78" s="105">
        <f t="shared" si="473"/>
        <v>0</v>
      </c>
      <c r="Q78" s="105">
        <f t="shared" si="473"/>
        <v>0</v>
      </c>
      <c r="R78" s="74"/>
      <c r="S78" s="37">
        <f>(S35+S39+S43+S47+S51+S55+S59+S63+S67+S71+S75)-S80</f>
        <v>0</v>
      </c>
      <c r="T78" s="105">
        <f t="shared" ref="T78:V78" si="474">(T35+T39+T43+T47+T51+T55+T59+T63+T67+T71+T75)-T80</f>
        <v>0</v>
      </c>
      <c r="U78" s="105">
        <f t="shared" si="474"/>
        <v>0</v>
      </c>
      <c r="V78" s="105">
        <f t="shared" si="474"/>
        <v>0</v>
      </c>
      <c r="W78" s="74"/>
      <c r="X78" s="37">
        <f>(X35+X39+X43+X47+X51+X55+X59+X63+X67+X71+X75)-X80</f>
        <v>0</v>
      </c>
      <c r="Y78" s="105">
        <f t="shared" ref="Y78:AA78" si="475">(Y35+Y39+Y43+Y47+Y51+Y55+Y59+Y63+Y67+Y71+Y75)-Y80</f>
        <v>0</v>
      </c>
      <c r="Z78" s="105">
        <f t="shared" si="475"/>
        <v>0</v>
      </c>
      <c r="AA78" s="105">
        <f t="shared" si="475"/>
        <v>0</v>
      </c>
      <c r="AB78" s="74"/>
      <c r="AC78" s="37">
        <f>(AC35+AC39+AC43+AC47+AC51+AC55+AC59+AC63+AC67+AC71+AC75)-AC80</f>
        <v>0</v>
      </c>
      <c r="AD78" s="105">
        <f t="shared" ref="AD78:AF78" si="476">(AD35+AD39+AD43+AD47+AD51+AD55+AD59+AD63+AD67+AD71+AD75)-AD80</f>
        <v>0</v>
      </c>
      <c r="AE78" s="105">
        <f t="shared" si="476"/>
        <v>0</v>
      </c>
      <c r="AF78" s="105">
        <f t="shared" si="476"/>
        <v>0</v>
      </c>
      <c r="AG78" s="74"/>
      <c r="AH78" s="37">
        <f>(AH35+AH39+AH43+AH47+AH51+AH55+AH59+AH63+AH67+AH71+AH75)-AH80</f>
        <v>0</v>
      </c>
      <c r="AI78" s="105">
        <f t="shared" ref="AI78:AK78" si="477">(AI35+AI39+AI43+AI47+AI51+AI55+AI59+AI63+AI67+AI71+AI75)-AI80</f>
        <v>0</v>
      </c>
      <c r="AJ78" s="105">
        <f t="shared" si="477"/>
        <v>0</v>
      </c>
      <c r="AK78" s="105">
        <f t="shared" si="477"/>
        <v>0</v>
      </c>
      <c r="AL78" s="74"/>
    </row>
    <row r="79" spans="2:38" hidden="1" outlineLevel="1" x14ac:dyDescent="0.3">
      <c r="B79" s="211" t="s">
        <v>199</v>
      </c>
      <c r="C79" s="212"/>
      <c r="D79" s="37"/>
      <c r="E79" s="105">
        <v>-4</v>
      </c>
      <c r="F79" s="105">
        <v>13</v>
      </c>
      <c r="G79" s="105">
        <v>-46</v>
      </c>
      <c r="H79" s="74">
        <v>-37</v>
      </c>
      <c r="I79" s="37">
        <v>0</v>
      </c>
      <c r="J79" s="105">
        <v>-7</v>
      </c>
      <c r="K79" s="105">
        <v>2</v>
      </c>
      <c r="L79" s="105">
        <v>-49</v>
      </c>
      <c r="M79" s="74">
        <v>-54</v>
      </c>
      <c r="N79" s="105">
        <f>N80-L80</f>
        <v>13</v>
      </c>
      <c r="O79" s="105">
        <f>O80-N80</f>
        <v>5</v>
      </c>
      <c r="P79" s="105">
        <v>-7</v>
      </c>
      <c r="Q79" s="242">
        <v>19</v>
      </c>
      <c r="R79" s="233">
        <f>SUM(N79:Q79)</f>
        <v>30</v>
      </c>
      <c r="S79" s="242">
        <v>18</v>
      </c>
      <c r="T79" s="242">
        <v>12</v>
      </c>
      <c r="U79" s="242">
        <v>13</v>
      </c>
      <c r="V79" s="242">
        <v>12</v>
      </c>
      <c r="W79" s="233">
        <f>SUM(S79:V79)</f>
        <v>55</v>
      </c>
      <c r="X79" s="242">
        <v>13</v>
      </c>
      <c r="Y79" s="242">
        <v>10</v>
      </c>
      <c r="Z79" s="242">
        <v>13</v>
      </c>
      <c r="AA79" s="242">
        <v>14</v>
      </c>
      <c r="AB79" s="241">
        <f>SUM(X79:AA79)</f>
        <v>50</v>
      </c>
      <c r="AC79" s="242">
        <v>13</v>
      </c>
      <c r="AD79" s="242">
        <v>10</v>
      </c>
      <c r="AE79" s="242">
        <v>13</v>
      </c>
      <c r="AF79" s="242">
        <v>14</v>
      </c>
      <c r="AG79" s="241">
        <f>SUM(AC79:AF79)</f>
        <v>50</v>
      </c>
      <c r="AH79" s="242">
        <v>13</v>
      </c>
      <c r="AI79" s="242">
        <v>10</v>
      </c>
      <c r="AJ79" s="242">
        <v>13</v>
      </c>
      <c r="AK79" s="242">
        <v>14</v>
      </c>
      <c r="AL79" s="241">
        <f>SUM(AH79:AK79)</f>
        <v>50</v>
      </c>
    </row>
    <row r="80" spans="2:38" hidden="1" outlineLevel="1" x14ac:dyDescent="0.3">
      <c r="B80" s="231" t="s">
        <v>220</v>
      </c>
      <c r="C80" s="232"/>
      <c r="D80" s="37">
        <f>D35+D39+D43+D47+D51+D55+D59+D63+D67+D71+D75</f>
        <v>3464</v>
      </c>
      <c r="E80" s="37">
        <f>E35+E39+E43+E47+E51+E55+E59+E63+E67+E71+E75</f>
        <v>3460</v>
      </c>
      <c r="F80" s="37">
        <f>F35+F39+F43+F47+F51+F55+F59+F63+F67+F71+F75</f>
        <v>3474</v>
      </c>
      <c r="G80" s="37">
        <f>G35+G39+G43+G47+G51+G55+G59+G63+G67+G71+G75</f>
        <v>3423</v>
      </c>
      <c r="H80" s="74">
        <f>G80</f>
        <v>3423</v>
      </c>
      <c r="I80" s="37">
        <f>I35+I39+I43+I47+I51+I55+I59+I63+I67+I71+I75</f>
        <v>3419</v>
      </c>
      <c r="J80" s="37">
        <f>J35+J39+J43+J47+J51+J55+J59+J63+J67+J71+J75</f>
        <v>3419</v>
      </c>
      <c r="K80" s="37">
        <f>K35+K39+K43+K47+K51+K55+K59+K63+K67+K71+K75</f>
        <v>3432</v>
      </c>
      <c r="L80" s="37">
        <f>L35+L39+L43+L47+L51+L55+L59+L63+L67+L71+L75</f>
        <v>3383</v>
      </c>
      <c r="M80" s="74">
        <f>L80</f>
        <v>3383</v>
      </c>
      <c r="N80" s="37">
        <f>N35+N39+N43+N47+N51+N55+N59+N63+N67+N71+N75</f>
        <v>3396</v>
      </c>
      <c r="O80" s="37">
        <f>O35+O39+O43+O47+O51+O55+O59+O63+O67+O71+O75</f>
        <v>3401</v>
      </c>
      <c r="P80" s="105">
        <f>O80+P79</f>
        <v>3394</v>
      </c>
      <c r="Q80" s="105">
        <f>P80+Q79</f>
        <v>3413</v>
      </c>
      <c r="R80" s="233">
        <f>SUM(N80:Q80)</f>
        <v>13604</v>
      </c>
      <c r="S80" s="37">
        <f>Q80+S79</f>
        <v>3431</v>
      </c>
      <c r="T80" s="37">
        <f>S80+T79</f>
        <v>3443</v>
      </c>
      <c r="U80" s="37">
        <f t="shared" ref="U80:V80" si="478">T80+U79</f>
        <v>3456</v>
      </c>
      <c r="V80" s="37">
        <f t="shared" si="478"/>
        <v>3468</v>
      </c>
      <c r="W80" s="233">
        <f>SUM(S80:V80)</f>
        <v>13798</v>
      </c>
      <c r="X80" s="37">
        <f>V80+X79</f>
        <v>3481</v>
      </c>
      <c r="Y80" s="37">
        <f>X80+Y79</f>
        <v>3491</v>
      </c>
      <c r="Z80" s="37">
        <f t="shared" ref="Z80" si="479">Y80+Z79</f>
        <v>3504</v>
      </c>
      <c r="AA80" s="37">
        <f t="shared" ref="AA80" si="480">Z80+AA79</f>
        <v>3518</v>
      </c>
      <c r="AB80" s="74">
        <f>SUM(X80:AA80)</f>
        <v>13994</v>
      </c>
      <c r="AC80" s="37">
        <f>AA80+AC79</f>
        <v>3531</v>
      </c>
      <c r="AD80" s="37">
        <f>AC80+AD79</f>
        <v>3541</v>
      </c>
      <c r="AE80" s="37">
        <f t="shared" ref="AE80" si="481">AD80+AE79</f>
        <v>3554</v>
      </c>
      <c r="AF80" s="37">
        <f t="shared" ref="AF80" si="482">AE80+AF79</f>
        <v>3568</v>
      </c>
      <c r="AG80" s="74">
        <f>SUM(AC80:AF80)</f>
        <v>14194</v>
      </c>
      <c r="AH80" s="37">
        <f>AF80+AH79</f>
        <v>3581</v>
      </c>
      <c r="AI80" s="37">
        <f>AH80+AI79</f>
        <v>3591</v>
      </c>
      <c r="AJ80" s="37">
        <f t="shared" ref="AJ80" si="483">AI80+AJ79</f>
        <v>3604</v>
      </c>
      <c r="AK80" s="37">
        <f t="shared" ref="AK80" si="484">AJ80+AK79</f>
        <v>3618</v>
      </c>
      <c r="AL80" s="74">
        <f>SUM(AH80:AK80)</f>
        <v>14394</v>
      </c>
    </row>
    <row r="81" spans="2:39" s="75" customFormat="1" hidden="1" outlineLevel="1" x14ac:dyDescent="0.3">
      <c r="B81" s="231" t="s">
        <v>219</v>
      </c>
      <c r="C81" s="213"/>
      <c r="D81" s="37">
        <v>1657</v>
      </c>
      <c r="E81" s="105">
        <v>1468</v>
      </c>
      <c r="F81" s="105">
        <v>1521</v>
      </c>
      <c r="G81" s="105">
        <v>1640</v>
      </c>
      <c r="H81" s="74">
        <f>SUM(D81:G81)</f>
        <v>6286</v>
      </c>
      <c r="I81" s="105">
        <v>1681</v>
      </c>
      <c r="J81" s="37">
        <v>1503</v>
      </c>
      <c r="K81" s="37">
        <v>1571</v>
      </c>
      <c r="L81" s="37">
        <v>1713</v>
      </c>
      <c r="M81" s="74">
        <f>SUM(I81:L81)</f>
        <v>6468</v>
      </c>
      <c r="N81" s="105">
        <v>1735</v>
      </c>
      <c r="O81" s="105">
        <v>1576</v>
      </c>
      <c r="P81" s="242">
        <f>O81/(O81+O85)*P12</f>
        <v>1669.8516853932583</v>
      </c>
      <c r="Q81" s="37">
        <f>Q82*Q83/1000</f>
        <v>1814.6842247191007</v>
      </c>
      <c r="R81" s="233">
        <f>SUM(N81:Q81)</f>
        <v>6795.5359101123586</v>
      </c>
      <c r="S81" s="37">
        <f>S82*S83/1000</f>
        <v>1854.6284332584266</v>
      </c>
      <c r="T81" s="37">
        <f t="shared" ref="T81:V81" si="485">T82*T83/1000</f>
        <v>1601.2490309393261</v>
      </c>
      <c r="U81" s="37">
        <f t="shared" si="485"/>
        <v>1769.4488758896175</v>
      </c>
      <c r="V81" s="37">
        <f t="shared" si="485"/>
        <v>1668.6117318435759</v>
      </c>
      <c r="W81" s="233">
        <f>SUM(W35:W43)</f>
        <v>0</v>
      </c>
      <c r="X81" s="37">
        <f>X82*X83/1000</f>
        <v>1674.8666201117321</v>
      </c>
      <c r="Y81" s="37">
        <f t="shared" ref="Y81:AA81" si="486">Y82*Y83/1000</f>
        <v>1679.6780726256986</v>
      </c>
      <c r="Z81" s="37">
        <f t="shared" si="486"/>
        <v>1685.9329608938547</v>
      </c>
      <c r="AA81" s="37">
        <f t="shared" si="486"/>
        <v>1692.6689944134077</v>
      </c>
      <c r="AB81" s="74">
        <f>SUM(AB35:AB43)</f>
        <v>0</v>
      </c>
      <c r="AC81" s="37">
        <f>AC82*AC83/1000</f>
        <v>1698.9238826815642</v>
      </c>
      <c r="AD81" s="37">
        <f t="shared" ref="AD81:AF81" si="487">AD82*AD83/1000</f>
        <v>1703.7353351955308</v>
      </c>
      <c r="AE81" s="37">
        <f t="shared" si="487"/>
        <v>1709.9902234636872</v>
      </c>
      <c r="AF81" s="37">
        <f t="shared" si="487"/>
        <v>1716.7262569832403</v>
      </c>
      <c r="AG81" s="74">
        <f>SUM(AG35:AG43)</f>
        <v>0</v>
      </c>
      <c r="AH81" s="37">
        <f>AH82*AH83/1000</f>
        <v>1722.9811452513966</v>
      </c>
      <c r="AI81" s="37">
        <f t="shared" ref="AI81:AK81" si="488">AI82*AI83/1000</f>
        <v>1727.7925977653631</v>
      </c>
      <c r="AJ81" s="37">
        <f t="shared" si="488"/>
        <v>1734.0474860335196</v>
      </c>
      <c r="AK81" s="37">
        <f t="shared" si="488"/>
        <v>1740.7835195530727</v>
      </c>
      <c r="AL81" s="74">
        <f>SUM(AL35:AL43)</f>
        <v>0</v>
      </c>
    </row>
    <row r="82" spans="2:39" hidden="1" outlineLevel="1" x14ac:dyDescent="0.3">
      <c r="B82" s="225" t="s">
        <v>266</v>
      </c>
      <c r="C82" s="226"/>
      <c r="D82" s="105">
        <f>D36+D40+D44+D48+D52+D56+D60+D64+D68+D72+D76</f>
        <v>12738</v>
      </c>
      <c r="E82" s="105">
        <f>E36+E40+E44+E48+E52+E56+E60+E64+E68+E72+E76</f>
        <v>12790</v>
      </c>
      <c r="F82" s="105">
        <f>F36+F40+F44+F48+F52+F56+F60+F64+F68+F72+F76</f>
        <v>12908</v>
      </c>
      <c r="G82" s="105">
        <f>G36+G40+G44+G48+G52+G56+G60+G64+G68+G72+G76</f>
        <v>12734</v>
      </c>
      <c r="H82" s="74">
        <f>G82</f>
        <v>12734</v>
      </c>
      <c r="I82" s="105">
        <f>I36+I40+I44+I48+I52+I56+I60+I64+I68+I72+I76</f>
        <v>12798</v>
      </c>
      <c r="J82" s="105">
        <f>J36+J40+J44+J48+J52+J56+J60+J64+J68+J72+J76</f>
        <v>12869</v>
      </c>
      <c r="K82" s="105">
        <f>K36+K40+K44+K48+K52+K56+K60+K64+K68+K72+K76</f>
        <v>12992</v>
      </c>
      <c r="L82" s="105">
        <f>L36+L40+L44+L48+L52+L56+L60+L64+L68+L72+L76</f>
        <v>12918</v>
      </c>
      <c r="M82" s="74">
        <f>L82</f>
        <v>12918</v>
      </c>
      <c r="N82" s="105">
        <f>N36+N40+N44+N48+N52+N56+N60+N64+N68+N72+N76</f>
        <v>13007</v>
      </c>
      <c r="O82" s="105">
        <f>O36+O40+O44+O48+O52+O56+O60+O64+O68+O72+O76</f>
        <v>13091</v>
      </c>
      <c r="P82" s="37">
        <f>(O82/O80)*P80</f>
        <v>13064.055865921788</v>
      </c>
      <c r="Q82" s="37">
        <f>(P82/P80)*Q80</f>
        <v>13137.189944134077</v>
      </c>
      <c r="R82" s="233">
        <f>Q82</f>
        <v>13137.189944134077</v>
      </c>
      <c r="S82" s="37">
        <f>(Q82/Q80)*S80</f>
        <v>13206.474860335196</v>
      </c>
      <c r="T82" s="37">
        <f>(S82/S80)*T80</f>
        <v>13252.664804469276</v>
      </c>
      <c r="U82" s="37">
        <f>(T82/T80)*U80</f>
        <v>13302.703910614528</v>
      </c>
      <c r="V82" s="37">
        <f>(U82/U80)*V80</f>
        <v>13348.893854748607</v>
      </c>
      <c r="W82" s="233">
        <f>V82</f>
        <v>13348.893854748607</v>
      </c>
      <c r="X82" s="37">
        <f>(V82/V80)*X80</f>
        <v>13398.932960893857</v>
      </c>
      <c r="Y82" s="37">
        <f>(X82/X80)*Y80</f>
        <v>13437.424581005587</v>
      </c>
      <c r="Z82" s="37">
        <f>(Y82/Y80)*Z80</f>
        <v>13487.463687150837</v>
      </c>
      <c r="AA82" s="37">
        <f>(Z82/Z80)*AA80</f>
        <v>13541.351955307262</v>
      </c>
      <c r="AB82" s="74">
        <f>AA82</f>
        <v>13541.351955307262</v>
      </c>
      <c r="AC82" s="37">
        <f>(AA82/AA80)*AC80</f>
        <v>13591.391061452514</v>
      </c>
      <c r="AD82" s="37">
        <f>(AC82/AC80)*AD80</f>
        <v>13629.882681564246</v>
      </c>
      <c r="AE82" s="37">
        <f>(AD82/AD80)*AE80</f>
        <v>13679.921787709498</v>
      </c>
      <c r="AF82" s="37">
        <f>(AE82/AE80)*AF80</f>
        <v>13733.810055865923</v>
      </c>
      <c r="AG82" s="74">
        <f>AF82</f>
        <v>13733.810055865923</v>
      </c>
      <c r="AH82" s="37">
        <f>(AF82/AF80)*AH80</f>
        <v>13783.849162011173</v>
      </c>
      <c r="AI82" s="37">
        <f>(AH82/AH80)*AI80</f>
        <v>13822.340782122905</v>
      </c>
      <c r="AJ82" s="37">
        <f>(AI82/AI80)*AJ80</f>
        <v>13872.379888268157</v>
      </c>
      <c r="AK82" s="37">
        <f>(AJ82/AJ80)*AK80</f>
        <v>13926.268156424581</v>
      </c>
      <c r="AL82" s="74">
        <f>AK82</f>
        <v>13926.268156424581</v>
      </c>
    </row>
    <row r="83" spans="2:39" hidden="1" outlineLevel="1" x14ac:dyDescent="0.3">
      <c r="B83" s="318" t="s">
        <v>221</v>
      </c>
      <c r="C83" s="235"/>
      <c r="D83" s="160">
        <f>D81/D82*1000</f>
        <v>130.08321557544355</v>
      </c>
      <c r="E83" s="160">
        <f t="shared" ref="E83:N83" si="489">E81/E82*1000</f>
        <v>114.77716966379985</v>
      </c>
      <c r="F83" s="160">
        <f t="shared" si="489"/>
        <v>117.83390145646111</v>
      </c>
      <c r="G83" s="319">
        <f t="shared" si="489"/>
        <v>128.78906863514999</v>
      </c>
      <c r="H83" s="162">
        <f t="shared" si="489"/>
        <v>493.639076488142</v>
      </c>
      <c r="I83" s="160">
        <f t="shared" si="489"/>
        <v>131.34864822628538</v>
      </c>
      <c r="J83" s="160">
        <f t="shared" si="489"/>
        <v>116.79229155334525</v>
      </c>
      <c r="K83" s="160">
        <f t="shared" si="489"/>
        <v>120.92056650246305</v>
      </c>
      <c r="L83" s="160">
        <f t="shared" si="489"/>
        <v>132.60566651184394</v>
      </c>
      <c r="M83" s="162">
        <f t="shared" si="489"/>
        <v>500.69670227589415</v>
      </c>
      <c r="N83" s="160">
        <f t="shared" si="489"/>
        <v>133.38971323133697</v>
      </c>
      <c r="O83" s="160">
        <f>O81/O82*1000</f>
        <v>120.38805286074403</v>
      </c>
      <c r="P83" s="160">
        <f>P81/P82*1000</f>
        <v>127.8203111293443</v>
      </c>
      <c r="Q83" s="256">
        <v>138.13336279950647</v>
      </c>
      <c r="R83" s="257">
        <f>SUM(N83:Q83)</f>
        <v>519.73144002093181</v>
      </c>
      <c r="S83" s="256">
        <v>140.43326874673306</v>
      </c>
      <c r="T83" s="256">
        <v>120.82468353076638</v>
      </c>
      <c r="U83" s="256">
        <v>133.01422686539195</v>
      </c>
      <c r="V83" s="256">
        <v>125</v>
      </c>
      <c r="W83" s="257">
        <f>SUM(S83:V83)</f>
        <v>519.27217914289145</v>
      </c>
      <c r="X83" s="256">
        <v>125</v>
      </c>
      <c r="Y83" s="256">
        <v>125</v>
      </c>
      <c r="Z83" s="256">
        <v>125</v>
      </c>
      <c r="AA83" s="256">
        <v>125</v>
      </c>
      <c r="AB83" s="320">
        <f>SUM(X83:AA83)</f>
        <v>500</v>
      </c>
      <c r="AC83" s="256">
        <v>125</v>
      </c>
      <c r="AD83" s="256">
        <v>125</v>
      </c>
      <c r="AE83" s="256">
        <v>125</v>
      </c>
      <c r="AF83" s="256">
        <v>125</v>
      </c>
      <c r="AG83" s="320">
        <f>SUM(AC83:AF83)</f>
        <v>500</v>
      </c>
      <c r="AH83" s="256">
        <v>125</v>
      </c>
      <c r="AI83" s="256">
        <v>125</v>
      </c>
      <c r="AJ83" s="256">
        <v>125</v>
      </c>
      <c r="AK83" s="256">
        <v>125</v>
      </c>
      <c r="AL83" s="320">
        <f>SUM(AH83:AK83)</f>
        <v>500</v>
      </c>
    </row>
    <row r="84" spans="2:39" collapsed="1" x14ac:dyDescent="0.3">
      <c r="B84" s="254" t="s">
        <v>265</v>
      </c>
      <c r="C84" s="255"/>
      <c r="D84" s="37">
        <f>+D85+D81-D12</f>
        <v>0</v>
      </c>
      <c r="E84" s="37">
        <f t="shared" ref="E84:G84" si="490">+E85+E81-E12</f>
        <v>0</v>
      </c>
      <c r="F84" s="37">
        <f t="shared" si="490"/>
        <v>0</v>
      </c>
      <c r="G84" s="37">
        <f t="shared" si="490"/>
        <v>0</v>
      </c>
      <c r="H84" s="74"/>
      <c r="I84" s="37">
        <f t="shared" ref="I84:L84" si="491">+I85+I81-I12</f>
        <v>0</v>
      </c>
      <c r="J84" s="37">
        <f t="shared" si="491"/>
        <v>0</v>
      </c>
      <c r="K84" s="37">
        <f t="shared" si="491"/>
        <v>0</v>
      </c>
      <c r="L84" s="37">
        <f t="shared" si="491"/>
        <v>0</v>
      </c>
      <c r="M84" s="74"/>
      <c r="N84" s="37">
        <f t="shared" ref="N84" si="492">+N85+N81-N12</f>
        <v>0</v>
      </c>
      <c r="O84" s="37">
        <f t="shared" ref="O84" si="493">+O85+O81-O12</f>
        <v>0</v>
      </c>
      <c r="P84" s="37">
        <f t="shared" ref="P84" si="494">+P85+P81-P12</f>
        <v>0</v>
      </c>
      <c r="Q84" s="37">
        <f t="shared" ref="Q84" si="495">+Q85+Q81-Q12</f>
        <v>0</v>
      </c>
      <c r="R84" s="233"/>
      <c r="S84" s="37">
        <f t="shared" ref="S84" si="496">+S85+S81-S12</f>
        <v>0</v>
      </c>
      <c r="T84" s="37">
        <f t="shared" ref="T84" si="497">+T85+T81-T12</f>
        <v>0</v>
      </c>
      <c r="U84" s="37">
        <f t="shared" ref="U84" si="498">+U85+U81-U12</f>
        <v>0</v>
      </c>
      <c r="V84" s="37">
        <f t="shared" ref="V84" si="499">+V85+V81-V12</f>
        <v>0</v>
      </c>
      <c r="W84" s="233"/>
      <c r="X84" s="37">
        <f t="shared" ref="X84" si="500">+X85+X81-X12</f>
        <v>0</v>
      </c>
      <c r="Y84" s="37">
        <f t="shared" ref="Y84" si="501">+Y85+Y81-Y12</f>
        <v>0</v>
      </c>
      <c r="Z84" s="37">
        <f t="shared" ref="Z84" si="502">+Z85+Z81-Z12</f>
        <v>0</v>
      </c>
      <c r="AA84" s="37">
        <f t="shared" ref="AA84" si="503">+AA85+AA81-AA12</f>
        <v>0</v>
      </c>
      <c r="AB84" s="233"/>
      <c r="AC84" s="37">
        <f t="shared" ref="AC84" si="504">+AC85+AC81-AC12</f>
        <v>0</v>
      </c>
      <c r="AD84" s="37">
        <f t="shared" ref="AD84" si="505">+AD85+AD81-AD12</f>
        <v>0</v>
      </c>
      <c r="AE84" s="37">
        <f t="shared" ref="AE84" si="506">+AE85+AE81-AE12</f>
        <v>0</v>
      </c>
      <c r="AF84" s="37">
        <f t="shared" ref="AF84" si="507">+AF85+AF81-AF12</f>
        <v>0</v>
      </c>
      <c r="AG84" s="233"/>
      <c r="AH84" s="37">
        <f t="shared" ref="AH84" si="508">+AH85+AH81-AH12</f>
        <v>0</v>
      </c>
      <c r="AI84" s="37">
        <f t="shared" ref="AI84" si="509">+AI85+AI81-AI12</f>
        <v>0</v>
      </c>
      <c r="AJ84" s="37">
        <f t="shared" ref="AJ84" si="510">+AJ85+AJ81-AJ12</f>
        <v>0</v>
      </c>
      <c r="AK84" s="37">
        <f t="shared" ref="AK84" si="511">+AK85+AK81-AK12</f>
        <v>0</v>
      </c>
      <c r="AL84" s="233"/>
      <c r="AM84" s="67"/>
    </row>
    <row r="85" spans="2:39" s="153" customFormat="1" hidden="1" outlineLevel="1" x14ac:dyDescent="0.3">
      <c r="B85" s="282" t="s">
        <v>219</v>
      </c>
      <c r="C85" s="283"/>
      <c r="D85" s="37">
        <v>211</v>
      </c>
      <c r="E85" s="105">
        <v>173</v>
      </c>
      <c r="F85" s="105">
        <v>210</v>
      </c>
      <c r="G85" s="105">
        <v>271</v>
      </c>
      <c r="H85" s="74">
        <f>SUM(D85:G85)</f>
        <v>865</v>
      </c>
      <c r="I85" s="105">
        <v>235</v>
      </c>
      <c r="J85" s="37">
        <v>192</v>
      </c>
      <c r="K85" s="37">
        <v>223</v>
      </c>
      <c r="L85" s="37">
        <v>294</v>
      </c>
      <c r="M85" s="74">
        <f>SUM(I85:L85)</f>
        <v>944</v>
      </c>
      <c r="N85" s="37">
        <v>252</v>
      </c>
      <c r="O85" s="37">
        <v>204</v>
      </c>
      <c r="P85" s="242">
        <f>O85/(O85+O81)*P12</f>
        <v>216.14831460674156</v>
      </c>
      <c r="Q85" s="37">
        <f>P85*(1+Q86)</f>
        <v>285.31577528089889</v>
      </c>
      <c r="R85" s="74">
        <f>SUM(N85:Q85)</f>
        <v>957.46408988764051</v>
      </c>
      <c r="S85" s="37">
        <f>Q85*(1+S86)</f>
        <v>245.37156674157305</v>
      </c>
      <c r="T85" s="37">
        <f>S85*(1+T86)</f>
        <v>198.75096906067418</v>
      </c>
      <c r="U85" s="37">
        <f t="shared" ref="U85:V85" si="512">T85*(1+U86)</f>
        <v>230.55112411038203</v>
      </c>
      <c r="V85" s="37">
        <f t="shared" si="512"/>
        <v>304.32748382570429</v>
      </c>
      <c r="W85" s="74">
        <f>SUM(S85:V85)</f>
        <v>979.00114373833367</v>
      </c>
      <c r="X85" s="37">
        <f>V85*(1+X86)</f>
        <v>261.72163609010568</v>
      </c>
      <c r="Y85" s="37">
        <f>X85*(1+Y86)</f>
        <v>211.99452523298561</v>
      </c>
      <c r="Z85" s="37">
        <f t="shared" ref="Z85" si="513">Y85*(1+Z86)</f>
        <v>245.91364927026328</v>
      </c>
      <c r="AA85" s="37">
        <f t="shared" ref="AA85" si="514">Z85*(1+AA86)</f>
        <v>324.60601703674752</v>
      </c>
      <c r="AB85" s="74">
        <f>SUM(X85:AA85)</f>
        <v>1044.235827630102</v>
      </c>
      <c r="AC85" s="37">
        <f>AA85*(1+AC86)</f>
        <v>279.16117465160283</v>
      </c>
      <c r="AD85" s="37">
        <f>AC85*(1+AD86)</f>
        <v>226.12055146779832</v>
      </c>
      <c r="AE85" s="37">
        <f t="shared" ref="AE85" si="515">AD85*(1+AE86)</f>
        <v>262.29983970264601</v>
      </c>
      <c r="AF85" s="37">
        <f t="shared" ref="AF85" si="516">AE85*(1+AF86)</f>
        <v>346.23578840749275</v>
      </c>
      <c r="AG85" s="74">
        <f>SUM(AC85:AF85)</f>
        <v>1113.8173542295399</v>
      </c>
      <c r="AH85" s="37">
        <f>AF85*(1+AH86)</f>
        <v>297.76277803044377</v>
      </c>
      <c r="AI85" s="37">
        <f>AH85*(1+AI86)</f>
        <v>241.18785020465947</v>
      </c>
      <c r="AJ85" s="37">
        <f t="shared" ref="AJ85" si="517">AI85*(1+AJ86)</f>
        <v>279.77790623740498</v>
      </c>
      <c r="AK85" s="37">
        <f t="shared" ref="AK85" si="518">AJ85*(1+AK86)</f>
        <v>369.30683623337461</v>
      </c>
      <c r="AL85" s="74">
        <f>SUM(AH85:AK85)</f>
        <v>1188.035370705883</v>
      </c>
    </row>
    <row r="86" spans="2:39" s="153" customFormat="1" hidden="1" outlineLevel="1" x14ac:dyDescent="0.3">
      <c r="B86" s="234" t="s">
        <v>222</v>
      </c>
      <c r="C86" s="235"/>
      <c r="D86" s="160"/>
      <c r="E86" s="258">
        <f>E85/D85-1</f>
        <v>-0.18009478672985779</v>
      </c>
      <c r="F86" s="258">
        <f t="shared" ref="F86:G86" si="519">F85/E85-1</f>
        <v>0.21387283236994215</v>
      </c>
      <c r="G86" s="258">
        <f t="shared" si="519"/>
        <v>0.29047619047619055</v>
      </c>
      <c r="H86" s="162"/>
      <c r="I86" s="258">
        <f>I85/G85-1</f>
        <v>-0.13284132841328411</v>
      </c>
      <c r="J86" s="258">
        <f t="shared" ref="J86" si="520">J85/I85-1</f>
        <v>-0.18297872340425536</v>
      </c>
      <c r="K86" s="258">
        <f t="shared" ref="K86:L86" si="521">K85/J85-1</f>
        <v>0.16145833333333326</v>
      </c>
      <c r="L86" s="258">
        <f t="shared" si="521"/>
        <v>0.31838565022421528</v>
      </c>
      <c r="M86" s="162"/>
      <c r="N86" s="258">
        <f>N85/L85-1</f>
        <v>-0.1428571428571429</v>
      </c>
      <c r="O86" s="258">
        <f>O85/N85-1</f>
        <v>-0.19047619047619047</v>
      </c>
      <c r="P86" s="258">
        <f>P85/O85-1</f>
        <v>5.9550561797752755E-2</v>
      </c>
      <c r="Q86" s="259">
        <v>0.32</v>
      </c>
      <c r="R86" s="162"/>
      <c r="S86" s="259">
        <v>-0.14000000000000001</v>
      </c>
      <c r="T86" s="259">
        <v>-0.19</v>
      </c>
      <c r="U86" s="259">
        <v>0.16</v>
      </c>
      <c r="V86" s="259">
        <v>0.32</v>
      </c>
      <c r="W86" s="162"/>
      <c r="X86" s="259">
        <v>-0.14000000000000001</v>
      </c>
      <c r="Y86" s="259">
        <v>-0.19</v>
      </c>
      <c r="Z86" s="259">
        <v>0.16</v>
      </c>
      <c r="AA86" s="259">
        <v>0.32</v>
      </c>
      <c r="AB86" s="162"/>
      <c r="AC86" s="259">
        <v>-0.14000000000000001</v>
      </c>
      <c r="AD86" s="259">
        <v>-0.19</v>
      </c>
      <c r="AE86" s="259">
        <v>0.16</v>
      </c>
      <c r="AF86" s="259">
        <v>0.32</v>
      </c>
      <c r="AG86" s="162"/>
      <c r="AH86" s="259">
        <v>-0.14000000000000001</v>
      </c>
      <c r="AI86" s="259">
        <v>-0.19</v>
      </c>
      <c r="AJ86" s="259">
        <v>0.16</v>
      </c>
      <c r="AK86" s="259">
        <v>0.32</v>
      </c>
      <c r="AL86" s="162"/>
    </row>
    <row r="87" spans="2:39" ht="15" customHeight="1" collapsed="1" x14ac:dyDescent="0.45">
      <c r="B87" s="280" t="s">
        <v>28</v>
      </c>
      <c r="C87" s="281"/>
      <c r="D87" s="125"/>
      <c r="E87" s="126"/>
      <c r="F87" s="125"/>
      <c r="G87" s="125"/>
      <c r="H87" s="30"/>
      <c r="I87" s="195"/>
      <c r="J87" s="125"/>
      <c r="K87" s="125"/>
      <c r="L87" s="125"/>
      <c r="M87" s="30"/>
      <c r="N87" s="125"/>
      <c r="O87" s="125"/>
      <c r="P87" s="125"/>
      <c r="Q87" s="125"/>
      <c r="R87" s="30"/>
      <c r="S87" s="125"/>
      <c r="T87" s="125"/>
      <c r="U87" s="125"/>
      <c r="V87" s="125"/>
      <c r="W87" s="30"/>
      <c r="X87" s="125"/>
      <c r="Y87" s="125"/>
      <c r="Z87" s="125"/>
      <c r="AA87" s="125"/>
      <c r="AB87" s="30"/>
      <c r="AC87" s="125"/>
      <c r="AD87" s="125"/>
      <c r="AE87" s="125"/>
      <c r="AF87" s="125"/>
      <c r="AG87" s="30"/>
      <c r="AH87" s="125"/>
      <c r="AI87" s="125"/>
      <c r="AJ87" s="125"/>
      <c r="AK87" s="125"/>
      <c r="AL87" s="30"/>
    </row>
    <row r="88" spans="2:39" hidden="1" outlineLevel="1" x14ac:dyDescent="0.3">
      <c r="B88" s="211" t="s">
        <v>99</v>
      </c>
      <c r="C88" s="212"/>
      <c r="D88" s="31">
        <f>D14/D12</f>
        <v>0.34582441113490364</v>
      </c>
      <c r="E88" s="31">
        <f>E14/E12</f>
        <v>0.31992687385740404</v>
      </c>
      <c r="F88" s="31">
        <f>F14/F12</f>
        <v>0.3316002310803004</v>
      </c>
      <c r="G88" s="31">
        <f>G14/G12</f>
        <v>0.32914704343275769</v>
      </c>
      <c r="H88" s="48">
        <f>H14/H12</f>
        <v>0.33198154104321076</v>
      </c>
      <c r="I88" s="31">
        <f>I14/I12</f>
        <v>0.34968684759916491</v>
      </c>
      <c r="J88" s="31">
        <f>J14/J12</f>
        <v>0.3262536873156342</v>
      </c>
      <c r="K88" s="31">
        <f>K14/K12</f>
        <v>0.33835005574136007</v>
      </c>
      <c r="L88" s="31">
        <f>L14/L12</f>
        <v>0.33632286995515698</v>
      </c>
      <c r="M88" s="165">
        <f>M14/M12</f>
        <v>0.33796546141392336</v>
      </c>
      <c r="N88" s="31">
        <f>N14/N12</f>
        <v>0.35027679919476595</v>
      </c>
      <c r="O88" s="31">
        <f>O14/O12</f>
        <v>0.32977528089887642</v>
      </c>
      <c r="P88" s="31">
        <f>P14/P12</f>
        <v>0.33934252386002123</v>
      </c>
      <c r="Q88" s="163">
        <v>0.34</v>
      </c>
      <c r="R88" s="165">
        <f>R14/R12</f>
        <v>0.34012640268283245</v>
      </c>
      <c r="S88" s="163">
        <v>0.34</v>
      </c>
      <c r="T88" s="163">
        <v>0.33</v>
      </c>
      <c r="U88" s="163">
        <v>0.34</v>
      </c>
      <c r="V88" s="163">
        <v>0.34</v>
      </c>
      <c r="W88" s="165">
        <f>W14/W12</f>
        <v>0.33771368741623531</v>
      </c>
      <c r="X88" s="163">
        <v>0.34</v>
      </c>
      <c r="Y88" s="163">
        <v>0.34</v>
      </c>
      <c r="Z88" s="163">
        <v>0.34</v>
      </c>
      <c r="AA88" s="163">
        <v>0.34</v>
      </c>
      <c r="AB88" s="165">
        <f>AB14/AB12</f>
        <v>0.34000000000000008</v>
      </c>
      <c r="AC88" s="163">
        <v>0.34</v>
      </c>
      <c r="AD88" s="163">
        <v>0.34</v>
      </c>
      <c r="AE88" s="163">
        <v>0.34</v>
      </c>
      <c r="AF88" s="240">
        <v>0.34</v>
      </c>
      <c r="AG88" s="165">
        <f>AG14/AG12</f>
        <v>0.34</v>
      </c>
      <c r="AH88" s="163">
        <v>0.34</v>
      </c>
      <c r="AI88" s="163">
        <v>0.34</v>
      </c>
      <c r="AJ88" s="163">
        <v>0.34</v>
      </c>
      <c r="AK88" s="163">
        <v>0.34</v>
      </c>
      <c r="AL88" s="165">
        <f>AL14/AL12</f>
        <v>0.34000000000000008</v>
      </c>
    </row>
    <row r="89" spans="2:39" hidden="1" outlineLevel="1" x14ac:dyDescent="0.3">
      <c r="B89" s="225" t="s">
        <v>206</v>
      </c>
      <c r="C89" s="226"/>
      <c r="D89" s="31">
        <f>D19/D12</f>
        <v>0.13597430406852248</v>
      </c>
      <c r="E89" s="31">
        <f>E19/E12</f>
        <v>8.7751371115173671E-2</v>
      </c>
      <c r="F89" s="31">
        <f>F19/F12</f>
        <v>0.10803004043905257</v>
      </c>
      <c r="G89" s="31">
        <f>G19/G12</f>
        <v>0.1151229722658294</v>
      </c>
      <c r="H89" s="48">
        <f>H19/H12</f>
        <v>0.11257166829814012</v>
      </c>
      <c r="I89" s="31">
        <f>I19/I12</f>
        <v>0.15135699373695199</v>
      </c>
      <c r="J89" s="31">
        <f>J19/J12</f>
        <v>0.10973451327433628</v>
      </c>
      <c r="K89" s="31">
        <f>K19/K12</f>
        <v>6.5217391304347824E-2</v>
      </c>
      <c r="L89" s="31">
        <f>L19/L12</f>
        <v>0.12157448928749377</v>
      </c>
      <c r="M89" s="48">
        <f>M19/M12</f>
        <v>0.11292498650836481</v>
      </c>
      <c r="N89" s="31">
        <f>N19/N12</f>
        <v>0.14896829391041772</v>
      </c>
      <c r="O89" s="31">
        <f>O19/O12</f>
        <v>0.11123595505617978</v>
      </c>
      <c r="P89" s="31">
        <f>P19/P12</f>
        <v>0.12407211028632026</v>
      </c>
      <c r="Q89" s="31">
        <f t="shared" ref="Q89:AL89" si="522">Q19/Q12</f>
        <v>0.12515456058682056</v>
      </c>
      <c r="R89" s="165">
        <f t="shared" si="522"/>
        <v>0.12779886201887308</v>
      </c>
      <c r="S89" s="31">
        <f t="shared" si="522"/>
        <v>0.14400000000000007</v>
      </c>
      <c r="T89" s="31">
        <f t="shared" si="522"/>
        <v>0.11695000000000008</v>
      </c>
      <c r="U89" s="31">
        <f t="shared" si="522"/>
        <v>0.12500000000000006</v>
      </c>
      <c r="V89" s="31">
        <f t="shared" si="522"/>
        <v>0.13000000000000006</v>
      </c>
      <c r="W89" s="165">
        <f t="shared" si="522"/>
        <v>0.12948049897402245</v>
      </c>
      <c r="X89" s="31">
        <f t="shared" si="522"/>
        <v>0.13000000000000003</v>
      </c>
      <c r="Y89" s="31">
        <f t="shared" si="522"/>
        <v>0.13000000000000014</v>
      </c>
      <c r="Z89" s="31">
        <f t="shared" si="522"/>
        <v>0.13000000000000012</v>
      </c>
      <c r="AA89" s="31">
        <f t="shared" si="522"/>
        <v>0.13000000000000006</v>
      </c>
      <c r="AB89" s="165">
        <f t="shared" si="522"/>
        <v>0.13000000000000006</v>
      </c>
      <c r="AC89" s="31">
        <f t="shared" si="522"/>
        <v>0.13000000000000014</v>
      </c>
      <c r="AD89" s="31">
        <f t="shared" si="522"/>
        <v>0.13000000000000009</v>
      </c>
      <c r="AE89" s="31">
        <f t="shared" si="522"/>
        <v>0.13000000000000009</v>
      </c>
      <c r="AF89" s="31">
        <f t="shared" si="522"/>
        <v>0.12900000000000009</v>
      </c>
      <c r="AG89" s="165">
        <f t="shared" si="522"/>
        <v>0.12974028554615988</v>
      </c>
      <c r="AH89" s="31">
        <f t="shared" si="522"/>
        <v>0.12900000000000006</v>
      </c>
      <c r="AI89" s="31">
        <f t="shared" si="522"/>
        <v>0.12900000000000006</v>
      </c>
      <c r="AJ89" s="31">
        <f t="shared" si="522"/>
        <v>0.12900000000000003</v>
      </c>
      <c r="AK89" s="31">
        <f t="shared" si="522"/>
        <v>0.12900000000000011</v>
      </c>
      <c r="AL89" s="165">
        <f t="shared" si="522"/>
        <v>0.12900000000000011</v>
      </c>
    </row>
    <row r="90" spans="2:39" hidden="1" outlineLevel="1" x14ac:dyDescent="0.3">
      <c r="B90" s="260" t="s">
        <v>205</v>
      </c>
      <c r="C90" s="261"/>
      <c r="D90" s="31">
        <f>D15/D12</f>
        <v>0.19004282655246252</v>
      </c>
      <c r="E90" s="31">
        <f>E15/E12</f>
        <v>0.20901889092017062</v>
      </c>
      <c r="F90" s="31">
        <f>F15/F12</f>
        <v>0.20392836510687465</v>
      </c>
      <c r="G90" s="31">
        <f>G15/G12</f>
        <v>0.19623233908948196</v>
      </c>
      <c r="H90" s="165">
        <f>H15/H12</f>
        <v>0.19941266955670536</v>
      </c>
      <c r="I90" s="31">
        <f>I15/I12</f>
        <v>0.18006263048016702</v>
      </c>
      <c r="J90" s="31">
        <f>J15/J12</f>
        <v>0.1952802359882006</v>
      </c>
      <c r="K90" s="31">
        <f>K15/K12</f>
        <v>0.19620958751393533</v>
      </c>
      <c r="L90" s="31">
        <f>L15/L12</f>
        <v>0.19282511210762332</v>
      </c>
      <c r="M90" s="165">
        <f>M15/M12</f>
        <v>0.19090663788451159</v>
      </c>
      <c r="N90" s="31">
        <f>N15/N12</f>
        <v>0.18168092601912431</v>
      </c>
      <c r="O90" s="31">
        <f>O15/O12</f>
        <v>0.19662921348314608</v>
      </c>
      <c r="P90" s="31">
        <f>P15/P12</f>
        <v>0.19406150583244963</v>
      </c>
      <c r="Q90" s="163">
        <v>0.1948454394131795</v>
      </c>
      <c r="R90" s="165">
        <f>R15/R12</f>
        <v>0.19169036795662028</v>
      </c>
      <c r="S90" s="163">
        <v>0.17599999999999999</v>
      </c>
      <c r="T90" s="163">
        <v>0.19305</v>
      </c>
      <c r="U90" s="163">
        <v>0.19500000000000001</v>
      </c>
      <c r="V90" s="163">
        <v>0.19</v>
      </c>
      <c r="W90" s="165">
        <f>W15/W12</f>
        <v>0.18823318844221287</v>
      </c>
      <c r="X90" s="163">
        <v>0.19</v>
      </c>
      <c r="Y90" s="163">
        <v>0.19</v>
      </c>
      <c r="Z90" s="163">
        <v>0.19</v>
      </c>
      <c r="AA90" s="163">
        <v>0.19</v>
      </c>
      <c r="AB90" s="165">
        <f>AB15/AB12</f>
        <v>0.19</v>
      </c>
      <c r="AC90" s="163">
        <v>0.19</v>
      </c>
      <c r="AD90" s="163">
        <v>0.19</v>
      </c>
      <c r="AE90" s="163">
        <v>0.19</v>
      </c>
      <c r="AF90" s="240">
        <v>0.19</v>
      </c>
      <c r="AG90" s="165">
        <f>AG15/AG12</f>
        <v>0.19</v>
      </c>
      <c r="AH90" s="163">
        <v>0.19</v>
      </c>
      <c r="AI90" s="163">
        <v>0.19</v>
      </c>
      <c r="AJ90" s="163">
        <v>0.19</v>
      </c>
      <c r="AK90" s="163">
        <v>0.19</v>
      </c>
      <c r="AL90" s="165">
        <f>AL15/AL12</f>
        <v>0.18999999999999997</v>
      </c>
    </row>
    <row r="91" spans="2:39" hidden="1" outlineLevel="1" x14ac:dyDescent="0.3">
      <c r="B91" s="260" t="s">
        <v>218</v>
      </c>
      <c r="C91" s="261"/>
      <c r="D91" s="31">
        <f>D16/D12</f>
        <v>1.9271948608137045E-2</v>
      </c>
      <c r="E91" s="31">
        <f>E16/E12</f>
        <v>2.1937842778793418E-2</v>
      </c>
      <c r="F91" s="31">
        <f>F16/F12</f>
        <v>1.9641825534373193E-2</v>
      </c>
      <c r="G91" s="31">
        <f>G16/G12</f>
        <v>1.726844583987441E-2</v>
      </c>
      <c r="H91" s="165">
        <f>H17/H12</f>
        <v>5.5936232694728011E-4</v>
      </c>
      <c r="I91" s="31">
        <f>I16/I12</f>
        <v>1.8267223382045929E-2</v>
      </c>
      <c r="J91" s="31">
        <f>J16/J12</f>
        <v>2.1238938053097345E-2</v>
      </c>
      <c r="K91" s="31">
        <f>K16/K12</f>
        <v>2.1181716833890748E-2</v>
      </c>
      <c r="L91" s="31">
        <f>L16/L12</f>
        <v>1.9431988041853511E-2</v>
      </c>
      <c r="M91" s="123">
        <f>M17/M12</f>
        <v>1.4166216945493793E-2</v>
      </c>
      <c r="N91" s="31">
        <f>N16/N12</f>
        <v>1.9627579265223957E-2</v>
      </c>
      <c r="O91" s="31">
        <f>O16/O12</f>
        <v>2.1910112359550562E-2</v>
      </c>
      <c r="P91" s="31">
        <f>P16/P12</f>
        <v>2.1208907741251327E-2</v>
      </c>
      <c r="Q91" s="163">
        <v>0.02</v>
      </c>
      <c r="R91" s="123">
        <f>R17/R12</f>
        <v>0</v>
      </c>
      <c r="S91" s="163">
        <v>0.02</v>
      </c>
      <c r="T91" s="163">
        <v>0.02</v>
      </c>
      <c r="U91" s="163">
        <v>0.02</v>
      </c>
      <c r="V91" s="163">
        <v>0.02</v>
      </c>
      <c r="W91" s="123">
        <f>W17/W12</f>
        <v>0</v>
      </c>
      <c r="X91" s="163">
        <v>0.02</v>
      </c>
      <c r="Y91" s="163">
        <v>0.02</v>
      </c>
      <c r="Z91" s="163">
        <v>0.02</v>
      </c>
      <c r="AA91" s="163">
        <v>0.02</v>
      </c>
      <c r="AB91" s="123">
        <f>AB17/AB12</f>
        <v>0</v>
      </c>
      <c r="AC91" s="163">
        <v>0.02</v>
      </c>
      <c r="AD91" s="163">
        <v>0.02</v>
      </c>
      <c r="AE91" s="163">
        <v>0.02</v>
      </c>
      <c r="AF91" s="240">
        <v>2.1000000000000001E-2</v>
      </c>
      <c r="AG91" s="123">
        <f>AG17/AG12</f>
        <v>0</v>
      </c>
      <c r="AH91" s="163">
        <v>2.1000000000000001E-2</v>
      </c>
      <c r="AI91" s="163">
        <v>2.1000000000000001E-2</v>
      </c>
      <c r="AJ91" s="163">
        <v>2.1000000000000001E-2</v>
      </c>
      <c r="AK91" s="163">
        <v>2.1000000000000001E-2</v>
      </c>
      <c r="AL91" s="123">
        <f>AL17/AL12</f>
        <v>0</v>
      </c>
    </row>
    <row r="92" spans="2:39" hidden="1" outlineLevel="1" x14ac:dyDescent="0.3">
      <c r="B92" s="211" t="s">
        <v>118</v>
      </c>
      <c r="C92" s="216"/>
      <c r="D92" s="31">
        <f>D20/(SUM(D118,D122))</f>
        <v>2.0449897750511249E-3</v>
      </c>
      <c r="E92" s="31">
        <f>E20/(AVERAGE((D118+D122),(E118+E122)))</f>
        <v>1.9704433497536944E-3</v>
      </c>
      <c r="F92" s="31">
        <f>F20/(AVERAGE((E118+E122),(F118+F122)))</f>
        <v>2.1164021164021165E-3</v>
      </c>
      <c r="G92" s="31">
        <f>G20/(AVERAGE((F118+F122),(G118+G122)))</f>
        <v>4.6948356807511738E-3</v>
      </c>
      <c r="H92" s="165"/>
      <c r="I92" s="31">
        <f>I20/(AVERAGE((G118+G122),(I118+I122)))</f>
        <v>2.306805074971165E-3</v>
      </c>
      <c r="J92" s="31">
        <f>J20/(AVERAGE((I118+I122),(J118+J122)))</f>
        <v>2.1668472372697724E-3</v>
      </c>
      <c r="K92" s="31">
        <f>K20/(AVERAGE((J118+J122),(K118+K122)))</f>
        <v>2.2805017103762829E-3</v>
      </c>
      <c r="L92" s="31">
        <v>2.4330900243308999E-3</v>
      </c>
      <c r="M92" s="123"/>
      <c r="N92" s="31">
        <f>N20/(AVERAGE((L118+L122),(N118+N122)))</f>
        <v>0</v>
      </c>
      <c r="O92" s="31">
        <f>O20/(AVERAGE((N118+N122),(O118+O122)))</f>
        <v>2.3980815347721821E-3</v>
      </c>
      <c r="P92" s="31">
        <f>P20/(AVERAGE((O118+O122),(P118+P122)))</f>
        <v>2.4449877750611247E-3</v>
      </c>
      <c r="Q92" s="163">
        <v>3.3741037536904259E-3</v>
      </c>
      <c r="R92" s="123"/>
      <c r="S92" s="163">
        <v>3.3741037536904259E-3</v>
      </c>
      <c r="T92" s="163">
        <v>3.3741037536904259E-3</v>
      </c>
      <c r="U92" s="163">
        <v>3.3741037536904259E-3</v>
      </c>
      <c r="V92" s="163">
        <v>3.3741037536904259E-3</v>
      </c>
      <c r="W92" s="123"/>
      <c r="X92" s="163">
        <v>3.3741037536904259E-3</v>
      </c>
      <c r="Y92" s="163">
        <v>3.3741037536904259E-3</v>
      </c>
      <c r="Z92" s="163">
        <v>3.3741037536904259E-3</v>
      </c>
      <c r="AA92" s="163">
        <v>3.3741037536904259E-3</v>
      </c>
      <c r="AB92" s="123"/>
      <c r="AC92" s="163">
        <v>3.3741037536904259E-3</v>
      </c>
      <c r="AD92" s="163">
        <v>3.3741037536904259E-3</v>
      </c>
      <c r="AE92" s="163">
        <v>3.3741037536904259E-3</v>
      </c>
      <c r="AF92" s="163">
        <v>3.3741037536904259E-3</v>
      </c>
      <c r="AG92" s="123"/>
      <c r="AH92" s="163">
        <v>3.3741037536904259E-3</v>
      </c>
      <c r="AI92" s="163">
        <v>3.3741037536904259E-3</v>
      </c>
      <c r="AJ92" s="163">
        <v>3.3741037536904259E-3</v>
      </c>
      <c r="AK92" s="163">
        <v>3.3741037536904259E-3</v>
      </c>
      <c r="AL92" s="123"/>
    </row>
    <row r="93" spans="2:39" hidden="1" outlineLevel="1" x14ac:dyDescent="0.3">
      <c r="B93" s="260" t="s">
        <v>119</v>
      </c>
      <c r="C93" s="261"/>
      <c r="D93" s="31">
        <f>D21/D12</f>
        <v>-5.3533190578158461E-4</v>
      </c>
      <c r="E93" s="31">
        <f>E21/E12</f>
        <v>-6.0938452163315055E-4</v>
      </c>
      <c r="F93" s="31">
        <f>F21/F12</f>
        <v>-5.7770075101097628E-4</v>
      </c>
      <c r="G93" s="31">
        <f>G21/G12</f>
        <v>-3.1397174254317113E-3</v>
      </c>
      <c r="H93" s="6"/>
      <c r="I93" s="31">
        <f>I21/I12</f>
        <v>-5.2192066805845506E-4</v>
      </c>
      <c r="J93" s="31">
        <f>J21/J12</f>
        <v>0</v>
      </c>
      <c r="K93" s="31">
        <f>K21/K12</f>
        <v>-5.5741360089186175E-4</v>
      </c>
      <c r="L93" s="31">
        <f>L21/L12</f>
        <v>-9.9651220727453907E-4</v>
      </c>
      <c r="M93" s="123"/>
      <c r="N93" s="31">
        <f>N21/N12</f>
        <v>-1.0065425264217413E-3</v>
      </c>
      <c r="O93" s="31">
        <f>O21/O12</f>
        <v>-5.6179775280898881E-4</v>
      </c>
      <c r="P93" s="31">
        <f>P21/P12</f>
        <v>3.1813361611876989E-3</v>
      </c>
      <c r="Q93" s="163">
        <f>P93</f>
        <v>3.1813361611876989E-3</v>
      </c>
      <c r="R93" s="6"/>
      <c r="S93" s="163">
        <f>Q93</f>
        <v>3.1813361611876989E-3</v>
      </c>
      <c r="T93" s="163">
        <f>S93</f>
        <v>3.1813361611876989E-3</v>
      </c>
      <c r="U93" s="163">
        <f>T93</f>
        <v>3.1813361611876989E-3</v>
      </c>
      <c r="V93" s="163">
        <f>U93</f>
        <v>3.1813361611876989E-3</v>
      </c>
      <c r="W93" s="6"/>
      <c r="X93" s="163">
        <f>V93</f>
        <v>3.1813361611876989E-3</v>
      </c>
      <c r="Y93" s="163">
        <f>X93</f>
        <v>3.1813361611876989E-3</v>
      </c>
      <c r="Z93" s="163">
        <f>Y93</f>
        <v>3.1813361611876989E-3</v>
      </c>
      <c r="AA93" s="163">
        <f>Z93</f>
        <v>3.1813361611876989E-3</v>
      </c>
      <c r="AB93" s="6"/>
      <c r="AC93" s="163">
        <f>AA93</f>
        <v>3.1813361611876989E-3</v>
      </c>
      <c r="AD93" s="163">
        <f>AC93</f>
        <v>3.1813361611876989E-3</v>
      </c>
      <c r="AE93" s="163">
        <f>AD93</f>
        <v>3.1813361611876989E-3</v>
      </c>
      <c r="AF93" s="163">
        <f>AE93</f>
        <v>3.1813361611876989E-3</v>
      </c>
      <c r="AG93" s="6"/>
      <c r="AH93" s="163">
        <f>AF93</f>
        <v>3.1813361611876989E-3</v>
      </c>
      <c r="AI93" s="163">
        <f>AH93</f>
        <v>3.1813361611876989E-3</v>
      </c>
      <c r="AJ93" s="163">
        <f>AI93</f>
        <v>3.1813361611876989E-3</v>
      </c>
      <c r="AK93" s="163">
        <f>AJ93</f>
        <v>3.1813361611876989E-3</v>
      </c>
      <c r="AL93" s="6"/>
    </row>
    <row r="94" spans="2:39" hidden="1" outlineLevel="1" x14ac:dyDescent="0.3">
      <c r="B94" s="282" t="s">
        <v>3</v>
      </c>
      <c r="C94" s="283"/>
      <c r="D94" s="95">
        <f>D23/D22</f>
        <v>0.36220472440944884</v>
      </c>
      <c r="E94" s="31">
        <f>E23/E22</f>
        <v>0.3611111111111111</v>
      </c>
      <c r="F94" s="31">
        <f>F23/F22</f>
        <v>0.35828877005347592</v>
      </c>
      <c r="G94" s="124">
        <f>G23/G22</f>
        <v>0.3482142857142857</v>
      </c>
      <c r="H94" s="176">
        <f>H23/H22</f>
        <v>0.35723114956736712</v>
      </c>
      <c r="I94" s="192">
        <f>I23/I22</f>
        <v>0.36551724137931035</v>
      </c>
      <c r="J94" s="192">
        <f>J23/J22</f>
        <v>0.35675675675675678</v>
      </c>
      <c r="K94" s="192">
        <f>K23/K22</f>
        <v>0.31623931623931623</v>
      </c>
      <c r="L94" s="192">
        <f>L23/L22</f>
        <v>0.35510204081632651</v>
      </c>
      <c r="M94" s="165">
        <f>M23/M22</f>
        <v>0.35364396654719238</v>
      </c>
      <c r="N94" s="192">
        <f>N23/N22</f>
        <v>0.35906040268456374</v>
      </c>
      <c r="O94" s="192">
        <f>O23/O22</f>
        <v>0.35858585858585856</v>
      </c>
      <c r="P94" s="192">
        <f>P23/P22</f>
        <v>0.30837004405286345</v>
      </c>
      <c r="Q94" s="166">
        <f>P94</f>
        <v>0.30837004405286345</v>
      </c>
      <c r="R94" s="165">
        <f>R23/R22</f>
        <v>0.33399424378562065</v>
      </c>
      <c r="S94" s="166">
        <v>0.31</v>
      </c>
      <c r="T94" s="166">
        <v>0.33</v>
      </c>
      <c r="U94" s="166">
        <v>0.34</v>
      </c>
      <c r="V94" s="166">
        <v>0.35</v>
      </c>
      <c r="W94" s="165">
        <f>W23/W22</f>
        <v>0.33152956795181304</v>
      </c>
      <c r="X94" s="166">
        <f>V94</f>
        <v>0.35</v>
      </c>
      <c r="Y94" s="166">
        <f>X94</f>
        <v>0.35</v>
      </c>
      <c r="Z94" s="166">
        <f t="shared" ref="Z94:AA94" si="523">Y94</f>
        <v>0.35</v>
      </c>
      <c r="AA94" s="166">
        <f t="shared" si="523"/>
        <v>0.35</v>
      </c>
      <c r="AB94" s="165">
        <f>AB23/AB22</f>
        <v>0.35000000000000009</v>
      </c>
      <c r="AC94" s="166">
        <f>AA94</f>
        <v>0.35</v>
      </c>
      <c r="AD94" s="166">
        <f>AC94</f>
        <v>0.35</v>
      </c>
      <c r="AE94" s="166">
        <f t="shared" ref="AE94:AF94" si="524">AD94</f>
        <v>0.35</v>
      </c>
      <c r="AF94" s="166">
        <f t="shared" si="524"/>
        <v>0.35</v>
      </c>
      <c r="AG94" s="165">
        <f>AG23/AG22</f>
        <v>0.35000000000000014</v>
      </c>
      <c r="AH94" s="166">
        <f>AF94</f>
        <v>0.35</v>
      </c>
      <c r="AI94" s="166">
        <f>AH94</f>
        <v>0.35</v>
      </c>
      <c r="AJ94" s="166">
        <f t="shared" ref="AJ94:AK94" si="525">AI94</f>
        <v>0.35</v>
      </c>
      <c r="AK94" s="166">
        <f t="shared" si="525"/>
        <v>0.35</v>
      </c>
      <c r="AL94" s="165">
        <f>AL23/AL22</f>
        <v>0.34999999999999987</v>
      </c>
    </row>
    <row r="95" spans="2:39" hidden="1" outlineLevel="1" x14ac:dyDescent="0.3">
      <c r="B95" s="282" t="s">
        <v>120</v>
      </c>
      <c r="C95" s="283"/>
      <c r="D95" s="32"/>
      <c r="E95" s="31">
        <f>(E25+E99)/D25-1</f>
        <v>1.2814797250859211E-2</v>
      </c>
      <c r="F95" s="31">
        <f>(F25+F99)/E25-1</f>
        <v>-6.2283737024221297E-3</v>
      </c>
      <c r="G95" s="31">
        <f>(G25+G99)/F25-1</f>
        <v>5.2228412256267509E-2</v>
      </c>
      <c r="H95" s="6"/>
      <c r="I95" s="31">
        <f>(I25+I99)/G25-1</f>
        <v>-1.3167013167013186E-2</v>
      </c>
      <c r="J95" s="31">
        <f>(J25+J99)/I25-1</f>
        <v>2.0699500356887945E-2</v>
      </c>
      <c r="K95" s="31">
        <f>(K25+K99)/J25-1</f>
        <v>3.4025787965616283E-2</v>
      </c>
      <c r="L95" s="31">
        <v>3.0000000000000001E-3</v>
      </c>
      <c r="M95" s="123"/>
      <c r="N95" s="31">
        <v>1E-3</v>
      </c>
      <c r="O95" s="31">
        <v>1E-3</v>
      </c>
      <c r="P95" s="31">
        <v>1E-3</v>
      </c>
      <c r="Q95" s="163">
        <v>1E-3</v>
      </c>
      <c r="R95" s="6"/>
      <c r="S95" s="163">
        <v>1E-3</v>
      </c>
      <c r="T95" s="163">
        <v>1E-3</v>
      </c>
      <c r="U95" s="163">
        <v>1E-3</v>
      </c>
      <c r="V95" s="163">
        <v>1E-3</v>
      </c>
      <c r="W95" s="6"/>
      <c r="X95" s="163">
        <v>1E-3</v>
      </c>
      <c r="Y95" s="163">
        <v>1E-3</v>
      </c>
      <c r="Z95" s="163">
        <v>1E-3</v>
      </c>
      <c r="AA95" s="163">
        <v>1E-3</v>
      </c>
      <c r="AB95" s="6"/>
      <c r="AC95" s="163">
        <v>1E-3</v>
      </c>
      <c r="AD95" s="163">
        <v>1E-3</v>
      </c>
      <c r="AE95" s="163">
        <v>1E-3</v>
      </c>
      <c r="AF95" s="163">
        <v>1E-3</v>
      </c>
      <c r="AG95" s="6"/>
      <c r="AH95" s="163">
        <v>1E-3</v>
      </c>
      <c r="AI95" s="163">
        <v>1E-3</v>
      </c>
      <c r="AJ95" s="163">
        <v>1E-3</v>
      </c>
      <c r="AK95" s="163">
        <v>1E-3</v>
      </c>
      <c r="AL95" s="6"/>
    </row>
    <row r="96" spans="2:39" hidden="1" outlineLevel="1" x14ac:dyDescent="0.3">
      <c r="B96" s="282" t="s">
        <v>121</v>
      </c>
      <c r="C96" s="283"/>
      <c r="D96" s="32"/>
      <c r="E96" s="31">
        <f>(E26+E99)/D26-1</f>
        <v>1.1277459349593677E-2</v>
      </c>
      <c r="F96" s="31">
        <f>(F26+F99)/E26-1</f>
        <v>-4.781420765027411E-3</v>
      </c>
      <c r="G96" s="31">
        <f>(G26+G99)/F26-1</f>
        <v>3.7062457103637758E-2</v>
      </c>
      <c r="H96" s="6"/>
      <c r="I96" s="31">
        <f>(I26+I99)/G26-1</f>
        <v>6.9300069300060052E-4</v>
      </c>
      <c r="J96" s="31">
        <f>(J26+J99)/I26-1</f>
        <v>1.8296973961998697E-2</v>
      </c>
      <c r="K96" s="31">
        <f>(K26+K99)/J26-1</f>
        <v>3.290870488322728E-2</v>
      </c>
      <c r="L96" s="31">
        <v>3.0000000000000001E-3</v>
      </c>
      <c r="M96" s="123"/>
      <c r="N96" s="31">
        <v>1E-3</v>
      </c>
      <c r="O96" s="31">
        <v>1E-3</v>
      </c>
      <c r="P96" s="31">
        <v>1E-3</v>
      </c>
      <c r="Q96" s="163">
        <v>1E-3</v>
      </c>
      <c r="R96" s="6"/>
      <c r="S96" s="163">
        <v>1E-3</v>
      </c>
      <c r="T96" s="163">
        <v>1E-3</v>
      </c>
      <c r="U96" s="163">
        <v>1E-3</v>
      </c>
      <c r="V96" s="163">
        <v>1E-3</v>
      </c>
      <c r="W96" s="6"/>
      <c r="X96" s="163">
        <v>1E-3</v>
      </c>
      <c r="Y96" s="163">
        <v>1E-3</v>
      </c>
      <c r="Z96" s="163">
        <v>1E-3</v>
      </c>
      <c r="AA96" s="163">
        <v>1E-3</v>
      </c>
      <c r="AB96" s="6"/>
      <c r="AC96" s="163">
        <v>1E-3</v>
      </c>
      <c r="AD96" s="163">
        <v>1E-3</v>
      </c>
      <c r="AE96" s="163">
        <v>1E-3</v>
      </c>
      <c r="AF96" s="163">
        <v>1E-3</v>
      </c>
      <c r="AG96" s="6"/>
      <c r="AH96" s="163">
        <v>1E-3</v>
      </c>
      <c r="AI96" s="163">
        <v>1E-3</v>
      </c>
      <c r="AJ96" s="163">
        <v>1E-3</v>
      </c>
      <c r="AK96" s="163">
        <v>1E-3</v>
      </c>
      <c r="AL96" s="6"/>
    </row>
    <row r="97" spans="2:38" hidden="1" outlineLevel="1" x14ac:dyDescent="0.3">
      <c r="B97" s="282" t="s">
        <v>122</v>
      </c>
      <c r="C97" s="283"/>
      <c r="D97" s="43">
        <f>D98/1.53253</f>
        <v>45.676104219819514</v>
      </c>
      <c r="E97" s="43">
        <f>E98/2.864553</f>
        <v>47.476866373217746</v>
      </c>
      <c r="F97" s="43">
        <v>0</v>
      </c>
      <c r="G97" s="43">
        <f>678/6.8</f>
        <v>99.705882352941174</v>
      </c>
      <c r="H97" s="146"/>
      <c r="I97" s="43">
        <f>I98/2.3</f>
        <v>56.086956521739133</v>
      </c>
      <c r="J97" s="43">
        <f>J98/3.4</f>
        <v>60.294117647058826</v>
      </c>
      <c r="K97" s="43">
        <f>K98/5.05</f>
        <v>62.574257425742573</v>
      </c>
      <c r="L97" s="43">
        <v>65</v>
      </c>
      <c r="M97" s="81"/>
      <c r="N97" s="43">
        <f>N98/1.371174</f>
        <v>64.178579815544936</v>
      </c>
      <c r="O97" s="43">
        <f>O98/4.724691</f>
        <v>39.790961990953484</v>
      </c>
      <c r="P97" s="43">
        <v>66.33365006553079</v>
      </c>
      <c r="Q97" s="169">
        <v>65</v>
      </c>
      <c r="R97" s="146"/>
      <c r="S97" s="169">
        <v>65</v>
      </c>
      <c r="T97" s="169">
        <v>65</v>
      </c>
      <c r="U97" s="169">
        <v>65</v>
      </c>
      <c r="V97" s="169">
        <v>65</v>
      </c>
      <c r="W97" s="146"/>
      <c r="X97" s="169">
        <v>65</v>
      </c>
      <c r="Y97" s="169">
        <v>65</v>
      </c>
      <c r="Z97" s="169">
        <v>65</v>
      </c>
      <c r="AA97" s="169">
        <v>65</v>
      </c>
      <c r="AB97" s="146"/>
      <c r="AC97" s="169">
        <v>65</v>
      </c>
      <c r="AD97" s="169">
        <v>65</v>
      </c>
      <c r="AE97" s="169">
        <v>65</v>
      </c>
      <c r="AF97" s="169">
        <v>65</v>
      </c>
      <c r="AG97" s="146"/>
      <c r="AH97" s="169">
        <v>65</v>
      </c>
      <c r="AI97" s="169">
        <v>65</v>
      </c>
      <c r="AJ97" s="169">
        <v>65</v>
      </c>
      <c r="AK97" s="169">
        <v>65</v>
      </c>
      <c r="AL97" s="146"/>
    </row>
    <row r="98" spans="2:38" hidden="1" outlineLevel="1" x14ac:dyDescent="0.3">
      <c r="B98" s="282" t="s">
        <v>56</v>
      </c>
      <c r="C98" s="283"/>
      <c r="D98" s="43">
        <v>70</v>
      </c>
      <c r="E98" s="43">
        <v>136</v>
      </c>
      <c r="F98" s="43">
        <v>0</v>
      </c>
      <c r="G98" s="43">
        <v>678</v>
      </c>
      <c r="H98" s="146"/>
      <c r="I98" s="43">
        <v>129</v>
      </c>
      <c r="J98" s="43">
        <v>205</v>
      </c>
      <c r="K98" s="43">
        <v>316</v>
      </c>
      <c r="L98" s="43">
        <v>500</v>
      </c>
      <c r="M98" s="81"/>
      <c r="N98" s="43">
        <v>88</v>
      </c>
      <c r="O98" s="43">
        <v>188</v>
      </c>
      <c r="P98" s="43">
        <v>76.3</v>
      </c>
      <c r="Q98" s="169">
        <v>50</v>
      </c>
      <c r="R98" s="146"/>
      <c r="S98" s="169">
        <v>50</v>
      </c>
      <c r="T98" s="169">
        <v>50</v>
      </c>
      <c r="U98" s="169">
        <v>50</v>
      </c>
      <c r="V98" s="169">
        <v>50</v>
      </c>
      <c r="W98" s="146"/>
      <c r="X98" s="169">
        <v>50</v>
      </c>
      <c r="Y98" s="169">
        <v>50</v>
      </c>
      <c r="Z98" s="169">
        <v>50</v>
      </c>
      <c r="AA98" s="169">
        <v>50</v>
      </c>
      <c r="AB98" s="146"/>
      <c r="AC98" s="169">
        <v>50</v>
      </c>
      <c r="AD98" s="169">
        <v>50</v>
      </c>
      <c r="AE98" s="169">
        <v>50</v>
      </c>
      <c r="AF98" s="169">
        <v>50</v>
      </c>
      <c r="AG98" s="146"/>
      <c r="AH98" s="169">
        <v>50</v>
      </c>
      <c r="AI98" s="169">
        <v>50</v>
      </c>
      <c r="AJ98" s="169">
        <v>50</v>
      </c>
      <c r="AK98" s="169">
        <v>50</v>
      </c>
      <c r="AL98" s="146"/>
    </row>
    <row r="99" spans="2:38" hidden="1" outlineLevel="1" x14ac:dyDescent="0.3">
      <c r="B99" s="278" t="s">
        <v>55</v>
      </c>
      <c r="C99" s="284"/>
      <c r="D99" s="168">
        <f>IF((D98)&gt;0,(D98/D97),0)</f>
        <v>1.5325299999999999</v>
      </c>
      <c r="E99" s="168">
        <f t="shared" ref="E99:L99" si="526">IF((E98)&gt;0,(E98/E97),0)</f>
        <v>2.8645529999999999</v>
      </c>
      <c r="F99" s="168">
        <f t="shared" si="526"/>
        <v>0</v>
      </c>
      <c r="G99" s="168">
        <f t="shared" si="526"/>
        <v>6.8</v>
      </c>
      <c r="H99" s="167"/>
      <c r="I99" s="168">
        <f t="shared" si="526"/>
        <v>2.2999999999999998</v>
      </c>
      <c r="J99" s="168">
        <f t="shared" si="526"/>
        <v>3.4</v>
      </c>
      <c r="K99" s="168">
        <f t="shared" si="526"/>
        <v>5.05</v>
      </c>
      <c r="L99" s="168">
        <f t="shared" si="526"/>
        <v>7.6923076923076925</v>
      </c>
      <c r="M99" s="236"/>
      <c r="N99" s="168">
        <f>IF((N98)&gt;0,(N98/N97),0)</f>
        <v>1.3711739999999999</v>
      </c>
      <c r="O99" s="168">
        <f t="shared" ref="O99:Q99" si="527">IF((O98)&gt;0,(O98/O97),0)</f>
        <v>4.724691</v>
      </c>
      <c r="P99" s="168">
        <f t="shared" si="527"/>
        <v>1.1502457640220836</v>
      </c>
      <c r="Q99" s="168">
        <f t="shared" si="527"/>
        <v>0.76923076923076927</v>
      </c>
      <c r="R99" s="167"/>
      <c r="S99" s="168">
        <f>IF((S98)&gt;0,(S98/S97),0)</f>
        <v>0.76923076923076927</v>
      </c>
      <c r="T99" s="168">
        <f t="shared" ref="T99:V99" si="528">IF((T98)&gt;0,(T98/T97),0)</f>
        <v>0.76923076923076927</v>
      </c>
      <c r="U99" s="168">
        <f t="shared" si="528"/>
        <v>0.76923076923076927</v>
      </c>
      <c r="V99" s="168">
        <f t="shared" si="528"/>
        <v>0.76923076923076927</v>
      </c>
      <c r="W99" s="167"/>
      <c r="X99" s="168">
        <f>IF((X98)&gt;0,(X98/X97),0)</f>
        <v>0.76923076923076927</v>
      </c>
      <c r="Y99" s="168">
        <f t="shared" ref="Y99:AA99" si="529">IF((Y98)&gt;0,(Y98/Y97),0)</f>
        <v>0.76923076923076927</v>
      </c>
      <c r="Z99" s="168">
        <f t="shared" si="529"/>
        <v>0.76923076923076927</v>
      </c>
      <c r="AA99" s="168">
        <f t="shared" si="529"/>
        <v>0.76923076923076927</v>
      </c>
      <c r="AB99" s="248"/>
      <c r="AC99" s="168">
        <f>IF((AC98)&gt;0,(AC98/AC97),0)</f>
        <v>0.76923076923076927</v>
      </c>
      <c r="AD99" s="168">
        <f t="shared" ref="AD99:AF99" si="530">IF((AD98)&gt;0,(AD98/AD97),0)</f>
        <v>0.76923076923076927</v>
      </c>
      <c r="AE99" s="168">
        <f t="shared" si="530"/>
        <v>0.76923076923076927</v>
      </c>
      <c r="AF99" s="168">
        <f t="shared" si="530"/>
        <v>0.76923076923076927</v>
      </c>
      <c r="AG99" s="248"/>
      <c r="AH99" s="168">
        <f>IF((AH98)&gt;0,(AH98/AH97),0)</f>
        <v>0.76923076923076927</v>
      </c>
      <c r="AI99" s="168">
        <f t="shared" ref="AI99:AK99" si="531">IF((AI98)&gt;0,(AI98/AI97),0)</f>
        <v>0.76923076923076927</v>
      </c>
      <c r="AJ99" s="168">
        <f t="shared" si="531"/>
        <v>0.76923076923076927</v>
      </c>
      <c r="AK99" s="168">
        <f t="shared" si="531"/>
        <v>0.76923076923076927</v>
      </c>
      <c r="AL99" s="167"/>
    </row>
    <row r="100" spans="2:38" s="135" customFormat="1" collapsed="1" x14ac:dyDescent="0.3">
      <c r="B100" s="170"/>
      <c r="C100" s="170"/>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row>
    <row r="101" spans="2:38" ht="15.6" x14ac:dyDescent="0.3">
      <c r="B101" s="285" t="s">
        <v>168</v>
      </c>
      <c r="C101" s="286"/>
      <c r="D101" s="127"/>
      <c r="E101" s="110"/>
      <c r="F101" s="127"/>
      <c r="G101" s="127"/>
      <c r="H101" s="127"/>
      <c r="I101" s="110"/>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row>
    <row r="102" spans="2:38" hidden="1" outlineLevel="1" x14ac:dyDescent="0.3">
      <c r="B102" s="287" t="s">
        <v>4</v>
      </c>
      <c r="C102" s="288"/>
      <c r="D102" s="157" t="s">
        <v>150</v>
      </c>
      <c r="E102" s="157" t="s">
        <v>151</v>
      </c>
      <c r="F102" s="157" t="s">
        <v>147</v>
      </c>
      <c r="G102" s="157" t="s">
        <v>146</v>
      </c>
      <c r="H102" s="157" t="s">
        <v>146</v>
      </c>
      <c r="I102" s="157" t="s">
        <v>148</v>
      </c>
      <c r="J102" s="157" t="s">
        <v>149</v>
      </c>
      <c r="K102" s="157" t="s">
        <v>145</v>
      </c>
      <c r="L102" s="157" t="s">
        <v>143</v>
      </c>
      <c r="M102" s="157" t="s">
        <v>143</v>
      </c>
      <c r="N102" s="157" t="s">
        <v>152</v>
      </c>
      <c r="O102" s="157" t="s">
        <v>153</v>
      </c>
      <c r="P102" s="119" t="s">
        <v>203</v>
      </c>
      <c r="Q102" s="119" t="s">
        <v>157</v>
      </c>
      <c r="R102" s="119" t="s">
        <v>157</v>
      </c>
      <c r="S102" s="119" t="s">
        <v>207</v>
      </c>
      <c r="T102" s="119" t="s">
        <v>208</v>
      </c>
      <c r="U102" s="119" t="s">
        <v>156</v>
      </c>
      <c r="V102" s="119" t="s">
        <v>158</v>
      </c>
      <c r="W102" s="119" t="s">
        <v>158</v>
      </c>
      <c r="X102" s="119" t="s">
        <v>209</v>
      </c>
      <c r="Y102" s="119" t="s">
        <v>210</v>
      </c>
      <c r="Z102" s="119" t="s">
        <v>212</v>
      </c>
      <c r="AA102" s="119" t="s">
        <v>159</v>
      </c>
      <c r="AB102" s="119" t="s">
        <v>159</v>
      </c>
      <c r="AC102" s="119" t="s">
        <v>213</v>
      </c>
      <c r="AD102" s="119" t="s">
        <v>214</v>
      </c>
      <c r="AE102" s="119" t="s">
        <v>211</v>
      </c>
      <c r="AF102" s="119" t="s">
        <v>160</v>
      </c>
      <c r="AG102" s="119" t="s">
        <v>160</v>
      </c>
      <c r="AH102" s="119" t="s">
        <v>215</v>
      </c>
      <c r="AI102" s="119" t="s">
        <v>216</v>
      </c>
      <c r="AJ102" s="119" t="s">
        <v>217</v>
      </c>
      <c r="AK102" s="119" t="s">
        <v>161</v>
      </c>
      <c r="AL102" s="120" t="s">
        <v>161</v>
      </c>
    </row>
    <row r="103" spans="2:38" ht="16.2" hidden="1" outlineLevel="1" x14ac:dyDescent="0.45">
      <c r="B103" s="274"/>
      <c r="C103" s="275"/>
      <c r="D103" s="158" t="s">
        <v>90</v>
      </c>
      <c r="E103" s="158" t="s">
        <v>96</v>
      </c>
      <c r="F103" s="158" t="s">
        <v>97</v>
      </c>
      <c r="G103" s="158" t="s">
        <v>100</v>
      </c>
      <c r="H103" s="158" t="s">
        <v>101</v>
      </c>
      <c r="I103" s="158" t="s">
        <v>124</v>
      </c>
      <c r="J103" s="158" t="s">
        <v>132</v>
      </c>
      <c r="K103" s="158" t="s">
        <v>135</v>
      </c>
      <c r="L103" s="158" t="s">
        <v>144</v>
      </c>
      <c r="M103" s="158" t="s">
        <v>142</v>
      </c>
      <c r="N103" s="158" t="s">
        <v>154</v>
      </c>
      <c r="O103" s="158" t="s">
        <v>155</v>
      </c>
      <c r="P103" s="121" t="s">
        <v>39</v>
      </c>
      <c r="Q103" s="121" t="s">
        <v>40</v>
      </c>
      <c r="R103" s="121" t="s">
        <v>41</v>
      </c>
      <c r="S103" s="121" t="s">
        <v>42</v>
      </c>
      <c r="T103" s="121" t="s">
        <v>43</v>
      </c>
      <c r="U103" s="121" t="s">
        <v>44</v>
      </c>
      <c r="V103" s="121" t="s">
        <v>45</v>
      </c>
      <c r="W103" s="121" t="s">
        <v>46</v>
      </c>
      <c r="X103" s="121" t="s">
        <v>47</v>
      </c>
      <c r="Y103" s="121" t="s">
        <v>48</v>
      </c>
      <c r="Z103" s="121" t="s">
        <v>49</v>
      </c>
      <c r="AA103" s="121" t="s">
        <v>50</v>
      </c>
      <c r="AB103" s="121" t="s">
        <v>51</v>
      </c>
      <c r="AC103" s="121" t="s">
        <v>102</v>
      </c>
      <c r="AD103" s="121" t="s">
        <v>103</v>
      </c>
      <c r="AE103" s="121" t="s">
        <v>104</v>
      </c>
      <c r="AF103" s="121" t="s">
        <v>105</v>
      </c>
      <c r="AG103" s="121" t="s">
        <v>106</v>
      </c>
      <c r="AH103" s="121" t="s">
        <v>136</v>
      </c>
      <c r="AI103" s="121" t="s">
        <v>137</v>
      </c>
      <c r="AJ103" s="121" t="s">
        <v>138</v>
      </c>
      <c r="AK103" s="121" t="s">
        <v>139</v>
      </c>
      <c r="AL103" s="122" t="s">
        <v>140</v>
      </c>
    </row>
    <row r="104" spans="2:38" hidden="1" outlineLevel="1" x14ac:dyDescent="0.3">
      <c r="B104" s="289" t="s">
        <v>9</v>
      </c>
      <c r="C104" s="290"/>
      <c r="D104" s="9"/>
      <c r="E104" s="102"/>
      <c r="F104" s="8"/>
      <c r="G104" s="8"/>
      <c r="H104" s="13"/>
      <c r="I104" s="9"/>
      <c r="J104" s="12"/>
      <c r="K104" s="223"/>
      <c r="L104" s="8"/>
      <c r="M104" s="13"/>
      <c r="N104" s="9"/>
      <c r="O104" s="12"/>
      <c r="P104" s="8"/>
      <c r="Q104" s="8"/>
      <c r="R104" s="13"/>
      <c r="S104" s="9"/>
      <c r="T104" s="12"/>
      <c r="U104" s="8"/>
      <c r="V104" s="8"/>
      <c r="W104" s="13"/>
      <c r="X104" s="9"/>
      <c r="Y104" s="12"/>
      <c r="Z104" s="8"/>
      <c r="AA104" s="8"/>
      <c r="AB104" s="13"/>
      <c r="AC104" s="9"/>
      <c r="AD104" s="12"/>
      <c r="AE104" s="8"/>
      <c r="AF104" s="8"/>
      <c r="AG104" s="13"/>
      <c r="AH104" s="9"/>
      <c r="AI104" s="12"/>
      <c r="AJ104" s="8"/>
      <c r="AK104" s="8"/>
      <c r="AL104" s="13"/>
    </row>
    <row r="105" spans="2:38" hidden="1" outlineLevel="1" x14ac:dyDescent="0.3">
      <c r="B105" s="282" t="s">
        <v>73</v>
      </c>
      <c r="C105" s="283"/>
      <c r="D105" s="151">
        <f>D187</f>
        <v>1005</v>
      </c>
      <c r="E105" s="151">
        <v>957</v>
      </c>
      <c r="F105" s="151">
        <v>916</v>
      </c>
      <c r="G105" s="151">
        <v>967</v>
      </c>
      <c r="H105" s="146">
        <f>G105</f>
        <v>967</v>
      </c>
      <c r="I105" s="151">
        <v>986</v>
      </c>
      <c r="J105" s="151">
        <v>970</v>
      </c>
      <c r="K105" s="151">
        <v>878</v>
      </c>
      <c r="L105" s="134">
        <v>1021</v>
      </c>
      <c r="M105" s="146">
        <f>L105</f>
        <v>1021</v>
      </c>
      <c r="N105" s="134">
        <v>1062</v>
      </c>
      <c r="O105" s="134">
        <v>945</v>
      </c>
      <c r="P105" s="134">
        <f>P187</f>
        <v>865</v>
      </c>
      <c r="Q105" s="134">
        <f>Q187</f>
        <v>995.44877505662942</v>
      </c>
      <c r="R105" s="146">
        <f>Q105</f>
        <v>995.44877505662942</v>
      </c>
      <c r="S105" s="134">
        <f>S187</f>
        <v>1269.226167633308</v>
      </c>
      <c r="T105" s="134">
        <f>T187</f>
        <v>1081.5871672520848</v>
      </c>
      <c r="U105" s="134">
        <f>U187</f>
        <v>1164.7661491084032</v>
      </c>
      <c r="V105" s="134">
        <f>V187</f>
        <v>1372.5332665580181</v>
      </c>
      <c r="W105" s="146">
        <f>V105</f>
        <v>1372.5332665580181</v>
      </c>
      <c r="X105" s="134">
        <f>X187</f>
        <v>1386.9472971044172</v>
      </c>
      <c r="Y105" s="134">
        <f>Y187</f>
        <v>1399.585312527711</v>
      </c>
      <c r="Z105" s="134">
        <f>Z187</f>
        <v>1381.8850601097247</v>
      </c>
      <c r="AA105" s="134">
        <f>AA187</f>
        <v>1484.7531199469929</v>
      </c>
      <c r="AB105" s="146">
        <f>AA105</f>
        <v>1484.7531199469929</v>
      </c>
      <c r="AC105" s="134">
        <f>AC187</f>
        <v>1562.7851541027549</v>
      </c>
      <c r="AD105" s="134">
        <f>AD187</f>
        <v>1598.2090197869925</v>
      </c>
      <c r="AE105" s="134">
        <f>AE187</f>
        <v>1679.6767405529072</v>
      </c>
      <c r="AF105" s="134">
        <f>AF187</f>
        <v>1739.6564510352305</v>
      </c>
      <c r="AG105" s="146">
        <f>AF105</f>
        <v>1739.6564510352305</v>
      </c>
      <c r="AH105" s="134">
        <f>AH187</f>
        <v>1826.4458202895021</v>
      </c>
      <c r="AI105" s="134">
        <f>AI187</f>
        <v>1814.8379354462711</v>
      </c>
      <c r="AJ105" s="134">
        <f>AJ187</f>
        <v>1955.0343062104007</v>
      </c>
      <c r="AK105" s="134">
        <f>AK187</f>
        <v>1862.0921844902364</v>
      </c>
      <c r="AL105" s="146">
        <f>AK105</f>
        <v>1862.0921844902364</v>
      </c>
    </row>
    <row r="106" spans="2:38" hidden="1" outlineLevel="1" x14ac:dyDescent="0.3">
      <c r="B106" s="211" t="s">
        <v>193</v>
      </c>
      <c r="C106" s="212"/>
      <c r="D106" s="151">
        <v>2</v>
      </c>
      <c r="E106" s="151">
        <v>0</v>
      </c>
      <c r="F106" s="151">
        <v>0</v>
      </c>
      <c r="G106" s="151">
        <v>0</v>
      </c>
      <c r="H106" s="146">
        <f t="shared" ref="H106:H108" si="532">G106</f>
        <v>0</v>
      </c>
      <c r="I106" s="151">
        <v>0</v>
      </c>
      <c r="J106" s="151">
        <v>0</v>
      </c>
      <c r="K106" s="151">
        <v>0</v>
      </c>
      <c r="L106" s="134">
        <v>0</v>
      </c>
      <c r="M106" s="146">
        <f>L106</f>
        <v>0</v>
      </c>
      <c r="N106" s="134">
        <v>0</v>
      </c>
      <c r="O106" s="134">
        <v>0</v>
      </c>
      <c r="P106" s="134">
        <f>P105*P140</f>
        <v>0</v>
      </c>
      <c r="Q106" s="134">
        <f>Q105*Q140</f>
        <v>0</v>
      </c>
      <c r="R106" s="146">
        <f>Q106</f>
        <v>0</v>
      </c>
      <c r="S106" s="134">
        <f>S105*S140</f>
        <v>0</v>
      </c>
      <c r="T106" s="134">
        <f>T105*T140</f>
        <v>0</v>
      </c>
      <c r="U106" s="134">
        <f>U105*U140</f>
        <v>0</v>
      </c>
      <c r="V106" s="134">
        <f>V105*V140</f>
        <v>0</v>
      </c>
      <c r="W106" s="146">
        <f>V106</f>
        <v>0</v>
      </c>
      <c r="X106" s="134">
        <f>X105*X140</f>
        <v>0</v>
      </c>
      <c r="Y106" s="134">
        <f>Y105*Y140</f>
        <v>0</v>
      </c>
      <c r="Z106" s="134">
        <f>Z105*Z140</f>
        <v>0</v>
      </c>
      <c r="AA106" s="134">
        <f>AA105*AA140</f>
        <v>0</v>
      </c>
      <c r="AB106" s="146">
        <f>AA106</f>
        <v>0</v>
      </c>
      <c r="AC106" s="134">
        <f>AC105*AC140</f>
        <v>0</v>
      </c>
      <c r="AD106" s="134">
        <f>AD105*AD140</f>
        <v>0</v>
      </c>
      <c r="AE106" s="134">
        <f>AE105*AE140</f>
        <v>0</v>
      </c>
      <c r="AF106" s="134">
        <f>AF105*AF140</f>
        <v>0</v>
      </c>
      <c r="AG106" s="146">
        <f>AF106</f>
        <v>0</v>
      </c>
      <c r="AH106" s="134">
        <f>AH105*AH140</f>
        <v>0</v>
      </c>
      <c r="AI106" s="134">
        <f>AI105*AI140</f>
        <v>0</v>
      </c>
      <c r="AJ106" s="134">
        <f>AJ105*AJ140</f>
        <v>0</v>
      </c>
      <c r="AK106" s="134">
        <f>AK105*AK140</f>
        <v>0</v>
      </c>
      <c r="AL106" s="146">
        <f>AK106</f>
        <v>0</v>
      </c>
    </row>
    <row r="107" spans="2:38" hidden="1" outlineLevel="1" x14ac:dyDescent="0.3">
      <c r="B107" s="282" t="s">
        <v>5</v>
      </c>
      <c r="C107" s="283"/>
      <c r="D107" s="151">
        <v>1268</v>
      </c>
      <c r="E107" s="151">
        <v>1335</v>
      </c>
      <c r="F107" s="151">
        <v>1324</v>
      </c>
      <c r="G107" s="151">
        <v>1250</v>
      </c>
      <c r="H107" s="146">
        <f t="shared" si="532"/>
        <v>1250</v>
      </c>
      <c r="I107" s="151">
        <v>1234</v>
      </c>
      <c r="J107" s="151">
        <v>1317</v>
      </c>
      <c r="K107" s="151">
        <v>1336</v>
      </c>
      <c r="L107" s="151">
        <v>1285</v>
      </c>
      <c r="M107" s="81">
        <f t="shared" ref="M107:Q108" si="533">L107</f>
        <v>1285</v>
      </c>
      <c r="N107" s="151">
        <v>1260</v>
      </c>
      <c r="O107" s="151">
        <v>1339</v>
      </c>
      <c r="P107" s="78">
        <v>1361</v>
      </c>
      <c r="Q107" s="134">
        <f>(Q13/Q138*2)-P107</f>
        <v>1556.8947368421045</v>
      </c>
      <c r="R107" s="146">
        <f t="shared" ref="R107:T108" si="534">Q107</f>
        <v>1556.8947368421045</v>
      </c>
      <c r="S107" s="134">
        <f>(S13/S138*2)-Q107</f>
        <v>1083.1052631578946</v>
      </c>
      <c r="T107" s="134">
        <f>(T13/T138*2)-S107</f>
        <v>1538.6338672768879</v>
      </c>
      <c r="U107" s="253">
        <f>(U13/U138*2)-T107</f>
        <v>1240.3135011441636</v>
      </c>
      <c r="V107" s="134">
        <f>(V13/V138*2)-U107</f>
        <v>1363.966263539286</v>
      </c>
      <c r="W107" s="146">
        <f t="shared" ref="W107:W108" si="535">V107</f>
        <v>1363.966263539286</v>
      </c>
      <c r="X107" s="134">
        <f>(X13/X138*2)-V107</f>
        <v>1070.6018299715956</v>
      </c>
      <c r="Y107" s="134">
        <f>(Y13/Y138*2)-X107</f>
        <v>1401.6831494080702</v>
      </c>
      <c r="Z107" s="253">
        <f>(Z13/Z138*2)-Y107</f>
        <v>1200.3959581599247</v>
      </c>
      <c r="AA107" s="134">
        <f>(AA13/AA138*2)-Z107</f>
        <v>1462.4070569542801</v>
      </c>
      <c r="AB107" s="146">
        <f t="shared" ref="AB107:AB108" si="536">AA107</f>
        <v>1462.4070569542801</v>
      </c>
      <c r="AC107" s="134">
        <f>(AC13/AC138*2)-AA107</f>
        <v>1122.8130179761952</v>
      </c>
      <c r="AD107" s="134">
        <f>(AD13/AD138*2)-AC107</f>
        <v>1424.5967524193989</v>
      </c>
      <c r="AE107" s="253">
        <f>(AE13/AE138*2)-AD107</f>
        <v>1178.8261309601608</v>
      </c>
      <c r="AF107" s="134">
        <f>(AF13/AF138*2)-AE107</f>
        <v>1439.5487728050002</v>
      </c>
      <c r="AG107" s="146">
        <f t="shared" ref="AG107:AG108" si="537">AF107</f>
        <v>1439.5487728050002</v>
      </c>
      <c r="AH107" s="134">
        <f>(AH13/AH138*2)-AF107</f>
        <v>1100.8150164635986</v>
      </c>
      <c r="AI107" s="134">
        <f>(AI13/AI138*2)-AH107</f>
        <v>1472.5059650417775</v>
      </c>
      <c r="AJ107" s="253">
        <f>(AJ13/AJ138*2)-AI107</f>
        <v>1159.4242505994307</v>
      </c>
      <c r="AK107" s="134">
        <f>(AK13/AK138*2)-AJ107</f>
        <v>1493.2607681035311</v>
      </c>
      <c r="AL107" s="146">
        <f t="shared" ref="AL107:AL108" si="538">AK107</f>
        <v>1493.2607681035311</v>
      </c>
    </row>
    <row r="108" spans="2:38" ht="16.2" hidden="1" outlineLevel="1" x14ac:dyDescent="0.45">
      <c r="B108" s="282" t="s">
        <v>181</v>
      </c>
      <c r="C108" s="283"/>
      <c r="D108" s="154">
        <v>243</v>
      </c>
      <c r="E108" s="154">
        <v>260</v>
      </c>
      <c r="F108" s="154">
        <v>244</v>
      </c>
      <c r="G108" s="154">
        <v>239</v>
      </c>
      <c r="H108" s="322">
        <f t="shared" si="532"/>
        <v>239</v>
      </c>
      <c r="I108" s="154">
        <v>259</v>
      </c>
      <c r="J108" s="154">
        <v>268</v>
      </c>
      <c r="K108" s="154">
        <v>277</v>
      </c>
      <c r="L108" s="154">
        <v>300</v>
      </c>
      <c r="M108" s="94">
        <f t="shared" si="533"/>
        <v>300</v>
      </c>
      <c r="N108" s="154">
        <v>270</v>
      </c>
      <c r="O108" s="154">
        <v>301</v>
      </c>
      <c r="P108" s="154">
        <v>291</v>
      </c>
      <c r="Q108" s="237">
        <f t="shared" si="533"/>
        <v>291</v>
      </c>
      <c r="R108" s="322">
        <f t="shared" si="534"/>
        <v>291</v>
      </c>
      <c r="S108" s="237">
        <f t="shared" si="534"/>
        <v>291</v>
      </c>
      <c r="T108" s="237">
        <f t="shared" si="534"/>
        <v>291</v>
      </c>
      <c r="U108" s="237">
        <f>T108</f>
        <v>291</v>
      </c>
      <c r="V108" s="237">
        <f t="shared" ref="V108" si="539">U108</f>
        <v>291</v>
      </c>
      <c r="W108" s="322">
        <f t="shared" si="535"/>
        <v>291</v>
      </c>
      <c r="X108" s="237">
        <f t="shared" ref="X108" si="540">W108</f>
        <v>291</v>
      </c>
      <c r="Y108" s="237">
        <f t="shared" ref="Y108" si="541">X108</f>
        <v>291</v>
      </c>
      <c r="Z108" s="237">
        <f t="shared" ref="Z108" si="542">Y108</f>
        <v>291</v>
      </c>
      <c r="AA108" s="237">
        <f t="shared" ref="AA108" si="543">Z108</f>
        <v>291</v>
      </c>
      <c r="AB108" s="322">
        <f t="shared" si="536"/>
        <v>291</v>
      </c>
      <c r="AC108" s="237">
        <f t="shared" ref="AC108" si="544">AB108</f>
        <v>291</v>
      </c>
      <c r="AD108" s="237">
        <f t="shared" ref="AD108" si="545">AC108</f>
        <v>291</v>
      </c>
      <c r="AE108" s="237">
        <f t="shared" ref="AE108" si="546">AD108</f>
        <v>291</v>
      </c>
      <c r="AF108" s="237">
        <f t="shared" ref="AF108" si="547">AE108</f>
        <v>291</v>
      </c>
      <c r="AG108" s="322">
        <f t="shared" si="537"/>
        <v>291</v>
      </c>
      <c r="AH108" s="237">
        <f t="shared" ref="AH108" si="548">AG108</f>
        <v>291</v>
      </c>
      <c r="AI108" s="237">
        <f t="shared" ref="AI108" si="549">AH108</f>
        <v>291</v>
      </c>
      <c r="AJ108" s="237">
        <f t="shared" ref="AJ108" si="550">AI108</f>
        <v>291</v>
      </c>
      <c r="AK108" s="237">
        <f t="shared" ref="AK108" si="551">AJ108</f>
        <v>291</v>
      </c>
      <c r="AL108" s="322">
        <f t="shared" si="538"/>
        <v>291</v>
      </c>
    </row>
    <row r="109" spans="2:38" hidden="1" outlineLevel="1" x14ac:dyDescent="0.3">
      <c r="B109" s="262" t="s">
        <v>6</v>
      </c>
      <c r="C109" s="263"/>
      <c r="D109" s="150">
        <f t="shared" ref="D109:T109" si="552">SUM(D105:D108)</f>
        <v>2518</v>
      </c>
      <c r="E109" s="150">
        <f t="shared" si="552"/>
        <v>2552</v>
      </c>
      <c r="F109" s="150">
        <f t="shared" si="552"/>
        <v>2484</v>
      </c>
      <c r="G109" s="150">
        <f t="shared" si="552"/>
        <v>2456</v>
      </c>
      <c r="H109" s="2">
        <f t="shared" si="552"/>
        <v>2456</v>
      </c>
      <c r="I109" s="150">
        <f t="shared" si="552"/>
        <v>2479</v>
      </c>
      <c r="J109" s="150">
        <f t="shared" si="552"/>
        <v>2555</v>
      </c>
      <c r="K109" s="150">
        <f t="shared" si="552"/>
        <v>2491</v>
      </c>
      <c r="L109" s="150">
        <f t="shared" si="552"/>
        <v>2606</v>
      </c>
      <c r="M109" s="99">
        <f t="shared" si="552"/>
        <v>2606</v>
      </c>
      <c r="N109" s="150">
        <f t="shared" si="552"/>
        <v>2592</v>
      </c>
      <c r="O109" s="150">
        <f t="shared" si="552"/>
        <v>2585</v>
      </c>
      <c r="P109" s="150">
        <f t="shared" si="552"/>
        <v>2517</v>
      </c>
      <c r="Q109" s="26">
        <f t="shared" si="552"/>
        <v>2843.3435118987341</v>
      </c>
      <c r="R109" s="2">
        <f t="shared" si="552"/>
        <v>2843.3435118987341</v>
      </c>
      <c r="S109" s="26">
        <f>SUM(S105:S108)</f>
        <v>2643.3314307912024</v>
      </c>
      <c r="T109" s="26">
        <f t="shared" si="552"/>
        <v>2911.2210345289727</v>
      </c>
      <c r="U109" s="26">
        <f t="shared" ref="U109:W109" si="553">SUM(U105:U108)</f>
        <v>2696.0796502525668</v>
      </c>
      <c r="V109" s="26">
        <f t="shared" si="553"/>
        <v>3027.4995300973042</v>
      </c>
      <c r="W109" s="2">
        <f t="shared" si="553"/>
        <v>3027.4995300973042</v>
      </c>
      <c r="X109" s="26">
        <f>SUM(X105:X108)</f>
        <v>2748.5491270760131</v>
      </c>
      <c r="Y109" s="26">
        <f t="shared" ref="Y109:AB109" si="554">SUM(Y105:Y108)</f>
        <v>3092.2684619357815</v>
      </c>
      <c r="Z109" s="26">
        <f t="shared" si="554"/>
        <v>2873.2810182696494</v>
      </c>
      <c r="AA109" s="26">
        <f t="shared" si="554"/>
        <v>3238.1601769012732</v>
      </c>
      <c r="AB109" s="2">
        <f t="shared" si="554"/>
        <v>3238.1601769012732</v>
      </c>
      <c r="AC109" s="26">
        <f>SUM(AC105:AC108)</f>
        <v>2976.59817207895</v>
      </c>
      <c r="AD109" s="26">
        <f t="shared" ref="AD109:AG109" si="555">SUM(AD105:AD108)</f>
        <v>3313.8057722063913</v>
      </c>
      <c r="AE109" s="26">
        <f t="shared" si="555"/>
        <v>3149.5028715130679</v>
      </c>
      <c r="AF109" s="26">
        <f t="shared" si="555"/>
        <v>3470.2052238402307</v>
      </c>
      <c r="AG109" s="2">
        <f t="shared" si="555"/>
        <v>3470.2052238402307</v>
      </c>
      <c r="AH109" s="26">
        <f>SUM(AH105:AH108)</f>
        <v>3218.2608367531006</v>
      </c>
      <c r="AI109" s="26">
        <f t="shared" ref="AI109:AL109" si="556">SUM(AI105:AI108)</f>
        <v>3578.3439004880483</v>
      </c>
      <c r="AJ109" s="26">
        <f t="shared" si="556"/>
        <v>3405.4585568098314</v>
      </c>
      <c r="AK109" s="26">
        <f t="shared" si="556"/>
        <v>3646.3529525937674</v>
      </c>
      <c r="AL109" s="2">
        <f t="shared" si="556"/>
        <v>3646.3529525937674</v>
      </c>
    </row>
    <row r="110" spans="2:38" hidden="1" outlineLevel="1" x14ac:dyDescent="0.3">
      <c r="B110" s="282" t="s">
        <v>7</v>
      </c>
      <c r="C110" s="283"/>
      <c r="D110" s="151">
        <v>598</v>
      </c>
      <c r="E110" s="151">
        <v>604</v>
      </c>
      <c r="F110" s="151">
        <v>613</v>
      </c>
      <c r="G110" s="151">
        <v>620</v>
      </c>
      <c r="H110" s="146">
        <f t="shared" ref="H110:H114" si="557">G110</f>
        <v>620</v>
      </c>
      <c r="I110" s="151">
        <v>639</v>
      </c>
      <c r="J110" s="151">
        <v>644</v>
      </c>
      <c r="K110" s="151">
        <v>664</v>
      </c>
      <c r="L110" s="151">
        <v>661</v>
      </c>
      <c r="M110" s="81">
        <f t="shared" ref="M110:M114" si="558">L110</f>
        <v>661</v>
      </c>
      <c r="N110" s="151">
        <v>706</v>
      </c>
      <c r="O110" s="151">
        <v>726</v>
      </c>
      <c r="P110" s="151">
        <v>732</v>
      </c>
      <c r="Q110" s="151">
        <f>P110-Q154-Q170</f>
        <v>766.12800000000004</v>
      </c>
      <c r="R110" s="146">
        <f t="shared" ref="R110:R114" si="559">Q110</f>
        <v>766.12800000000004</v>
      </c>
      <c r="S110" s="151">
        <f>Q110-S154-S170</f>
        <v>801.37555800000007</v>
      </c>
      <c r="T110" s="151">
        <f t="shared" ref="T110" si="560">S110-T154-T170</f>
        <v>831.03726621300007</v>
      </c>
      <c r="U110" s="151">
        <f>T110-U154-U170</f>
        <v>861.8269009713556</v>
      </c>
      <c r="V110" s="151">
        <f>U110-V154-V170</f>
        <v>887.31214641097017</v>
      </c>
      <c r="W110" s="146">
        <f t="shared" ref="W110" si="561">V110</f>
        <v>887.31214641097017</v>
      </c>
      <c r="X110" s="151">
        <f>V110-X154-X170</f>
        <v>911.30610752533858</v>
      </c>
      <c r="Y110" s="151">
        <f t="shared" ref="Y110" si="562">X110-Y154-Y170</f>
        <v>933.9888696660264</v>
      </c>
      <c r="Z110" s="151">
        <f>Y110-Z154-Z170</f>
        <v>955.43469864045517</v>
      </c>
      <c r="AA110" s="151">
        <f>Z110-AA154-AA170</f>
        <v>975.71111995033334</v>
      </c>
      <c r="AB110" s="146">
        <f t="shared" ref="AB110" si="563">AA110</f>
        <v>975.71111995033334</v>
      </c>
      <c r="AC110" s="151">
        <f>AA110-AC154-AC170</f>
        <v>994.88190162767739</v>
      </c>
      <c r="AD110" s="151">
        <f t="shared" ref="AD110" si="564">AC110-AD154-AD170</f>
        <v>1013.0073324258601</v>
      </c>
      <c r="AE110" s="151">
        <f>AD110-AE154-AE170</f>
        <v>1030.1444135934414</v>
      </c>
      <c r="AF110" s="151">
        <f>AE110-AF154-AF170</f>
        <v>1046.3470381939301</v>
      </c>
      <c r="AG110" s="146">
        <f t="shared" ref="AG110" si="565">AF110</f>
        <v>1046.3470381939301</v>
      </c>
      <c r="AH110" s="151">
        <f>AF110-AH154-AH170</f>
        <v>1061.6661605915647</v>
      </c>
      <c r="AI110" s="151">
        <f t="shared" ref="AI110" si="566">AH110-AI154-AI170</f>
        <v>1076.1499566937491</v>
      </c>
      <c r="AJ110" s="151">
        <f>AI110-AJ154-AJ170</f>
        <v>1089.8439754556885</v>
      </c>
      <c r="AK110" s="151">
        <f>AJ110-AK154-AK170</f>
        <v>1102.7912821237285</v>
      </c>
      <c r="AL110" s="146">
        <f t="shared" ref="AL110" si="567">AK110</f>
        <v>1102.7912821237285</v>
      </c>
    </row>
    <row r="111" spans="2:38" hidden="1" outlineLevel="1" x14ac:dyDescent="0.3">
      <c r="B111" s="282" t="s">
        <v>93</v>
      </c>
      <c r="C111" s="283"/>
      <c r="D111" s="151">
        <v>245</v>
      </c>
      <c r="E111" s="151">
        <v>247</v>
      </c>
      <c r="F111" s="151">
        <v>237</v>
      </c>
      <c r="G111" s="151">
        <v>221</v>
      </c>
      <c r="H111" s="146">
        <f t="shared" si="557"/>
        <v>221</v>
      </c>
      <c r="I111" s="151">
        <v>226</v>
      </c>
      <c r="J111" s="151">
        <v>222</v>
      </c>
      <c r="K111" s="151">
        <v>256</v>
      </c>
      <c r="L111" s="151">
        <v>234</v>
      </c>
      <c r="M111" s="81">
        <f t="shared" si="558"/>
        <v>234</v>
      </c>
      <c r="N111" s="151">
        <v>182</v>
      </c>
      <c r="O111" s="151">
        <v>174</v>
      </c>
      <c r="P111" s="151">
        <v>171</v>
      </c>
      <c r="Q111" s="172">
        <f t="shared" ref="Q111" si="568">P111</f>
        <v>171</v>
      </c>
      <c r="R111" s="146">
        <f>Q111</f>
        <v>171</v>
      </c>
      <c r="S111" s="172">
        <f>Q111</f>
        <v>171</v>
      </c>
      <c r="T111" s="172">
        <f t="shared" ref="T111" si="569">S111</f>
        <v>171</v>
      </c>
      <c r="U111" s="172">
        <f t="shared" ref="U111:U114" si="570">T111</f>
        <v>171</v>
      </c>
      <c r="V111" s="172">
        <f t="shared" ref="V111:V114" si="571">U111</f>
        <v>171</v>
      </c>
      <c r="W111" s="146">
        <f>V111</f>
        <v>171</v>
      </c>
      <c r="X111" s="172">
        <f>V111</f>
        <v>171</v>
      </c>
      <c r="Y111" s="172">
        <f t="shared" ref="Y111:Y114" si="572">X111</f>
        <v>171</v>
      </c>
      <c r="Z111" s="172">
        <f t="shared" ref="Z111:Z114" si="573">Y111</f>
        <v>171</v>
      </c>
      <c r="AA111" s="172">
        <f t="shared" ref="AA111:AA114" si="574">Z111</f>
        <v>171</v>
      </c>
      <c r="AB111" s="146">
        <f>AA111</f>
        <v>171</v>
      </c>
      <c r="AC111" s="172">
        <f>AA111</f>
        <v>171</v>
      </c>
      <c r="AD111" s="172">
        <f t="shared" ref="AD111:AD114" si="575">AC111</f>
        <v>171</v>
      </c>
      <c r="AE111" s="172">
        <f t="shared" ref="AE111:AE114" si="576">AD111</f>
        <v>171</v>
      </c>
      <c r="AF111" s="172">
        <f t="shared" ref="AF111:AF114" si="577">AE111</f>
        <v>171</v>
      </c>
      <c r="AG111" s="146">
        <f>AF111</f>
        <v>171</v>
      </c>
      <c r="AH111" s="172">
        <f>AF111</f>
        <v>171</v>
      </c>
      <c r="AI111" s="172">
        <f t="shared" ref="AI111:AI114" si="578">AH111</f>
        <v>171</v>
      </c>
      <c r="AJ111" s="172">
        <f t="shared" ref="AJ111:AJ114" si="579">AI111</f>
        <v>171</v>
      </c>
      <c r="AK111" s="172">
        <f t="shared" ref="AK111:AK114" si="580">AJ111</f>
        <v>171</v>
      </c>
      <c r="AL111" s="146">
        <f>AK111</f>
        <v>171</v>
      </c>
    </row>
    <row r="112" spans="2:38" hidden="1" outlineLevel="1" x14ac:dyDescent="0.3">
      <c r="B112" s="211" t="s">
        <v>74</v>
      </c>
      <c r="C112" s="212"/>
      <c r="D112" s="151">
        <v>163</v>
      </c>
      <c r="E112" s="151">
        <v>162</v>
      </c>
      <c r="F112" s="151">
        <v>160</v>
      </c>
      <c r="G112" s="151">
        <v>157</v>
      </c>
      <c r="H112" s="146">
        <f t="shared" si="557"/>
        <v>157</v>
      </c>
      <c r="I112" s="151">
        <v>156</v>
      </c>
      <c r="J112" s="151">
        <v>156</v>
      </c>
      <c r="K112" s="151">
        <v>156</v>
      </c>
      <c r="L112" s="151">
        <v>156</v>
      </c>
      <c r="M112" s="81">
        <f t="shared" si="558"/>
        <v>156</v>
      </c>
      <c r="N112" s="151">
        <v>157</v>
      </c>
      <c r="O112" s="151">
        <v>156</v>
      </c>
      <c r="P112" s="172">
        <f t="shared" ref="P112:Q114" si="581">O112</f>
        <v>156</v>
      </c>
      <c r="Q112" s="172">
        <f t="shared" si="581"/>
        <v>156</v>
      </c>
      <c r="R112" s="146">
        <f t="shared" si="559"/>
        <v>156</v>
      </c>
      <c r="S112" s="172">
        <f>Q112</f>
        <v>156</v>
      </c>
      <c r="T112" s="172">
        <f t="shared" ref="T112:T114" si="582">S112</f>
        <v>156</v>
      </c>
      <c r="U112" s="172">
        <f t="shared" si="570"/>
        <v>156</v>
      </c>
      <c r="V112" s="172">
        <f t="shared" si="571"/>
        <v>156</v>
      </c>
      <c r="W112" s="146">
        <f t="shared" ref="W112:W114" si="583">V112</f>
        <v>156</v>
      </c>
      <c r="X112" s="172">
        <f>V112</f>
        <v>156</v>
      </c>
      <c r="Y112" s="172">
        <f t="shared" si="572"/>
        <v>156</v>
      </c>
      <c r="Z112" s="172">
        <f t="shared" si="573"/>
        <v>156</v>
      </c>
      <c r="AA112" s="172">
        <f t="shared" si="574"/>
        <v>156</v>
      </c>
      <c r="AB112" s="146">
        <f t="shared" ref="AB112:AB114" si="584">AA112</f>
        <v>156</v>
      </c>
      <c r="AC112" s="172">
        <f>AA112</f>
        <v>156</v>
      </c>
      <c r="AD112" s="172">
        <f t="shared" si="575"/>
        <v>156</v>
      </c>
      <c r="AE112" s="172">
        <f t="shared" si="576"/>
        <v>156</v>
      </c>
      <c r="AF112" s="172">
        <f t="shared" si="577"/>
        <v>156</v>
      </c>
      <c r="AG112" s="146">
        <f t="shared" ref="AG112:AG114" si="585">AF112</f>
        <v>156</v>
      </c>
      <c r="AH112" s="172">
        <f>AF112</f>
        <v>156</v>
      </c>
      <c r="AI112" s="172">
        <f t="shared" si="578"/>
        <v>156</v>
      </c>
      <c r="AJ112" s="172">
        <f t="shared" si="579"/>
        <v>156</v>
      </c>
      <c r="AK112" s="172">
        <f t="shared" si="580"/>
        <v>156</v>
      </c>
      <c r="AL112" s="146">
        <f t="shared" ref="AL112:AL114" si="586">AK112</f>
        <v>156</v>
      </c>
    </row>
    <row r="113" spans="2:38" hidden="1" outlineLevel="1" x14ac:dyDescent="0.3">
      <c r="B113" s="211" t="s">
        <v>183</v>
      </c>
      <c r="C113" s="212"/>
      <c r="D113" s="151">
        <v>65</v>
      </c>
      <c r="E113" s="151">
        <v>61</v>
      </c>
      <c r="F113" s="151">
        <v>56</v>
      </c>
      <c r="G113" s="151">
        <v>49</v>
      </c>
      <c r="H113" s="146">
        <f t="shared" si="557"/>
        <v>49</v>
      </c>
      <c r="I113" s="151">
        <v>48</v>
      </c>
      <c r="J113" s="151">
        <v>46</v>
      </c>
      <c r="K113" s="151">
        <v>46</v>
      </c>
      <c r="L113" s="151">
        <v>45</v>
      </c>
      <c r="M113" s="81">
        <f t="shared" si="558"/>
        <v>45</v>
      </c>
      <c r="N113" s="151">
        <v>46</v>
      </c>
      <c r="O113" s="151">
        <v>44</v>
      </c>
      <c r="P113" s="172">
        <f t="shared" si="581"/>
        <v>44</v>
      </c>
      <c r="Q113" s="172">
        <f t="shared" si="581"/>
        <v>44</v>
      </c>
      <c r="R113" s="146">
        <f t="shared" si="559"/>
        <v>44</v>
      </c>
      <c r="S113" s="172">
        <f>Q113</f>
        <v>44</v>
      </c>
      <c r="T113" s="172">
        <f t="shared" si="582"/>
        <v>44</v>
      </c>
      <c r="U113" s="172">
        <f t="shared" si="570"/>
        <v>44</v>
      </c>
      <c r="V113" s="172">
        <f t="shared" si="571"/>
        <v>44</v>
      </c>
      <c r="W113" s="146">
        <f t="shared" si="583"/>
        <v>44</v>
      </c>
      <c r="X113" s="172">
        <f>V113</f>
        <v>44</v>
      </c>
      <c r="Y113" s="172">
        <f t="shared" si="572"/>
        <v>44</v>
      </c>
      <c r="Z113" s="172">
        <f t="shared" si="573"/>
        <v>44</v>
      </c>
      <c r="AA113" s="172">
        <f t="shared" si="574"/>
        <v>44</v>
      </c>
      <c r="AB113" s="146">
        <f t="shared" si="584"/>
        <v>44</v>
      </c>
      <c r="AC113" s="172">
        <f>AA113</f>
        <v>44</v>
      </c>
      <c r="AD113" s="172">
        <f t="shared" si="575"/>
        <v>44</v>
      </c>
      <c r="AE113" s="172">
        <f t="shared" si="576"/>
        <v>44</v>
      </c>
      <c r="AF113" s="172">
        <f t="shared" si="577"/>
        <v>44</v>
      </c>
      <c r="AG113" s="146">
        <f t="shared" si="585"/>
        <v>44</v>
      </c>
      <c r="AH113" s="172">
        <f>AF113</f>
        <v>44</v>
      </c>
      <c r="AI113" s="172">
        <f t="shared" si="578"/>
        <v>44</v>
      </c>
      <c r="AJ113" s="172">
        <f t="shared" si="579"/>
        <v>44</v>
      </c>
      <c r="AK113" s="172">
        <f t="shared" si="580"/>
        <v>44</v>
      </c>
      <c r="AL113" s="146">
        <f t="shared" si="586"/>
        <v>44</v>
      </c>
    </row>
    <row r="114" spans="2:38" ht="16.2" hidden="1" outlineLevel="1" x14ac:dyDescent="0.45">
      <c r="B114" s="282" t="s">
        <v>182</v>
      </c>
      <c r="C114" s="283"/>
      <c r="D114" s="154">
        <v>80</v>
      </c>
      <c r="E114" s="154">
        <v>72</v>
      </c>
      <c r="F114" s="154">
        <v>68</v>
      </c>
      <c r="G114" s="154">
        <v>74</v>
      </c>
      <c r="H114" s="322">
        <f t="shared" si="557"/>
        <v>74</v>
      </c>
      <c r="I114" s="154">
        <v>83</v>
      </c>
      <c r="J114" s="154">
        <v>81</v>
      </c>
      <c r="K114" s="154">
        <v>82</v>
      </c>
      <c r="L114" s="154">
        <v>73</v>
      </c>
      <c r="M114" s="94">
        <f t="shared" si="558"/>
        <v>73</v>
      </c>
      <c r="N114" s="154">
        <v>75</v>
      </c>
      <c r="O114" s="154">
        <v>77</v>
      </c>
      <c r="P114" s="237">
        <f>274-P113-P112</f>
        <v>74</v>
      </c>
      <c r="Q114" s="237">
        <f t="shared" si="581"/>
        <v>74</v>
      </c>
      <c r="R114" s="322">
        <f t="shared" si="559"/>
        <v>74</v>
      </c>
      <c r="S114" s="237">
        <f>R114</f>
        <v>74</v>
      </c>
      <c r="T114" s="237">
        <f t="shared" si="582"/>
        <v>74</v>
      </c>
      <c r="U114" s="237">
        <f t="shared" si="570"/>
        <v>74</v>
      </c>
      <c r="V114" s="237">
        <f t="shared" si="571"/>
        <v>74</v>
      </c>
      <c r="W114" s="322">
        <f t="shared" si="583"/>
        <v>74</v>
      </c>
      <c r="X114" s="237">
        <f>W114</f>
        <v>74</v>
      </c>
      <c r="Y114" s="237">
        <f t="shared" si="572"/>
        <v>74</v>
      </c>
      <c r="Z114" s="237">
        <f t="shared" si="573"/>
        <v>74</v>
      </c>
      <c r="AA114" s="237">
        <f t="shared" si="574"/>
        <v>74</v>
      </c>
      <c r="AB114" s="322">
        <f t="shared" si="584"/>
        <v>74</v>
      </c>
      <c r="AC114" s="237">
        <f>AB114</f>
        <v>74</v>
      </c>
      <c r="AD114" s="237">
        <f t="shared" si="575"/>
        <v>74</v>
      </c>
      <c r="AE114" s="237">
        <f t="shared" si="576"/>
        <v>74</v>
      </c>
      <c r="AF114" s="237">
        <f t="shared" si="577"/>
        <v>74</v>
      </c>
      <c r="AG114" s="322">
        <f t="shared" si="585"/>
        <v>74</v>
      </c>
      <c r="AH114" s="237">
        <f>AG114</f>
        <v>74</v>
      </c>
      <c r="AI114" s="237">
        <f t="shared" si="578"/>
        <v>74</v>
      </c>
      <c r="AJ114" s="237">
        <f t="shared" si="579"/>
        <v>74</v>
      </c>
      <c r="AK114" s="237">
        <f t="shared" si="580"/>
        <v>74</v>
      </c>
      <c r="AL114" s="322">
        <f t="shared" si="586"/>
        <v>74</v>
      </c>
    </row>
    <row r="115" spans="2:38" hidden="1" outlineLevel="1" x14ac:dyDescent="0.3">
      <c r="B115" s="262" t="s">
        <v>8</v>
      </c>
      <c r="C115" s="263"/>
      <c r="D115" s="150">
        <f t="shared" ref="D115:M115" si="587">SUM(D109:D114)</f>
        <v>3669</v>
      </c>
      <c r="E115" s="150">
        <f t="shared" si="587"/>
        <v>3698</v>
      </c>
      <c r="F115" s="150">
        <f t="shared" si="587"/>
        <v>3618</v>
      </c>
      <c r="G115" s="150">
        <f t="shared" si="587"/>
        <v>3577</v>
      </c>
      <c r="H115" s="2">
        <f t="shared" si="587"/>
        <v>3577</v>
      </c>
      <c r="I115" s="150">
        <f>SUM(I109:I114)</f>
        <v>3631</v>
      </c>
      <c r="J115" s="150">
        <f>SUM(J109:J114)</f>
        <v>3704</v>
      </c>
      <c r="K115" s="150">
        <f>SUM(K109:K114)</f>
        <v>3695</v>
      </c>
      <c r="L115" s="150">
        <f>SUM(L109:L114)</f>
        <v>3775</v>
      </c>
      <c r="M115" s="99">
        <f t="shared" si="587"/>
        <v>3775</v>
      </c>
      <c r="N115" s="150">
        <f t="shared" ref="N115:T115" si="588">SUM(N109:N114)</f>
        <v>3758</v>
      </c>
      <c r="O115" s="150">
        <f t="shared" si="588"/>
        <v>3762</v>
      </c>
      <c r="P115" s="26">
        <f t="shared" si="588"/>
        <v>3694</v>
      </c>
      <c r="Q115" s="26">
        <f t="shared" si="588"/>
        <v>4054.4715118987342</v>
      </c>
      <c r="R115" s="2">
        <f t="shared" si="588"/>
        <v>4054.4715118987342</v>
      </c>
      <c r="S115" s="26">
        <f>SUM(S109:S114)</f>
        <v>3889.7069887912025</v>
      </c>
      <c r="T115" s="26">
        <f t="shared" si="588"/>
        <v>4187.2583007419726</v>
      </c>
      <c r="U115" s="26">
        <f t="shared" ref="U115:W115" si="589">SUM(U109:U114)</f>
        <v>4002.9065512239222</v>
      </c>
      <c r="V115" s="26">
        <f t="shared" si="589"/>
        <v>4359.8116765082741</v>
      </c>
      <c r="W115" s="2">
        <f t="shared" si="589"/>
        <v>4359.8116765082741</v>
      </c>
      <c r="X115" s="26">
        <f>SUM(X109:X114)</f>
        <v>4104.8552346013512</v>
      </c>
      <c r="Y115" s="26">
        <f t="shared" ref="Y115:AB115" si="590">SUM(Y109:Y114)</f>
        <v>4471.2573316018079</v>
      </c>
      <c r="Z115" s="26">
        <f t="shared" si="590"/>
        <v>4273.7157169101047</v>
      </c>
      <c r="AA115" s="26">
        <f t="shared" si="590"/>
        <v>4658.8712968516065</v>
      </c>
      <c r="AB115" s="2">
        <f t="shared" si="590"/>
        <v>4658.8712968516065</v>
      </c>
      <c r="AC115" s="26">
        <f>SUM(AC109:AC114)</f>
        <v>4416.4800737066271</v>
      </c>
      <c r="AD115" s="26">
        <f t="shared" ref="AD115:AG115" si="591">SUM(AD109:AD114)</f>
        <v>4771.8131046322515</v>
      </c>
      <c r="AE115" s="26">
        <f t="shared" si="591"/>
        <v>4624.6472851065091</v>
      </c>
      <c r="AF115" s="26">
        <f t="shared" si="591"/>
        <v>4961.5522620341608</v>
      </c>
      <c r="AG115" s="2">
        <f t="shared" si="591"/>
        <v>4961.5522620341608</v>
      </c>
      <c r="AH115" s="26">
        <f>SUM(AH109:AH114)</f>
        <v>4724.9269973446653</v>
      </c>
      <c r="AI115" s="26">
        <f t="shared" ref="AI115:AL115" si="592">SUM(AI109:AI114)</f>
        <v>5099.4938571817975</v>
      </c>
      <c r="AJ115" s="26">
        <f t="shared" si="592"/>
        <v>4940.3025322655194</v>
      </c>
      <c r="AK115" s="26">
        <f t="shared" si="592"/>
        <v>5194.1442347174961</v>
      </c>
      <c r="AL115" s="2">
        <f t="shared" si="592"/>
        <v>5194.1442347174961</v>
      </c>
    </row>
    <row r="116" spans="2:38" ht="6.75" hidden="1" customHeight="1" outlineLevel="1" x14ac:dyDescent="0.3">
      <c r="B116" s="293"/>
      <c r="C116" s="294"/>
      <c r="D116" s="151"/>
      <c r="E116" s="151"/>
      <c r="F116" s="151"/>
      <c r="G116" s="151"/>
      <c r="H116" s="146"/>
      <c r="I116" s="151"/>
      <c r="J116" s="151"/>
      <c r="K116" s="151"/>
      <c r="L116" s="151"/>
      <c r="M116" s="81"/>
      <c r="N116" s="151"/>
      <c r="O116" s="151"/>
      <c r="P116" s="134"/>
      <c r="Q116" s="134"/>
      <c r="R116" s="146"/>
      <c r="S116" s="134"/>
      <c r="T116" s="134"/>
      <c r="U116" s="134"/>
      <c r="V116" s="134"/>
      <c r="W116" s="146"/>
      <c r="X116" s="134"/>
      <c r="Y116" s="134"/>
      <c r="Z116" s="134"/>
      <c r="AA116" s="134"/>
      <c r="AB116" s="146"/>
      <c r="AC116" s="134"/>
      <c r="AD116" s="134"/>
      <c r="AE116" s="134"/>
      <c r="AF116" s="134"/>
      <c r="AG116" s="146"/>
      <c r="AH116" s="134"/>
      <c r="AI116" s="134"/>
      <c r="AJ116" s="134"/>
      <c r="AK116" s="134"/>
      <c r="AL116" s="146"/>
    </row>
    <row r="117" spans="2:38" hidden="1" outlineLevel="1" x14ac:dyDescent="0.3">
      <c r="B117" s="289" t="s">
        <v>10</v>
      </c>
      <c r="C117" s="290"/>
      <c r="D117" s="151"/>
      <c r="E117" s="151"/>
      <c r="F117" s="151"/>
      <c r="G117" s="151"/>
      <c r="H117" s="146"/>
      <c r="I117" s="151"/>
      <c r="J117" s="151"/>
      <c r="K117" s="151"/>
      <c r="L117" s="151"/>
      <c r="M117" s="81"/>
      <c r="N117" s="151"/>
      <c r="O117" s="151"/>
      <c r="P117" s="134"/>
      <c r="Q117" s="134"/>
      <c r="R117" s="146"/>
      <c r="S117" s="134"/>
      <c r="T117" s="134"/>
      <c r="U117" s="134"/>
      <c r="V117" s="134"/>
      <c r="W117" s="146"/>
      <c r="X117" s="134"/>
      <c r="Y117" s="134"/>
      <c r="Z117" s="134"/>
      <c r="AA117" s="134"/>
      <c r="AB117" s="146"/>
      <c r="AC117" s="134"/>
      <c r="AD117" s="134"/>
      <c r="AE117" s="134"/>
      <c r="AF117" s="134"/>
      <c r="AG117" s="146"/>
      <c r="AH117" s="134"/>
      <c r="AI117" s="134"/>
      <c r="AJ117" s="134"/>
      <c r="AK117" s="134"/>
      <c r="AL117" s="146"/>
    </row>
    <row r="118" spans="2:38" hidden="1" outlineLevel="1" x14ac:dyDescent="0.3">
      <c r="B118" s="260" t="s">
        <v>75</v>
      </c>
      <c r="C118" s="261"/>
      <c r="D118" s="151">
        <v>354</v>
      </c>
      <c r="E118" s="151">
        <v>392</v>
      </c>
      <c r="F118" s="151">
        <v>287</v>
      </c>
      <c r="G118" s="151">
        <v>301</v>
      </c>
      <c r="H118" s="149">
        <f>G118</f>
        <v>301</v>
      </c>
      <c r="I118" s="151">
        <v>303</v>
      </c>
      <c r="J118" s="151">
        <v>359</v>
      </c>
      <c r="K118" s="151">
        <v>258</v>
      </c>
      <c r="L118" s="151">
        <v>279</v>
      </c>
      <c r="M118" s="180">
        <f>L118</f>
        <v>279</v>
      </c>
      <c r="N118" s="151">
        <v>230</v>
      </c>
      <c r="O118" s="151">
        <v>348</v>
      </c>
      <c r="P118" s="151">
        <v>215</v>
      </c>
      <c r="Q118" s="151">
        <f>(Q13/Q142*2)-P118</f>
        <v>486.77215189873391</v>
      </c>
      <c r="R118" s="149">
        <f>Q118</f>
        <v>486.77215189873391</v>
      </c>
      <c r="S118" s="151">
        <f>(S13/S142*2)-Q118</f>
        <v>206.22784810126586</v>
      </c>
      <c r="T118" s="151">
        <f>(T13/T142*2)-S118</f>
        <v>454.59406970695329</v>
      </c>
      <c r="U118" s="151">
        <f>(U13/U142*2)-T118</f>
        <v>197.25778214489833</v>
      </c>
      <c r="V118" s="151">
        <f>(V13/V142*2)-U118</f>
        <v>479.17852037028342</v>
      </c>
      <c r="W118" s="149">
        <f>V118</f>
        <v>479.17852037028342</v>
      </c>
      <c r="X118" s="151">
        <f>(X13/X142*2)-V118</f>
        <v>152.00580016957474</v>
      </c>
      <c r="Y118" s="151">
        <f>(Y13/Y142*2)-X118</f>
        <v>449.68283336619936</v>
      </c>
      <c r="Z118" s="151">
        <f>(Z13/Z142*2)-Y118</f>
        <v>179.95606179840195</v>
      </c>
      <c r="AA118" s="151">
        <f>(AA13/AA142*2)-Z118</f>
        <v>485.74469198014924</v>
      </c>
      <c r="AB118" s="149">
        <f>AA118</f>
        <v>485.74469198014924</v>
      </c>
      <c r="AC118" s="151">
        <f>(AC13/AC142*2)-AA118</f>
        <v>167.02337693979575</v>
      </c>
      <c r="AD118" s="151">
        <f>(AD13/AD142*2)-AC118</f>
        <v>449.78286286543289</v>
      </c>
      <c r="AE118" s="151">
        <f>(AE13/AE142*2)-AD118</f>
        <v>226.4308730773098</v>
      </c>
      <c r="AF118" s="151">
        <f>(AF13/AF142*2)-AE118</f>
        <v>480.87039962808433</v>
      </c>
      <c r="AG118" s="149">
        <f>AF118</f>
        <v>480.87039962808433</v>
      </c>
      <c r="AH118" s="151">
        <f>(AH13/AH142*2)-AF118</f>
        <v>164.98480103342388</v>
      </c>
      <c r="AI118" s="151">
        <f>(AI13/AI142*2)-AH118</f>
        <v>464.32614117491266</v>
      </c>
      <c r="AJ118" s="151">
        <f>(AJ13/AJ142*2)-AI118</f>
        <v>226.12827903226139</v>
      </c>
      <c r="AK118" s="151">
        <f>(AK13/AK142*2)-AJ118</f>
        <v>392.83155866509628</v>
      </c>
      <c r="AL118" s="149">
        <f>AK118</f>
        <v>392.83155866509628</v>
      </c>
    </row>
    <row r="119" spans="2:38" hidden="1" outlineLevel="1" x14ac:dyDescent="0.3">
      <c r="B119" s="215" t="s">
        <v>184</v>
      </c>
      <c r="C119" s="216"/>
      <c r="D119" s="151">
        <v>355</v>
      </c>
      <c r="E119" s="151">
        <v>356</v>
      </c>
      <c r="F119" s="151">
        <v>358</v>
      </c>
      <c r="G119" s="151">
        <v>393</v>
      </c>
      <c r="H119" s="149">
        <f>G119</f>
        <v>393</v>
      </c>
      <c r="I119" s="151">
        <v>387</v>
      </c>
      <c r="J119" s="151">
        <v>380</v>
      </c>
      <c r="K119" s="151">
        <v>401</v>
      </c>
      <c r="L119" s="151">
        <v>420</v>
      </c>
      <c r="M119" s="180">
        <f>L119</f>
        <v>420</v>
      </c>
      <c r="N119" s="151">
        <v>347</v>
      </c>
      <c r="O119" s="151">
        <v>326</v>
      </c>
      <c r="P119" s="151">
        <v>327</v>
      </c>
      <c r="Q119" s="172">
        <f>P119</f>
        <v>327</v>
      </c>
      <c r="R119" s="149">
        <f>Q119</f>
        <v>327</v>
      </c>
      <c r="S119" s="172">
        <f>Q119</f>
        <v>327</v>
      </c>
      <c r="T119" s="172">
        <f t="shared" ref="T119:T120" si="593">S119</f>
        <v>327</v>
      </c>
      <c r="U119" s="172">
        <f>T119</f>
        <v>327</v>
      </c>
      <c r="V119" s="172">
        <f>U119</f>
        <v>327</v>
      </c>
      <c r="W119" s="149">
        <f>V119</f>
        <v>327</v>
      </c>
      <c r="X119" s="172">
        <f>V119</f>
        <v>327</v>
      </c>
      <c r="Y119" s="172">
        <f t="shared" ref="Y119:Y120" si="594">X119</f>
        <v>327</v>
      </c>
      <c r="Z119" s="172">
        <f>Y119</f>
        <v>327</v>
      </c>
      <c r="AA119" s="172">
        <f>Z119</f>
        <v>327</v>
      </c>
      <c r="AB119" s="149">
        <f>AA119</f>
        <v>327</v>
      </c>
      <c r="AC119" s="172">
        <f>AA119</f>
        <v>327</v>
      </c>
      <c r="AD119" s="172">
        <f t="shared" ref="AD119:AD120" si="595">AC119</f>
        <v>327</v>
      </c>
      <c r="AE119" s="172">
        <f>AD119</f>
        <v>327</v>
      </c>
      <c r="AF119" s="172">
        <f>AE119</f>
        <v>327</v>
      </c>
      <c r="AG119" s="149">
        <f>AF119</f>
        <v>327</v>
      </c>
      <c r="AH119" s="172">
        <f>AF119</f>
        <v>327</v>
      </c>
      <c r="AI119" s="172">
        <f t="shared" ref="AI119:AI120" si="596">AH119</f>
        <v>327</v>
      </c>
      <c r="AJ119" s="172">
        <f>AI119</f>
        <v>327</v>
      </c>
      <c r="AK119" s="172">
        <f>AJ119</f>
        <v>327</v>
      </c>
      <c r="AL119" s="149">
        <f>AK119</f>
        <v>327</v>
      </c>
    </row>
    <row r="120" spans="2:38" ht="16.2" hidden="1" outlineLevel="1" x14ac:dyDescent="0.45">
      <c r="B120" s="282" t="s">
        <v>185</v>
      </c>
      <c r="C120" s="283"/>
      <c r="D120" s="154">
        <v>3</v>
      </c>
      <c r="E120" s="154">
        <v>3</v>
      </c>
      <c r="F120" s="154">
        <v>3</v>
      </c>
      <c r="G120" s="154">
        <v>2</v>
      </c>
      <c r="H120" s="322">
        <f t="shared" ref="H120" si="597">G120</f>
        <v>2</v>
      </c>
      <c r="I120" s="154">
        <v>2</v>
      </c>
      <c r="J120" s="154">
        <v>2</v>
      </c>
      <c r="K120" s="154">
        <v>1</v>
      </c>
      <c r="L120" s="154">
        <v>1</v>
      </c>
      <c r="M120" s="94">
        <f t="shared" ref="M120" si="598">L120</f>
        <v>1</v>
      </c>
      <c r="N120" s="154">
        <v>1</v>
      </c>
      <c r="O120" s="154">
        <v>1</v>
      </c>
      <c r="P120" s="154">
        <v>1</v>
      </c>
      <c r="Q120" s="237">
        <f>P120</f>
        <v>1</v>
      </c>
      <c r="R120" s="322">
        <f t="shared" ref="R120" si="599">Q120</f>
        <v>1</v>
      </c>
      <c r="S120" s="237">
        <f>Q120</f>
        <v>1</v>
      </c>
      <c r="T120" s="237">
        <f t="shared" si="593"/>
        <v>1</v>
      </c>
      <c r="U120" s="237">
        <f>T120</f>
        <v>1</v>
      </c>
      <c r="V120" s="237">
        <f>U120</f>
        <v>1</v>
      </c>
      <c r="W120" s="322">
        <f t="shared" ref="W120" si="600">V120</f>
        <v>1</v>
      </c>
      <c r="X120" s="237">
        <f>V120</f>
        <v>1</v>
      </c>
      <c r="Y120" s="237">
        <f t="shared" si="594"/>
        <v>1</v>
      </c>
      <c r="Z120" s="237">
        <f>Y120</f>
        <v>1</v>
      </c>
      <c r="AA120" s="237">
        <f>Z120</f>
        <v>1</v>
      </c>
      <c r="AB120" s="322">
        <f t="shared" ref="AB120" si="601">AA120</f>
        <v>1</v>
      </c>
      <c r="AC120" s="237">
        <f>AA120</f>
        <v>1</v>
      </c>
      <c r="AD120" s="237">
        <f t="shared" si="595"/>
        <v>1</v>
      </c>
      <c r="AE120" s="237">
        <f>AD120</f>
        <v>1</v>
      </c>
      <c r="AF120" s="237">
        <f>AE120</f>
        <v>1</v>
      </c>
      <c r="AG120" s="322">
        <f t="shared" ref="AG120" si="602">AF120</f>
        <v>1</v>
      </c>
      <c r="AH120" s="237">
        <f>AF120</f>
        <v>1</v>
      </c>
      <c r="AI120" s="237">
        <f t="shared" si="596"/>
        <v>1</v>
      </c>
      <c r="AJ120" s="237">
        <f>AI120</f>
        <v>1</v>
      </c>
      <c r="AK120" s="237">
        <f>AJ120</f>
        <v>1</v>
      </c>
      <c r="AL120" s="322">
        <f t="shared" ref="AL120" si="603">AK120</f>
        <v>1</v>
      </c>
    </row>
    <row r="121" spans="2:38" hidden="1" outlineLevel="1" x14ac:dyDescent="0.3">
      <c r="B121" s="262" t="s">
        <v>11</v>
      </c>
      <c r="C121" s="263"/>
      <c r="D121" s="150">
        <f t="shared" ref="D121:T121" si="604">SUM(D118:D120)</f>
        <v>712</v>
      </c>
      <c r="E121" s="150">
        <f t="shared" si="604"/>
        <v>751</v>
      </c>
      <c r="F121" s="150">
        <f t="shared" si="604"/>
        <v>648</v>
      </c>
      <c r="G121" s="150">
        <f t="shared" si="604"/>
        <v>696</v>
      </c>
      <c r="H121" s="2">
        <f t="shared" si="604"/>
        <v>696</v>
      </c>
      <c r="I121" s="150">
        <f t="shared" si="604"/>
        <v>692</v>
      </c>
      <c r="J121" s="150">
        <f t="shared" si="604"/>
        <v>741</v>
      </c>
      <c r="K121" s="150">
        <f t="shared" si="604"/>
        <v>660</v>
      </c>
      <c r="L121" s="150">
        <f t="shared" si="604"/>
        <v>700</v>
      </c>
      <c r="M121" s="99">
        <f t="shared" si="604"/>
        <v>700</v>
      </c>
      <c r="N121" s="150">
        <f t="shared" si="604"/>
        <v>578</v>
      </c>
      <c r="O121" s="150">
        <f t="shared" si="604"/>
        <v>675</v>
      </c>
      <c r="P121" s="150">
        <f t="shared" si="604"/>
        <v>543</v>
      </c>
      <c r="Q121" s="26">
        <f t="shared" si="604"/>
        <v>814.77215189873391</v>
      </c>
      <c r="R121" s="2">
        <f t="shared" si="604"/>
        <v>814.77215189873391</v>
      </c>
      <c r="S121" s="26">
        <f t="shared" si="604"/>
        <v>534.22784810126586</v>
      </c>
      <c r="T121" s="26">
        <f t="shared" si="604"/>
        <v>782.59406970695329</v>
      </c>
      <c r="U121" s="26">
        <f t="shared" ref="U121:Y121" si="605">SUM(U118:U120)</f>
        <v>525.25778214489833</v>
      </c>
      <c r="V121" s="26">
        <f t="shared" si="605"/>
        <v>807.17852037028342</v>
      </c>
      <c r="W121" s="2">
        <f t="shared" si="605"/>
        <v>807.17852037028342</v>
      </c>
      <c r="X121" s="26">
        <f t="shared" si="605"/>
        <v>480.00580016957474</v>
      </c>
      <c r="Y121" s="26">
        <f t="shared" si="605"/>
        <v>777.68283336619936</v>
      </c>
      <c r="Z121" s="26">
        <f t="shared" ref="Z121:AL121" si="606">SUM(Z118:Z120)</f>
        <v>507.95606179840195</v>
      </c>
      <c r="AA121" s="26">
        <f t="shared" si="606"/>
        <v>813.74469198014924</v>
      </c>
      <c r="AB121" s="2">
        <f t="shared" si="606"/>
        <v>813.74469198014924</v>
      </c>
      <c r="AC121" s="26">
        <f t="shared" si="606"/>
        <v>495.02337693979575</v>
      </c>
      <c r="AD121" s="26">
        <f t="shared" si="606"/>
        <v>777.78286286543289</v>
      </c>
      <c r="AE121" s="26">
        <f t="shared" si="606"/>
        <v>554.4308730773098</v>
      </c>
      <c r="AF121" s="26">
        <f t="shared" si="606"/>
        <v>808.87039962808433</v>
      </c>
      <c r="AG121" s="2">
        <f t="shared" si="606"/>
        <v>808.87039962808433</v>
      </c>
      <c r="AH121" s="26">
        <f t="shared" si="606"/>
        <v>492.98480103342388</v>
      </c>
      <c r="AI121" s="26">
        <f t="shared" si="606"/>
        <v>792.32614117491266</v>
      </c>
      <c r="AJ121" s="26">
        <f t="shared" si="606"/>
        <v>554.12827903226139</v>
      </c>
      <c r="AK121" s="26">
        <f t="shared" si="606"/>
        <v>720.83155866509628</v>
      </c>
      <c r="AL121" s="2">
        <f t="shared" si="606"/>
        <v>720.83155866509628</v>
      </c>
    </row>
    <row r="122" spans="2:38" hidden="1" outlineLevel="1" x14ac:dyDescent="0.3">
      <c r="B122" s="282" t="s">
        <v>187</v>
      </c>
      <c r="C122" s="283"/>
      <c r="D122" s="151">
        <v>135</v>
      </c>
      <c r="E122" s="151">
        <v>134</v>
      </c>
      <c r="F122" s="151">
        <v>132</v>
      </c>
      <c r="G122" s="151">
        <v>132</v>
      </c>
      <c r="H122" s="149">
        <f t="shared" ref="H122:H123" si="607">G122</f>
        <v>132</v>
      </c>
      <c r="I122" s="151">
        <v>131</v>
      </c>
      <c r="J122" s="151">
        <v>130</v>
      </c>
      <c r="K122" s="151">
        <v>130</v>
      </c>
      <c r="L122" s="151">
        <v>129</v>
      </c>
      <c r="M122" s="180">
        <f t="shared" ref="M122:Q123" si="608">L122</f>
        <v>129</v>
      </c>
      <c r="N122" s="151">
        <v>128</v>
      </c>
      <c r="O122" s="151">
        <v>128</v>
      </c>
      <c r="P122" s="151">
        <v>127</v>
      </c>
      <c r="Q122" s="151">
        <f>P122+Q171</f>
        <v>127</v>
      </c>
      <c r="R122" s="149">
        <f t="shared" ref="R122:T123" si="609">Q122</f>
        <v>127</v>
      </c>
      <c r="S122" s="151">
        <f>Q122+S171</f>
        <v>127</v>
      </c>
      <c r="T122" s="151">
        <f>S122+T171</f>
        <v>127</v>
      </c>
      <c r="U122" s="151">
        <f>T122+U171</f>
        <v>127</v>
      </c>
      <c r="V122" s="151">
        <f>U122+V171</f>
        <v>127</v>
      </c>
      <c r="W122" s="149">
        <f t="shared" ref="W122:W123" si="610">V122</f>
        <v>127</v>
      </c>
      <c r="X122" s="151">
        <f>V122+X171</f>
        <v>127</v>
      </c>
      <c r="Y122" s="151">
        <f>X122+Y171</f>
        <v>127</v>
      </c>
      <c r="Z122" s="151">
        <f>Y122+Z171</f>
        <v>127</v>
      </c>
      <c r="AA122" s="151">
        <f>Z122+AA171</f>
        <v>127</v>
      </c>
      <c r="AB122" s="149">
        <f t="shared" ref="AB122:AB123" si="611">AA122</f>
        <v>127</v>
      </c>
      <c r="AC122" s="151">
        <f>AA122+AC171</f>
        <v>127</v>
      </c>
      <c r="AD122" s="151">
        <f>AC122+AD171</f>
        <v>127</v>
      </c>
      <c r="AE122" s="151">
        <f>AD122+AE171</f>
        <v>127</v>
      </c>
      <c r="AF122" s="151">
        <f>AE122+AF171</f>
        <v>127</v>
      </c>
      <c r="AG122" s="149">
        <f t="shared" ref="AG122:AG123" si="612">AF122</f>
        <v>127</v>
      </c>
      <c r="AH122" s="151">
        <f>AF122+AH171</f>
        <v>127</v>
      </c>
      <c r="AI122" s="151">
        <f>AH122+AI171</f>
        <v>127</v>
      </c>
      <c r="AJ122" s="151">
        <f>AI122+AJ171</f>
        <v>127</v>
      </c>
      <c r="AK122" s="151">
        <f>AJ122+AK171</f>
        <v>127</v>
      </c>
      <c r="AL122" s="149">
        <f t="shared" ref="AL122:AL123" si="613">AK122</f>
        <v>127</v>
      </c>
    </row>
    <row r="123" spans="2:38" ht="15.75" hidden="1" customHeight="1" outlineLevel="1" x14ac:dyDescent="0.45">
      <c r="B123" s="220" t="s">
        <v>186</v>
      </c>
      <c r="C123" s="221"/>
      <c r="D123" s="154">
        <v>229</v>
      </c>
      <c r="E123" s="154">
        <v>231</v>
      </c>
      <c r="F123" s="154">
        <v>236</v>
      </c>
      <c r="G123" s="154">
        <v>253</v>
      </c>
      <c r="H123" s="322">
        <f t="shared" si="607"/>
        <v>253</v>
      </c>
      <c r="I123" s="154">
        <v>253</v>
      </c>
      <c r="J123" s="154">
        <v>254</v>
      </c>
      <c r="K123" s="154">
        <v>358</v>
      </c>
      <c r="L123" s="154">
        <v>393</v>
      </c>
      <c r="M123" s="94">
        <f t="shared" si="608"/>
        <v>393</v>
      </c>
      <c r="N123" s="154">
        <v>377</v>
      </c>
      <c r="O123" s="154">
        <v>381</v>
      </c>
      <c r="P123" s="154">
        <v>391</v>
      </c>
      <c r="Q123" s="237">
        <f t="shared" si="608"/>
        <v>391</v>
      </c>
      <c r="R123" s="322">
        <f t="shared" si="609"/>
        <v>391</v>
      </c>
      <c r="S123" s="237">
        <f t="shared" si="609"/>
        <v>391</v>
      </c>
      <c r="T123" s="237">
        <f t="shared" si="609"/>
        <v>391</v>
      </c>
      <c r="U123" s="237">
        <f t="shared" ref="U123" si="614">T123</f>
        <v>391</v>
      </c>
      <c r="V123" s="237">
        <f t="shared" ref="V123" si="615">U123</f>
        <v>391</v>
      </c>
      <c r="W123" s="322">
        <f t="shared" si="610"/>
        <v>391</v>
      </c>
      <c r="X123" s="237">
        <f t="shared" ref="X123" si="616">W123</f>
        <v>391</v>
      </c>
      <c r="Y123" s="237">
        <f t="shared" ref="Y123" si="617">X123</f>
        <v>391</v>
      </c>
      <c r="Z123" s="237">
        <f t="shared" ref="Z123" si="618">Y123</f>
        <v>391</v>
      </c>
      <c r="AA123" s="237">
        <f t="shared" ref="AA123" si="619">Z123</f>
        <v>391</v>
      </c>
      <c r="AB123" s="322">
        <f t="shared" si="611"/>
        <v>391</v>
      </c>
      <c r="AC123" s="237">
        <f t="shared" ref="AC123" si="620">AB123</f>
        <v>391</v>
      </c>
      <c r="AD123" s="237">
        <f t="shared" ref="AD123" si="621">AC123</f>
        <v>391</v>
      </c>
      <c r="AE123" s="237">
        <f t="shared" ref="AE123" si="622">AD123</f>
        <v>391</v>
      </c>
      <c r="AF123" s="237">
        <f t="shared" ref="AF123" si="623">AE123</f>
        <v>391</v>
      </c>
      <c r="AG123" s="322">
        <f t="shared" si="612"/>
        <v>391</v>
      </c>
      <c r="AH123" s="237">
        <f t="shared" ref="AH123" si="624">AG123</f>
        <v>391</v>
      </c>
      <c r="AI123" s="237">
        <f t="shared" ref="AI123" si="625">AH123</f>
        <v>391</v>
      </c>
      <c r="AJ123" s="237">
        <f t="shared" ref="AJ123" si="626">AI123</f>
        <v>391</v>
      </c>
      <c r="AK123" s="237">
        <f t="shared" ref="AK123" si="627">AJ123</f>
        <v>391</v>
      </c>
      <c r="AL123" s="322">
        <f t="shared" si="613"/>
        <v>391</v>
      </c>
    </row>
    <row r="124" spans="2:38" hidden="1" outlineLevel="1" x14ac:dyDescent="0.3">
      <c r="B124" s="262" t="s">
        <v>12</v>
      </c>
      <c r="C124" s="263"/>
      <c r="D124" s="150">
        <f>SUM(D121:D123)</f>
        <v>1076</v>
      </c>
      <c r="E124" s="150">
        <f t="shared" ref="E124:T124" si="628">SUM(E121:E123)</f>
        <v>1116</v>
      </c>
      <c r="F124" s="150">
        <f t="shared" si="628"/>
        <v>1016</v>
      </c>
      <c r="G124" s="150">
        <f t="shared" si="628"/>
        <v>1081</v>
      </c>
      <c r="H124" s="2">
        <f t="shared" si="628"/>
        <v>1081</v>
      </c>
      <c r="I124" s="150">
        <f>SUM(I121:I123)</f>
        <v>1076</v>
      </c>
      <c r="J124" s="150">
        <f>SUM(J121:J123)</f>
        <v>1125</v>
      </c>
      <c r="K124" s="150">
        <f t="shared" si="628"/>
        <v>1148</v>
      </c>
      <c r="L124" s="150">
        <f t="shared" si="628"/>
        <v>1222</v>
      </c>
      <c r="M124" s="99">
        <f t="shared" si="628"/>
        <v>1222</v>
      </c>
      <c r="N124" s="150">
        <f t="shared" si="628"/>
        <v>1083</v>
      </c>
      <c r="O124" s="150">
        <f t="shared" si="628"/>
        <v>1184</v>
      </c>
      <c r="P124" s="26">
        <f t="shared" si="628"/>
        <v>1061</v>
      </c>
      <c r="Q124" s="26">
        <f t="shared" si="628"/>
        <v>1332.7721518987339</v>
      </c>
      <c r="R124" s="2">
        <f t="shared" si="628"/>
        <v>1332.7721518987339</v>
      </c>
      <c r="S124" s="26">
        <f>SUM(S121:S123)</f>
        <v>1052.2278481012659</v>
      </c>
      <c r="T124" s="26">
        <f t="shared" si="628"/>
        <v>1300.5940697069532</v>
      </c>
      <c r="U124" s="26">
        <f t="shared" ref="U124:W124" si="629">SUM(U121:U123)</f>
        <v>1043.2577821448983</v>
      </c>
      <c r="V124" s="26">
        <f t="shared" si="629"/>
        <v>1325.1785203702834</v>
      </c>
      <c r="W124" s="2">
        <f t="shared" si="629"/>
        <v>1325.1785203702834</v>
      </c>
      <c r="X124" s="26">
        <f>SUM(X121:X123)</f>
        <v>998.00580016957474</v>
      </c>
      <c r="Y124" s="26">
        <f t="shared" ref="Y124:AB124" si="630">SUM(Y121:Y123)</f>
        <v>1295.6828333661992</v>
      </c>
      <c r="Z124" s="26">
        <f t="shared" si="630"/>
        <v>1025.9560617984021</v>
      </c>
      <c r="AA124" s="26">
        <f t="shared" si="630"/>
        <v>1331.7446919801491</v>
      </c>
      <c r="AB124" s="2">
        <f t="shared" si="630"/>
        <v>1331.7446919801491</v>
      </c>
      <c r="AC124" s="26">
        <f>SUM(AC121:AC123)</f>
        <v>1013.0233769397958</v>
      </c>
      <c r="AD124" s="26">
        <f t="shared" ref="AD124:AG124" si="631">SUM(AD121:AD123)</f>
        <v>1295.7828628654329</v>
      </c>
      <c r="AE124" s="26">
        <f t="shared" si="631"/>
        <v>1072.4308730773098</v>
      </c>
      <c r="AF124" s="26">
        <f t="shared" si="631"/>
        <v>1326.8703996280842</v>
      </c>
      <c r="AG124" s="2">
        <f t="shared" si="631"/>
        <v>1326.8703996280842</v>
      </c>
      <c r="AH124" s="26">
        <f>SUM(AH121:AH123)</f>
        <v>1010.9848010334239</v>
      </c>
      <c r="AI124" s="26">
        <f t="shared" ref="AI124:AL124" si="632">SUM(AI121:AI123)</f>
        <v>1310.3261411749127</v>
      </c>
      <c r="AJ124" s="26">
        <f t="shared" si="632"/>
        <v>1072.1282790322614</v>
      </c>
      <c r="AK124" s="26">
        <f t="shared" si="632"/>
        <v>1238.8315586650963</v>
      </c>
      <c r="AL124" s="2">
        <f t="shared" si="632"/>
        <v>1238.8315586650963</v>
      </c>
    </row>
    <row r="125" spans="2:38" ht="6.75" hidden="1" customHeight="1" outlineLevel="1" x14ac:dyDescent="0.3">
      <c r="B125" s="295"/>
      <c r="C125" s="296"/>
      <c r="D125" s="151"/>
      <c r="E125" s="151"/>
      <c r="F125" s="151"/>
      <c r="G125" s="151"/>
      <c r="H125" s="146"/>
      <c r="I125" s="151"/>
      <c r="J125" s="151"/>
      <c r="K125" s="151"/>
      <c r="L125" s="151"/>
      <c r="M125" s="81"/>
      <c r="N125" s="151"/>
      <c r="O125" s="151"/>
      <c r="P125" s="134"/>
      <c r="Q125" s="134"/>
      <c r="R125" s="146"/>
      <c r="S125" s="134"/>
      <c r="T125" s="134"/>
      <c r="U125" s="134"/>
      <c r="V125" s="134"/>
      <c r="W125" s="146"/>
      <c r="X125" s="134"/>
      <c r="Y125" s="134"/>
      <c r="Z125" s="134"/>
      <c r="AA125" s="134"/>
      <c r="AB125" s="146"/>
      <c r="AC125" s="134"/>
      <c r="AD125" s="134"/>
      <c r="AE125" s="134"/>
      <c r="AF125" s="134"/>
      <c r="AG125" s="146"/>
      <c r="AH125" s="134"/>
      <c r="AI125" s="134"/>
      <c r="AJ125" s="134"/>
      <c r="AK125" s="134"/>
      <c r="AL125" s="146"/>
    </row>
    <row r="126" spans="2:38" ht="14.25" hidden="1" customHeight="1" outlineLevel="1" x14ac:dyDescent="0.3">
      <c r="B126" s="282" t="s">
        <v>76</v>
      </c>
      <c r="C126" s="283"/>
      <c r="D126" s="151">
        <v>0</v>
      </c>
      <c r="E126" s="151">
        <v>0</v>
      </c>
      <c r="F126" s="151">
        <v>0</v>
      </c>
      <c r="G126" s="151">
        <v>0</v>
      </c>
      <c r="H126" s="146">
        <f>G126</f>
        <v>0</v>
      </c>
      <c r="I126" s="151">
        <f>H126</f>
        <v>0</v>
      </c>
      <c r="J126" s="151">
        <f>I126</f>
        <v>0</v>
      </c>
      <c r="K126" s="151">
        <f t="shared" ref="K126:L126" si="633">J126</f>
        <v>0</v>
      </c>
      <c r="L126" s="151">
        <f t="shared" si="633"/>
        <v>0</v>
      </c>
      <c r="M126" s="81">
        <f>L126</f>
        <v>0</v>
      </c>
      <c r="N126" s="151">
        <f>M126</f>
        <v>0</v>
      </c>
      <c r="O126" s="151">
        <f t="shared" ref="O126:Q126" si="634">N126</f>
        <v>0</v>
      </c>
      <c r="P126" s="134">
        <f t="shared" si="634"/>
        <v>0</v>
      </c>
      <c r="Q126" s="134">
        <f t="shared" si="634"/>
        <v>0</v>
      </c>
      <c r="R126" s="146">
        <f>Q126</f>
        <v>0</v>
      </c>
      <c r="S126" s="134">
        <f>R126</f>
        <v>0</v>
      </c>
      <c r="T126" s="134">
        <f t="shared" ref="T126" si="635">S126</f>
        <v>0</v>
      </c>
      <c r="U126" s="134">
        <f t="shared" ref="U126" si="636">T126</f>
        <v>0</v>
      </c>
      <c r="V126" s="134">
        <f t="shared" ref="V126" si="637">U126</f>
        <v>0</v>
      </c>
      <c r="W126" s="146">
        <f>V126</f>
        <v>0</v>
      </c>
      <c r="X126" s="134">
        <f>W126</f>
        <v>0</v>
      </c>
      <c r="Y126" s="134">
        <f t="shared" ref="Y126" si="638">X126</f>
        <v>0</v>
      </c>
      <c r="Z126" s="134">
        <f t="shared" ref="Z126" si="639">Y126</f>
        <v>0</v>
      </c>
      <c r="AA126" s="134">
        <f t="shared" ref="AA126" si="640">Z126</f>
        <v>0</v>
      </c>
      <c r="AB126" s="146">
        <f>AA126</f>
        <v>0</v>
      </c>
      <c r="AC126" s="134">
        <f>AB126</f>
        <v>0</v>
      </c>
      <c r="AD126" s="134">
        <f t="shared" ref="AD126" si="641">AC126</f>
        <v>0</v>
      </c>
      <c r="AE126" s="134">
        <f t="shared" ref="AE126" si="642">AD126</f>
        <v>0</v>
      </c>
      <c r="AF126" s="134">
        <f t="shared" ref="AF126" si="643">AE126</f>
        <v>0</v>
      </c>
      <c r="AG126" s="146">
        <f>AF126</f>
        <v>0</v>
      </c>
      <c r="AH126" s="134">
        <f>AG126</f>
        <v>0</v>
      </c>
      <c r="AI126" s="134">
        <f t="shared" ref="AI126" si="644">AH126</f>
        <v>0</v>
      </c>
      <c r="AJ126" s="134">
        <f t="shared" ref="AJ126" si="645">AI126</f>
        <v>0</v>
      </c>
      <c r="AK126" s="134">
        <f t="shared" ref="AK126" si="646">AJ126</f>
        <v>0</v>
      </c>
      <c r="AL126" s="146">
        <f>AK126</f>
        <v>0</v>
      </c>
    </row>
    <row r="127" spans="2:38" hidden="1" outlineLevel="1" x14ac:dyDescent="0.3">
      <c r="B127" s="280" t="s">
        <v>13</v>
      </c>
      <c r="C127" s="281"/>
      <c r="D127" s="151"/>
      <c r="E127" s="151"/>
      <c r="F127" s="151"/>
      <c r="G127" s="151"/>
      <c r="H127" s="146"/>
      <c r="I127" s="151"/>
      <c r="J127" s="151"/>
      <c r="K127" s="134"/>
      <c r="L127" s="151"/>
      <c r="M127" s="81"/>
      <c r="N127" s="151"/>
      <c r="O127" s="151"/>
      <c r="P127" s="134"/>
      <c r="Q127" s="134"/>
      <c r="R127" s="146"/>
      <c r="S127" s="134"/>
      <c r="T127" s="134"/>
      <c r="U127" s="134"/>
      <c r="V127" s="134"/>
      <c r="W127" s="146"/>
      <c r="X127" s="134"/>
      <c r="Y127" s="134"/>
      <c r="Z127" s="134"/>
      <c r="AA127" s="134"/>
      <c r="AB127" s="146"/>
      <c r="AC127" s="134"/>
      <c r="AD127" s="134"/>
      <c r="AE127" s="134"/>
      <c r="AF127" s="134"/>
      <c r="AG127" s="146"/>
      <c r="AH127" s="134"/>
      <c r="AI127" s="134"/>
      <c r="AJ127" s="134"/>
      <c r="AK127" s="134"/>
      <c r="AL127" s="146"/>
    </row>
    <row r="128" spans="2:38" hidden="1" outlineLevel="1" x14ac:dyDescent="0.3">
      <c r="B128" s="282" t="s">
        <v>188</v>
      </c>
      <c r="C128" s="283"/>
      <c r="D128" s="151">
        <v>947</v>
      </c>
      <c r="E128" s="151">
        <v>961</v>
      </c>
      <c r="F128" s="151">
        <v>971</v>
      </c>
      <c r="G128" s="151">
        <v>979</v>
      </c>
      <c r="H128" s="146">
        <f t="shared" ref="H128:H130" si="647">G128</f>
        <v>979</v>
      </c>
      <c r="I128" s="151">
        <v>1025</v>
      </c>
      <c r="J128" s="151">
        <v>1060</v>
      </c>
      <c r="K128" s="151">
        <v>1099</v>
      </c>
      <c r="L128" s="151">
        <v>1108</v>
      </c>
      <c r="M128" s="81">
        <f t="shared" ref="M128:M131" si="648">L128</f>
        <v>1108</v>
      </c>
      <c r="N128" s="151">
        <v>1127</v>
      </c>
      <c r="O128" s="151">
        <v>1147</v>
      </c>
      <c r="P128" s="172">
        <v>1158.8200000000004</v>
      </c>
      <c r="Q128" s="172">
        <f>P128</f>
        <v>1158.8200000000004</v>
      </c>
      <c r="R128" s="146">
        <f t="shared" ref="R128:R130" si="649">Q128</f>
        <v>1158.8200000000004</v>
      </c>
      <c r="S128" s="172">
        <f>R128</f>
        <v>1158.8200000000004</v>
      </c>
      <c r="T128" s="172">
        <f>S128</f>
        <v>1158.8200000000004</v>
      </c>
      <c r="U128" s="172">
        <f>T128</f>
        <v>1158.8200000000004</v>
      </c>
      <c r="V128" s="172">
        <f>U128</f>
        <v>1158.8200000000004</v>
      </c>
      <c r="W128" s="146">
        <f t="shared" ref="W128:W130" si="650">V128</f>
        <v>1158.8200000000004</v>
      </c>
      <c r="X128" s="172">
        <f>W128</f>
        <v>1158.8200000000004</v>
      </c>
      <c r="Y128" s="172">
        <f>X128</f>
        <v>1158.8200000000004</v>
      </c>
      <c r="Z128" s="172">
        <f>Y128</f>
        <v>1158.8200000000004</v>
      </c>
      <c r="AA128" s="172">
        <f>Z128</f>
        <v>1158.8200000000004</v>
      </c>
      <c r="AB128" s="146">
        <f t="shared" ref="AB128:AB130" si="651">AA128</f>
        <v>1158.8200000000004</v>
      </c>
      <c r="AC128" s="172">
        <f>AB128</f>
        <v>1158.8200000000004</v>
      </c>
      <c r="AD128" s="172">
        <f>AC128</f>
        <v>1158.8200000000004</v>
      </c>
      <c r="AE128" s="172">
        <f>AD128</f>
        <v>1158.8200000000004</v>
      </c>
      <c r="AF128" s="172">
        <f>AE128</f>
        <v>1158.8200000000004</v>
      </c>
      <c r="AG128" s="146">
        <f t="shared" ref="AG128:AG130" si="652">AF128</f>
        <v>1158.8200000000004</v>
      </c>
      <c r="AH128" s="172">
        <f>AG128</f>
        <v>1158.8200000000004</v>
      </c>
      <c r="AI128" s="172">
        <f>AH128</f>
        <v>1158.8200000000004</v>
      </c>
      <c r="AJ128" s="172">
        <f>AI128</f>
        <v>1158.8200000000004</v>
      </c>
      <c r="AK128" s="172">
        <f>AJ128</f>
        <v>1158.8200000000004</v>
      </c>
      <c r="AL128" s="146">
        <f t="shared" ref="AL128:AL130" si="653">AK128</f>
        <v>1158.8200000000004</v>
      </c>
    </row>
    <row r="129" spans="2:38" hidden="1" outlineLevel="1" x14ac:dyDescent="0.3">
      <c r="B129" s="291" t="s">
        <v>77</v>
      </c>
      <c r="C129" s="292"/>
      <c r="D129" s="151">
        <v>2517</v>
      </c>
      <c r="E129" s="151">
        <v>2577</v>
      </c>
      <c r="F129" s="151">
        <v>2665</v>
      </c>
      <c r="G129" s="151">
        <v>2780</v>
      </c>
      <c r="H129" s="146">
        <f t="shared" si="647"/>
        <v>2780</v>
      </c>
      <c r="I129" s="151">
        <v>2929</v>
      </c>
      <c r="J129" s="151">
        <v>3013</v>
      </c>
      <c r="K129" s="151">
        <v>3058</v>
      </c>
      <c r="L129" s="151">
        <v>3182</v>
      </c>
      <c r="M129" s="81">
        <f t="shared" si="648"/>
        <v>3182</v>
      </c>
      <c r="N129" s="151">
        <v>3336</v>
      </c>
      <c r="O129" s="151">
        <v>3426</v>
      </c>
      <c r="P129" s="134">
        <f>O129+P152-(P29*P25)-P98</f>
        <v>3469.18</v>
      </c>
      <c r="Q129" s="134">
        <f>P129+Q152-(Q29*Q25)-Q98</f>
        <v>3557.8793599999999</v>
      </c>
      <c r="R129" s="146">
        <f t="shared" si="649"/>
        <v>3557.8793599999999</v>
      </c>
      <c r="S129" s="134">
        <f>R129+S152-(S29*S25)-S98</f>
        <v>3673.659140689937</v>
      </c>
      <c r="T129" s="134">
        <f>S129+T152-(T29*T25)-T98</f>
        <v>3722.8442310350197</v>
      </c>
      <c r="U129" s="134">
        <f>T129+U152-(U29*U25)-U98</f>
        <v>3795.8287690790244</v>
      </c>
      <c r="V129" s="253">
        <f>U129+V152-(V29*V25)-V98</f>
        <v>3870.813156137991</v>
      </c>
      <c r="W129" s="146">
        <f t="shared" si="650"/>
        <v>3870.813156137991</v>
      </c>
      <c r="X129" s="134">
        <f>W129+X152-(X29*X25)-X98</f>
        <v>3943.0294344317767</v>
      </c>
      <c r="Y129" s="134">
        <f>X129+Y152-(Y29*Y25)-Y98</f>
        <v>4011.7544982356089</v>
      </c>
      <c r="Z129" s="134">
        <f>Y129+Z152-(Z29*Z25)-Z98</f>
        <v>4083.9396551117034</v>
      </c>
      <c r="AA129" s="134">
        <f>Z129+AA152-(AA29*AA25)-AA98</f>
        <v>4163.3066048714581</v>
      </c>
      <c r="AB129" s="146">
        <f t="shared" si="651"/>
        <v>4163.3066048714581</v>
      </c>
      <c r="AC129" s="134">
        <f>AB129+AC152-(AC29*AC25)-AC98</f>
        <v>4239.6366967668328</v>
      </c>
      <c r="AD129" s="134">
        <f>AC129+AD152-(AD29*AD25)-AD98</f>
        <v>4312.2102417668202</v>
      </c>
      <c r="AE129" s="253">
        <f>AD129+AE152-(AE29*AE25)-AE98</f>
        <v>4388.3964120292012</v>
      </c>
      <c r="AF129" s="134">
        <f>AE129+AF152-(AF29*AF25)-AF98</f>
        <v>4470.8618624060782</v>
      </c>
      <c r="AG129" s="146">
        <f t="shared" si="652"/>
        <v>4470.8618624060782</v>
      </c>
      <c r="AH129" s="134">
        <f>AG129+AH152-(AH29*AH25)-AH98</f>
        <v>4550.122196311243</v>
      </c>
      <c r="AI129" s="134">
        <f>AH129+AI152-(AI29*AI25)-AI98</f>
        <v>4625.3477160068869</v>
      </c>
      <c r="AJ129" s="253">
        <f>AI129+AJ152-(AJ29*AJ25)-AJ98</f>
        <v>4704.3542532332594</v>
      </c>
      <c r="AK129" s="134">
        <f>AJ129+AK152-(AK29*AK25)-AK98</f>
        <v>4791.4926760524004</v>
      </c>
      <c r="AL129" s="146">
        <f t="shared" si="653"/>
        <v>4791.4926760524004</v>
      </c>
    </row>
    <row r="130" spans="2:38" hidden="1" outlineLevel="1" x14ac:dyDescent="0.3">
      <c r="B130" s="291" t="s">
        <v>14</v>
      </c>
      <c r="C130" s="292"/>
      <c r="D130" s="151">
        <v>-164</v>
      </c>
      <c r="E130" s="151">
        <v>-182</v>
      </c>
      <c r="F130" s="151">
        <v>-221</v>
      </c>
      <c r="G130" s="151">
        <v>-319</v>
      </c>
      <c r="H130" s="146">
        <f t="shared" si="647"/>
        <v>-319</v>
      </c>
      <c r="I130" s="151">
        <v>-318</v>
      </c>
      <c r="J130" s="151">
        <v>-338</v>
      </c>
      <c r="K130" s="151">
        <f>-343</f>
        <v>-343</v>
      </c>
      <c r="L130" s="151">
        <v>-366</v>
      </c>
      <c r="M130" s="81">
        <f t="shared" si="648"/>
        <v>-366</v>
      </c>
      <c r="N130" s="151">
        <v>-323</v>
      </c>
      <c r="O130" s="151">
        <v>-343</v>
      </c>
      <c r="P130" s="172">
        <f>O130</f>
        <v>-343</v>
      </c>
      <c r="Q130" s="172">
        <f t="shared" ref="P130:Q130" si="654">P130</f>
        <v>-343</v>
      </c>
      <c r="R130" s="146">
        <f t="shared" si="649"/>
        <v>-343</v>
      </c>
      <c r="S130" s="172">
        <f>R130</f>
        <v>-343</v>
      </c>
      <c r="T130" s="172">
        <f t="shared" ref="T130" si="655">S130</f>
        <v>-343</v>
      </c>
      <c r="U130" s="172">
        <f t="shared" ref="U130:U131" si="656">T130</f>
        <v>-343</v>
      </c>
      <c r="V130" s="172">
        <f t="shared" ref="V130:V131" si="657">U130</f>
        <v>-343</v>
      </c>
      <c r="W130" s="146">
        <f t="shared" si="650"/>
        <v>-343</v>
      </c>
      <c r="X130" s="172">
        <f>W130</f>
        <v>-343</v>
      </c>
      <c r="Y130" s="172">
        <f t="shared" ref="Y130:Y131" si="658">X130</f>
        <v>-343</v>
      </c>
      <c r="Z130" s="172">
        <f t="shared" ref="Z130:Z131" si="659">Y130</f>
        <v>-343</v>
      </c>
      <c r="AA130" s="172">
        <f t="shared" ref="AA130:AA131" si="660">Z130</f>
        <v>-343</v>
      </c>
      <c r="AB130" s="146">
        <f t="shared" si="651"/>
        <v>-343</v>
      </c>
      <c r="AC130" s="172">
        <f>AB130</f>
        <v>-343</v>
      </c>
      <c r="AD130" s="172">
        <f t="shared" ref="AD130:AD131" si="661">AC130</f>
        <v>-343</v>
      </c>
      <c r="AE130" s="172">
        <f t="shared" ref="AE130:AE131" si="662">AD130</f>
        <v>-343</v>
      </c>
      <c r="AF130" s="172">
        <f t="shared" ref="AF130:AF131" si="663">AE130</f>
        <v>-343</v>
      </c>
      <c r="AG130" s="146">
        <f t="shared" si="652"/>
        <v>-343</v>
      </c>
      <c r="AH130" s="172">
        <f>AG130</f>
        <v>-343</v>
      </c>
      <c r="AI130" s="172">
        <f t="shared" ref="AI130:AI131" si="664">AH130</f>
        <v>-343</v>
      </c>
      <c r="AJ130" s="172">
        <f t="shared" ref="AJ130:AJ131" si="665">AI130</f>
        <v>-343</v>
      </c>
      <c r="AK130" s="172">
        <f t="shared" ref="AK130:AK131" si="666">AJ130</f>
        <v>-343</v>
      </c>
      <c r="AL130" s="146">
        <f t="shared" si="653"/>
        <v>-343</v>
      </c>
    </row>
    <row r="131" spans="2:38" ht="16.2" hidden="1" outlineLevel="1" x14ac:dyDescent="0.45">
      <c r="B131" s="220" t="s">
        <v>189</v>
      </c>
      <c r="C131" s="221"/>
      <c r="D131" s="154">
        <v>-707</v>
      </c>
      <c r="E131" s="154">
        <v>-774</v>
      </c>
      <c r="F131" s="154">
        <v>-813</v>
      </c>
      <c r="G131" s="154">
        <f>-944</f>
        <v>-944</v>
      </c>
      <c r="H131" s="322">
        <f>G131</f>
        <v>-944</v>
      </c>
      <c r="I131" s="154">
        <v>-1081</v>
      </c>
      <c r="J131" s="154">
        <v>-1156</v>
      </c>
      <c r="K131" s="154">
        <f>-1267</f>
        <v>-1267</v>
      </c>
      <c r="L131" s="154">
        <v>-1371</v>
      </c>
      <c r="M131" s="94">
        <f t="shared" si="648"/>
        <v>-1371</v>
      </c>
      <c r="N131" s="154">
        <v>-1465</v>
      </c>
      <c r="O131" s="154">
        <v>-1652</v>
      </c>
      <c r="P131" s="237">
        <f t="shared" ref="P131" si="667">O131</f>
        <v>-1652</v>
      </c>
      <c r="Q131" s="237">
        <f t="shared" ref="Q131" si="668">P131</f>
        <v>-1652</v>
      </c>
      <c r="R131" s="322">
        <f>Q131</f>
        <v>-1652</v>
      </c>
      <c r="S131" s="237">
        <f>R131</f>
        <v>-1652</v>
      </c>
      <c r="T131" s="237">
        <f t="shared" ref="T131" si="669">S131</f>
        <v>-1652</v>
      </c>
      <c r="U131" s="237">
        <f t="shared" si="656"/>
        <v>-1652</v>
      </c>
      <c r="V131" s="237">
        <f t="shared" si="657"/>
        <v>-1652</v>
      </c>
      <c r="W131" s="322">
        <f>V131</f>
        <v>-1652</v>
      </c>
      <c r="X131" s="237">
        <f>W131</f>
        <v>-1652</v>
      </c>
      <c r="Y131" s="237">
        <f t="shared" si="658"/>
        <v>-1652</v>
      </c>
      <c r="Z131" s="237">
        <f t="shared" si="659"/>
        <v>-1652</v>
      </c>
      <c r="AA131" s="237">
        <f t="shared" si="660"/>
        <v>-1652</v>
      </c>
      <c r="AB131" s="322">
        <f>AA131</f>
        <v>-1652</v>
      </c>
      <c r="AC131" s="237">
        <f>AB131</f>
        <v>-1652</v>
      </c>
      <c r="AD131" s="237">
        <f t="shared" si="661"/>
        <v>-1652</v>
      </c>
      <c r="AE131" s="237">
        <f t="shared" si="662"/>
        <v>-1652</v>
      </c>
      <c r="AF131" s="237">
        <f t="shared" si="663"/>
        <v>-1652</v>
      </c>
      <c r="AG131" s="322">
        <f>AF131</f>
        <v>-1652</v>
      </c>
      <c r="AH131" s="237">
        <f>AG131</f>
        <v>-1652</v>
      </c>
      <c r="AI131" s="237">
        <f t="shared" si="664"/>
        <v>-1652</v>
      </c>
      <c r="AJ131" s="237">
        <f t="shared" si="665"/>
        <v>-1652</v>
      </c>
      <c r="AK131" s="237">
        <f t="shared" si="666"/>
        <v>-1652</v>
      </c>
      <c r="AL131" s="322">
        <f>AK131</f>
        <v>-1652</v>
      </c>
    </row>
    <row r="132" spans="2:38" hidden="1" outlineLevel="1" x14ac:dyDescent="0.3">
      <c r="B132" s="276" t="s">
        <v>78</v>
      </c>
      <c r="C132" s="277"/>
      <c r="D132" s="76">
        <f t="shared" ref="D132:F132" si="670">SUM(D128:D131)</f>
        <v>2593</v>
      </c>
      <c r="E132" s="76">
        <f t="shared" si="670"/>
        <v>2582</v>
      </c>
      <c r="F132" s="76">
        <f t="shared" si="670"/>
        <v>2602</v>
      </c>
      <c r="G132" s="228">
        <f>SUM(G128:G131)</f>
        <v>2496</v>
      </c>
      <c r="H132" s="99">
        <f>SUM(H128:H131)</f>
        <v>2496</v>
      </c>
      <c r="I132" s="77">
        <f>SUM(I128:I131)</f>
        <v>2555</v>
      </c>
      <c r="J132" s="76">
        <f t="shared" ref="J132:L132" si="671">SUM(J128:J131)</f>
        <v>2579</v>
      </c>
      <c r="K132" s="76">
        <f t="shared" si="671"/>
        <v>2547</v>
      </c>
      <c r="L132" s="76">
        <f t="shared" si="671"/>
        <v>2553</v>
      </c>
      <c r="M132" s="99">
        <f t="shared" ref="M132:R132" si="672">SUM(M128:M131)</f>
        <v>2553</v>
      </c>
      <c r="N132" s="76">
        <f t="shared" si="672"/>
        <v>2675</v>
      </c>
      <c r="O132" s="76">
        <f t="shared" si="672"/>
        <v>2578</v>
      </c>
      <c r="P132" s="3">
        <f t="shared" si="672"/>
        <v>2633</v>
      </c>
      <c r="Q132" s="3">
        <f t="shared" si="672"/>
        <v>2721.6993600000005</v>
      </c>
      <c r="R132" s="2">
        <f t="shared" si="672"/>
        <v>2721.6993600000005</v>
      </c>
      <c r="S132" s="3">
        <f>SUM(S128:S131)</f>
        <v>2837.4791406899376</v>
      </c>
      <c r="T132" s="3">
        <f t="shared" ref="T132:W132" si="673">SUM(T128:T131)</f>
        <v>2886.6642310350198</v>
      </c>
      <c r="U132" s="3">
        <f t="shared" si="673"/>
        <v>2959.6487690790245</v>
      </c>
      <c r="V132" s="3">
        <f t="shared" si="673"/>
        <v>3034.6331561379911</v>
      </c>
      <c r="W132" s="2">
        <f t="shared" si="673"/>
        <v>3034.6331561379911</v>
      </c>
      <c r="X132" s="3">
        <f>SUM(X128:X131)</f>
        <v>3106.8494344317769</v>
      </c>
      <c r="Y132" s="3">
        <f t="shared" ref="Y132:AB132" si="674">SUM(Y128:Y131)</f>
        <v>3175.5744982356091</v>
      </c>
      <c r="Z132" s="3">
        <f t="shared" si="674"/>
        <v>3247.759655111704</v>
      </c>
      <c r="AA132" s="3">
        <f t="shared" si="674"/>
        <v>3327.1266048714588</v>
      </c>
      <c r="AB132" s="2">
        <f t="shared" si="674"/>
        <v>3327.1266048714588</v>
      </c>
      <c r="AC132" s="3">
        <f>SUM(AC128:AC131)</f>
        <v>3403.4566967668334</v>
      </c>
      <c r="AD132" s="3">
        <f t="shared" ref="AD132:AG132" si="675">SUM(AD128:AD131)</f>
        <v>3476.0302417668208</v>
      </c>
      <c r="AE132" s="3">
        <f t="shared" si="675"/>
        <v>3552.2164120292018</v>
      </c>
      <c r="AF132" s="3">
        <f t="shared" si="675"/>
        <v>3634.6818624060788</v>
      </c>
      <c r="AG132" s="2">
        <f t="shared" si="675"/>
        <v>3634.6818624060788</v>
      </c>
      <c r="AH132" s="3">
        <f>SUM(AH128:AH131)</f>
        <v>3713.9421963112436</v>
      </c>
      <c r="AI132" s="3">
        <f t="shared" ref="AI132:AL132" si="676">SUM(AI128:AI131)</f>
        <v>3789.1677160068875</v>
      </c>
      <c r="AJ132" s="3">
        <f t="shared" si="676"/>
        <v>3868.1742532332601</v>
      </c>
      <c r="AK132" s="3">
        <f t="shared" si="676"/>
        <v>3955.312676052401</v>
      </c>
      <c r="AL132" s="2">
        <f t="shared" si="676"/>
        <v>3955.312676052401</v>
      </c>
    </row>
    <row r="133" spans="2:38" hidden="1" outlineLevel="1" x14ac:dyDescent="0.3">
      <c r="B133" s="316" t="s">
        <v>15</v>
      </c>
      <c r="C133" s="317"/>
      <c r="D133" s="159">
        <f t="shared" ref="D133:T133" si="677">D132+D124</f>
        <v>3669</v>
      </c>
      <c r="E133" s="159">
        <f t="shared" si="677"/>
        <v>3698</v>
      </c>
      <c r="F133" s="159">
        <f t="shared" si="677"/>
        <v>3618</v>
      </c>
      <c r="G133" s="159">
        <f t="shared" si="677"/>
        <v>3577</v>
      </c>
      <c r="H133" s="15">
        <f t="shared" si="677"/>
        <v>3577</v>
      </c>
      <c r="I133" s="159">
        <f>I132+I124</f>
        <v>3631</v>
      </c>
      <c r="J133" s="16">
        <f>J132+J124</f>
        <v>3704</v>
      </c>
      <c r="K133" s="159">
        <f>K132+K124</f>
        <v>3695</v>
      </c>
      <c r="L133" s="159">
        <f>L132+L124</f>
        <v>3775</v>
      </c>
      <c r="M133" s="227">
        <f>M132+M124</f>
        <v>3775</v>
      </c>
      <c r="N133" s="159">
        <f t="shared" si="677"/>
        <v>3758</v>
      </c>
      <c r="O133" s="159">
        <f t="shared" si="677"/>
        <v>3762</v>
      </c>
      <c r="P133" s="16">
        <f>P132+P124</f>
        <v>3694</v>
      </c>
      <c r="Q133" s="16">
        <f t="shared" si="677"/>
        <v>4054.4715118987342</v>
      </c>
      <c r="R133" s="15">
        <f t="shared" si="677"/>
        <v>4054.4715118987342</v>
      </c>
      <c r="S133" s="16">
        <f t="shared" si="677"/>
        <v>3889.7069887912035</v>
      </c>
      <c r="T133" s="16">
        <f t="shared" si="677"/>
        <v>4187.2583007419726</v>
      </c>
      <c r="U133" s="16">
        <f>U132+U124</f>
        <v>4002.9065512239231</v>
      </c>
      <c r="V133" s="16">
        <f t="shared" ref="V133:Y133" si="678">V132+V124</f>
        <v>4359.8116765082741</v>
      </c>
      <c r="W133" s="15">
        <f t="shared" si="678"/>
        <v>4359.8116765082741</v>
      </c>
      <c r="X133" s="16">
        <f t="shared" si="678"/>
        <v>4104.8552346013512</v>
      </c>
      <c r="Y133" s="16">
        <f t="shared" si="678"/>
        <v>4471.2573316018079</v>
      </c>
      <c r="Z133" s="16">
        <f>Z132+Z124</f>
        <v>4273.7157169101065</v>
      </c>
      <c r="AA133" s="16">
        <f t="shared" ref="AA133:AD133" si="679">AA132+AA124</f>
        <v>4658.8712968516083</v>
      </c>
      <c r="AB133" s="15">
        <f t="shared" si="679"/>
        <v>4658.8712968516083</v>
      </c>
      <c r="AC133" s="16">
        <f t="shared" si="679"/>
        <v>4416.4800737066289</v>
      </c>
      <c r="AD133" s="16">
        <f t="shared" si="679"/>
        <v>4771.8131046322542</v>
      </c>
      <c r="AE133" s="16">
        <f>AE132+AE124</f>
        <v>4624.6472851065118</v>
      </c>
      <c r="AF133" s="16">
        <f t="shared" ref="AF133:AI133" si="680">AF132+AF124</f>
        <v>4961.5522620341635</v>
      </c>
      <c r="AG133" s="15">
        <f t="shared" si="680"/>
        <v>4961.5522620341635</v>
      </c>
      <c r="AH133" s="16">
        <f t="shared" si="680"/>
        <v>4724.9269973446671</v>
      </c>
      <c r="AI133" s="16">
        <f t="shared" si="680"/>
        <v>5099.4938571818002</v>
      </c>
      <c r="AJ133" s="16">
        <f>AJ132+AJ124</f>
        <v>4940.3025322655212</v>
      </c>
      <c r="AK133" s="16">
        <f t="shared" ref="AK133:AL133" si="681">AK132+AK124</f>
        <v>5194.1442347174971</v>
      </c>
      <c r="AL133" s="15">
        <f t="shared" si="681"/>
        <v>5194.1442347174971</v>
      </c>
    </row>
    <row r="134" spans="2:38" s="135" customFormat="1" hidden="1" outlineLevel="1" x14ac:dyDescent="0.3">
      <c r="B134" s="137"/>
      <c r="C134" s="138"/>
      <c r="D134" s="139">
        <f>D133-D115</f>
        <v>0</v>
      </c>
      <c r="E134" s="139">
        <f>E133-E115</f>
        <v>0</v>
      </c>
      <c r="F134" s="139">
        <f t="shared" ref="F134:AL134" si="682">ROUND((F133-F115),0)</f>
        <v>0</v>
      </c>
      <c r="G134" s="139">
        <f t="shared" si="682"/>
        <v>0</v>
      </c>
      <c r="H134" s="139">
        <f t="shared" si="682"/>
        <v>0</v>
      </c>
      <c r="I134" s="139">
        <f t="shared" si="682"/>
        <v>0</v>
      </c>
      <c r="J134" s="139">
        <f t="shared" si="682"/>
        <v>0</v>
      </c>
      <c r="K134" s="139">
        <f t="shared" si="682"/>
        <v>0</v>
      </c>
      <c r="L134" s="139">
        <f t="shared" si="682"/>
        <v>0</v>
      </c>
      <c r="M134" s="139">
        <f t="shared" si="682"/>
        <v>0</v>
      </c>
      <c r="N134" s="139">
        <f t="shared" si="682"/>
        <v>0</v>
      </c>
      <c r="O134" s="139">
        <f t="shared" si="682"/>
        <v>0</v>
      </c>
      <c r="P134" s="246">
        <f>ROUND((P133-P115),0)</f>
        <v>0</v>
      </c>
      <c r="Q134" s="246">
        <f t="shared" si="682"/>
        <v>0</v>
      </c>
      <c r="R134" s="246">
        <f t="shared" si="682"/>
        <v>0</v>
      </c>
      <c r="S134" s="246">
        <f>ROUND((S133-S115),0)</f>
        <v>0</v>
      </c>
      <c r="T134" s="246">
        <f t="shared" si="682"/>
        <v>0</v>
      </c>
      <c r="U134" s="246">
        <f t="shared" si="682"/>
        <v>0</v>
      </c>
      <c r="V134" s="246">
        <f t="shared" si="682"/>
        <v>0</v>
      </c>
      <c r="W134" s="246">
        <f t="shared" si="682"/>
        <v>0</v>
      </c>
      <c r="X134" s="246">
        <f t="shared" si="682"/>
        <v>0</v>
      </c>
      <c r="Y134" s="246">
        <f t="shared" si="682"/>
        <v>0</v>
      </c>
      <c r="Z134" s="246">
        <f t="shared" si="682"/>
        <v>0</v>
      </c>
      <c r="AA134" s="246">
        <f t="shared" si="682"/>
        <v>0</v>
      </c>
      <c r="AB134" s="246">
        <f t="shared" si="682"/>
        <v>0</v>
      </c>
      <c r="AC134" s="246">
        <f t="shared" si="682"/>
        <v>0</v>
      </c>
      <c r="AD134" s="246">
        <f t="shared" si="682"/>
        <v>0</v>
      </c>
      <c r="AE134" s="246">
        <f t="shared" si="682"/>
        <v>0</v>
      </c>
      <c r="AF134" s="246">
        <f t="shared" si="682"/>
        <v>0</v>
      </c>
      <c r="AG134" s="246">
        <f t="shared" si="682"/>
        <v>0</v>
      </c>
      <c r="AH134" s="246">
        <f t="shared" si="682"/>
        <v>0</v>
      </c>
      <c r="AI134" s="246">
        <f t="shared" si="682"/>
        <v>0</v>
      </c>
      <c r="AJ134" s="246">
        <f t="shared" si="682"/>
        <v>0</v>
      </c>
      <c r="AK134" s="246">
        <f t="shared" si="682"/>
        <v>0</v>
      </c>
      <c r="AL134" s="246">
        <f t="shared" si="682"/>
        <v>0</v>
      </c>
    </row>
    <row r="135" spans="2:38" ht="15.6" hidden="1" outlineLevel="1" x14ac:dyDescent="0.3">
      <c r="B135" s="272" t="s">
        <v>29</v>
      </c>
      <c r="C135" s="273"/>
      <c r="D135" s="157" t="s">
        <v>150</v>
      </c>
      <c r="E135" s="157" t="s">
        <v>151</v>
      </c>
      <c r="F135" s="157" t="s">
        <v>147</v>
      </c>
      <c r="G135" s="157" t="s">
        <v>146</v>
      </c>
      <c r="H135" s="157" t="s">
        <v>146</v>
      </c>
      <c r="I135" s="157" t="s">
        <v>148</v>
      </c>
      <c r="J135" s="157" t="s">
        <v>149</v>
      </c>
      <c r="K135" s="157" t="s">
        <v>145</v>
      </c>
      <c r="L135" s="157" t="s">
        <v>143</v>
      </c>
      <c r="M135" s="157" t="s">
        <v>143</v>
      </c>
      <c r="N135" s="157" t="s">
        <v>152</v>
      </c>
      <c r="O135" s="157" t="s">
        <v>153</v>
      </c>
      <c r="P135" s="119" t="s">
        <v>203</v>
      </c>
      <c r="Q135" s="119" t="s">
        <v>157</v>
      </c>
      <c r="R135" s="119" t="s">
        <v>157</v>
      </c>
      <c r="S135" s="119" t="s">
        <v>207</v>
      </c>
      <c r="T135" s="119" t="s">
        <v>208</v>
      </c>
      <c r="U135" s="119" t="s">
        <v>156</v>
      </c>
      <c r="V135" s="119" t="s">
        <v>158</v>
      </c>
      <c r="W135" s="119" t="s">
        <v>158</v>
      </c>
      <c r="X135" s="119" t="s">
        <v>209</v>
      </c>
      <c r="Y135" s="119" t="s">
        <v>210</v>
      </c>
      <c r="Z135" s="119" t="s">
        <v>212</v>
      </c>
      <c r="AA135" s="119" t="s">
        <v>159</v>
      </c>
      <c r="AB135" s="119" t="s">
        <v>159</v>
      </c>
      <c r="AC135" s="119" t="s">
        <v>213</v>
      </c>
      <c r="AD135" s="119" t="s">
        <v>214</v>
      </c>
      <c r="AE135" s="119" t="s">
        <v>211</v>
      </c>
      <c r="AF135" s="119" t="s">
        <v>160</v>
      </c>
      <c r="AG135" s="119" t="s">
        <v>160</v>
      </c>
      <c r="AH135" s="119" t="s">
        <v>215</v>
      </c>
      <c r="AI135" s="119" t="s">
        <v>216</v>
      </c>
      <c r="AJ135" s="119" t="s">
        <v>217</v>
      </c>
      <c r="AK135" s="119" t="s">
        <v>161</v>
      </c>
      <c r="AL135" s="120" t="s">
        <v>161</v>
      </c>
    </row>
    <row r="136" spans="2:38" ht="16.2" hidden="1" outlineLevel="1" x14ac:dyDescent="0.45">
      <c r="B136" s="274"/>
      <c r="C136" s="275"/>
      <c r="D136" s="158" t="s">
        <v>90</v>
      </c>
      <c r="E136" s="158" t="s">
        <v>96</v>
      </c>
      <c r="F136" s="158" t="s">
        <v>97</v>
      </c>
      <c r="G136" s="158" t="s">
        <v>100</v>
      </c>
      <c r="H136" s="158" t="s">
        <v>101</v>
      </c>
      <c r="I136" s="158" t="s">
        <v>124</v>
      </c>
      <c r="J136" s="158" t="s">
        <v>132</v>
      </c>
      <c r="K136" s="158" t="s">
        <v>135</v>
      </c>
      <c r="L136" s="158" t="s">
        <v>144</v>
      </c>
      <c r="M136" s="158" t="s">
        <v>142</v>
      </c>
      <c r="N136" s="158" t="s">
        <v>154</v>
      </c>
      <c r="O136" s="158" t="s">
        <v>155</v>
      </c>
      <c r="P136" s="121" t="s">
        <v>39</v>
      </c>
      <c r="Q136" s="121" t="s">
        <v>40</v>
      </c>
      <c r="R136" s="121" t="s">
        <v>41</v>
      </c>
      <c r="S136" s="121" t="s">
        <v>42</v>
      </c>
      <c r="T136" s="121" t="s">
        <v>43</v>
      </c>
      <c r="U136" s="121" t="s">
        <v>44</v>
      </c>
      <c r="V136" s="121" t="s">
        <v>45</v>
      </c>
      <c r="W136" s="121" t="s">
        <v>46</v>
      </c>
      <c r="X136" s="121" t="s">
        <v>47</v>
      </c>
      <c r="Y136" s="121" t="s">
        <v>48</v>
      </c>
      <c r="Z136" s="121" t="s">
        <v>49</v>
      </c>
      <c r="AA136" s="121" t="s">
        <v>50</v>
      </c>
      <c r="AB136" s="121" t="s">
        <v>51</v>
      </c>
      <c r="AC136" s="121" t="s">
        <v>102</v>
      </c>
      <c r="AD136" s="121" t="s">
        <v>103</v>
      </c>
      <c r="AE136" s="121" t="s">
        <v>104</v>
      </c>
      <c r="AF136" s="121" t="s">
        <v>105</v>
      </c>
      <c r="AG136" s="121" t="s">
        <v>106</v>
      </c>
      <c r="AH136" s="121" t="s">
        <v>136</v>
      </c>
      <c r="AI136" s="121" t="s">
        <v>137</v>
      </c>
      <c r="AJ136" s="121" t="s">
        <v>138</v>
      </c>
      <c r="AK136" s="121" t="s">
        <v>139</v>
      </c>
      <c r="AL136" s="122" t="s">
        <v>140</v>
      </c>
    </row>
    <row r="137" spans="2:38" ht="16.2" hidden="1" outlineLevel="1" x14ac:dyDescent="0.45">
      <c r="B137" s="289" t="s">
        <v>28</v>
      </c>
      <c r="C137" s="307"/>
      <c r="D137" s="125"/>
      <c r="E137" s="126"/>
      <c r="F137" s="125"/>
      <c r="G137" s="125"/>
      <c r="H137" s="30"/>
      <c r="I137" s="125"/>
      <c r="J137" s="125"/>
      <c r="K137" s="125"/>
      <c r="L137" s="125"/>
      <c r="M137" s="30"/>
      <c r="N137" s="125"/>
      <c r="O137" s="125"/>
      <c r="P137" s="125"/>
      <c r="Q137" s="125"/>
      <c r="R137" s="30"/>
      <c r="S137" s="125"/>
      <c r="T137" s="125"/>
      <c r="U137" s="125"/>
      <c r="V137" s="125"/>
      <c r="W137" s="30"/>
      <c r="X137" s="125"/>
      <c r="Y137" s="125"/>
      <c r="Z137" s="125"/>
      <c r="AA137" s="125"/>
      <c r="AB137" s="30"/>
      <c r="AC137" s="125"/>
      <c r="AD137" s="125"/>
      <c r="AE137" s="125"/>
      <c r="AF137" s="125"/>
      <c r="AG137" s="30"/>
      <c r="AH137" s="125"/>
      <c r="AI137" s="125"/>
      <c r="AJ137" s="125"/>
      <c r="AK137" s="125"/>
      <c r="AL137" s="30"/>
    </row>
    <row r="138" spans="2:38" hidden="1" outlineLevel="1" x14ac:dyDescent="0.3">
      <c r="B138" s="260" t="s">
        <v>31</v>
      </c>
      <c r="C138" s="297"/>
      <c r="D138" s="36"/>
      <c r="E138" s="104">
        <f>E13/(AVERAGE(D107,E107))</f>
        <v>0.85747214752208989</v>
      </c>
      <c r="F138" s="104">
        <f>F13/(AVERAGE(E107,F107))</f>
        <v>0.87025197442647617</v>
      </c>
      <c r="G138" s="104">
        <f>G13/(AVERAGE(F107,G107))</f>
        <v>0.9961149961149961</v>
      </c>
      <c r="H138" s="34"/>
      <c r="I138" s="104">
        <f>I13/(AVERAGE(G107,I107))</f>
        <v>1.0032206119162641</v>
      </c>
      <c r="J138" s="104">
        <f>J13/(AVERAGE(I107,J107))</f>
        <v>0.89533516268130142</v>
      </c>
      <c r="K138" s="104">
        <f>K13/(AVERAGE(J107,K107))</f>
        <v>0.89483603467772332</v>
      </c>
      <c r="L138" s="104">
        <f>L13/(AVERAGE(K107,L107))</f>
        <v>1.0164059519267454</v>
      </c>
      <c r="M138" s="177"/>
      <c r="N138" s="104">
        <f>N13/(AVERAGE(L107,N107))</f>
        <v>1.0145383104125736</v>
      </c>
      <c r="O138" s="104">
        <f>O13/(AVERAGE(N107,O107))</f>
        <v>0.91804540207772223</v>
      </c>
      <c r="P138" s="104">
        <f>P13/(AVERAGE(O107,P107))</f>
        <v>0.92296296296296299</v>
      </c>
      <c r="Q138" s="174">
        <v>0.95</v>
      </c>
      <c r="R138" s="177"/>
      <c r="S138" s="174">
        <v>1.05</v>
      </c>
      <c r="T138" s="174">
        <v>0.92</v>
      </c>
      <c r="U138" s="174">
        <v>0.95</v>
      </c>
      <c r="V138" s="174">
        <v>1</v>
      </c>
      <c r="W138" s="177"/>
      <c r="X138" s="174">
        <v>1.05</v>
      </c>
      <c r="Y138" s="174">
        <v>1.01</v>
      </c>
      <c r="Z138" s="174">
        <v>0.98</v>
      </c>
      <c r="AA138" s="174">
        <v>1</v>
      </c>
      <c r="AB138" s="177"/>
      <c r="AC138" s="174">
        <v>1.01</v>
      </c>
      <c r="AD138" s="174">
        <v>1</v>
      </c>
      <c r="AE138" s="174">
        <v>1</v>
      </c>
      <c r="AF138" s="174">
        <v>1.04</v>
      </c>
      <c r="AG138" s="34"/>
      <c r="AH138" s="174">
        <v>1.05</v>
      </c>
      <c r="AI138" s="174">
        <v>1.01</v>
      </c>
      <c r="AJ138" s="174">
        <v>1.01</v>
      </c>
      <c r="AK138" s="174">
        <v>1.05</v>
      </c>
      <c r="AL138" s="34"/>
    </row>
    <row r="139" spans="2:38" hidden="1" outlineLevel="1" x14ac:dyDescent="0.3">
      <c r="B139" s="260" t="s">
        <v>33</v>
      </c>
      <c r="C139" s="297"/>
      <c r="D139" s="33"/>
      <c r="E139" s="105">
        <f>90/E138</f>
        <v>104.95967741935483</v>
      </c>
      <c r="F139" s="105">
        <f>90/F138</f>
        <v>103.41832324978392</v>
      </c>
      <c r="G139" s="136">
        <f>90/G138</f>
        <v>90.351014040561623</v>
      </c>
      <c r="H139" s="35"/>
      <c r="I139" s="136">
        <f>90/I138</f>
        <v>89.711075441412518</v>
      </c>
      <c r="J139" s="33">
        <f t="shared" ref="J139:L139" si="683">90/J138</f>
        <v>100.52101576182137</v>
      </c>
      <c r="K139" s="33">
        <f t="shared" si="683"/>
        <v>100.5770850884583</v>
      </c>
      <c r="L139" s="33">
        <f t="shared" si="683"/>
        <v>88.547297297297305</v>
      </c>
      <c r="M139" s="35"/>
      <c r="N139" s="136">
        <f>90/N138</f>
        <v>88.710302091402028</v>
      </c>
      <c r="O139" s="33">
        <f t="shared" ref="O139" si="684">90/O138</f>
        <v>98.034367141659672</v>
      </c>
      <c r="P139" s="33">
        <f t="shared" ref="P139:Q139" si="685">90/P138</f>
        <v>97.51203852327447</v>
      </c>
      <c r="Q139" s="33">
        <f t="shared" si="685"/>
        <v>94.736842105263165</v>
      </c>
      <c r="R139" s="35"/>
      <c r="S139" s="33">
        <f>90/S138</f>
        <v>85.714285714285708</v>
      </c>
      <c r="T139" s="33">
        <v>0.95</v>
      </c>
      <c r="U139" s="33">
        <f t="shared" ref="U139:V139" si="686">90/U138</f>
        <v>94.736842105263165</v>
      </c>
      <c r="V139" s="33">
        <f t="shared" si="686"/>
        <v>90</v>
      </c>
      <c r="W139" s="35"/>
      <c r="X139" s="33">
        <f>90/X138</f>
        <v>85.714285714285708</v>
      </c>
      <c r="Y139" s="33">
        <f t="shared" ref="Y139:AA139" si="687">90/Y138</f>
        <v>89.10891089108911</v>
      </c>
      <c r="Z139" s="33">
        <f t="shared" si="687"/>
        <v>91.83673469387756</v>
      </c>
      <c r="AA139" s="33">
        <f t="shared" si="687"/>
        <v>90</v>
      </c>
      <c r="AB139" s="35"/>
      <c r="AC139" s="33">
        <f>90/AC138</f>
        <v>89.10891089108911</v>
      </c>
      <c r="AD139" s="33">
        <f t="shared" ref="AD139:AF139" si="688">90/AD138</f>
        <v>90</v>
      </c>
      <c r="AE139" s="33">
        <f t="shared" si="688"/>
        <v>90</v>
      </c>
      <c r="AF139" s="33">
        <f t="shared" si="688"/>
        <v>86.538461538461533</v>
      </c>
      <c r="AG139" s="35"/>
      <c r="AH139" s="33">
        <f>90/AH138</f>
        <v>85.714285714285708</v>
      </c>
      <c r="AI139" s="33">
        <f t="shared" ref="AI139:AK139" si="689">90/AI138</f>
        <v>89.10891089108911</v>
      </c>
      <c r="AJ139" s="33">
        <f t="shared" si="689"/>
        <v>89.10891089108911</v>
      </c>
      <c r="AK139" s="33">
        <f t="shared" si="689"/>
        <v>85.714285714285708</v>
      </c>
      <c r="AL139" s="35"/>
    </row>
    <row r="140" spans="2:38" hidden="1" outlineLevel="1" x14ac:dyDescent="0.3">
      <c r="B140" s="260" t="s">
        <v>54</v>
      </c>
      <c r="C140" s="297"/>
      <c r="D140" s="96"/>
      <c r="E140" s="106">
        <f>E106/E12</f>
        <v>0</v>
      </c>
      <c r="F140" s="106">
        <f>F106/F12</f>
        <v>0</v>
      </c>
      <c r="G140" s="106">
        <f>G106/G12</f>
        <v>0</v>
      </c>
      <c r="H140" s="97"/>
      <c r="I140" s="106">
        <f>I106/I12</f>
        <v>0</v>
      </c>
      <c r="J140" s="106">
        <f>J106/J12</f>
        <v>0</v>
      </c>
      <c r="K140" s="106">
        <f>K106/K12</f>
        <v>0</v>
      </c>
      <c r="L140" s="106">
        <f>L106/L12</f>
        <v>0</v>
      </c>
      <c r="M140" s="97"/>
      <c r="N140" s="106">
        <f>N106/N12</f>
        <v>0</v>
      </c>
      <c r="O140" s="106">
        <f>O106/O12</f>
        <v>0</v>
      </c>
      <c r="P140" s="321">
        <v>0</v>
      </c>
      <c r="Q140" s="173">
        <v>0</v>
      </c>
      <c r="R140" s="97"/>
      <c r="S140" s="173">
        <v>0</v>
      </c>
      <c r="T140" s="173">
        <v>0</v>
      </c>
      <c r="U140" s="173">
        <v>0</v>
      </c>
      <c r="V140" s="173">
        <v>0</v>
      </c>
      <c r="W140" s="97"/>
      <c r="X140" s="173">
        <v>0</v>
      </c>
      <c r="Y140" s="173">
        <v>0</v>
      </c>
      <c r="Z140" s="173">
        <v>0</v>
      </c>
      <c r="AA140" s="173">
        <v>0</v>
      </c>
      <c r="AB140" s="38"/>
      <c r="AC140" s="173">
        <v>0</v>
      </c>
      <c r="AD140" s="244">
        <v>0</v>
      </c>
      <c r="AE140" s="173">
        <v>0</v>
      </c>
      <c r="AF140" s="173">
        <v>0</v>
      </c>
      <c r="AG140" s="38"/>
      <c r="AH140" s="173">
        <v>0</v>
      </c>
      <c r="AI140" s="173">
        <v>0</v>
      </c>
      <c r="AJ140" s="173">
        <v>0</v>
      </c>
      <c r="AK140" s="173">
        <v>0</v>
      </c>
      <c r="AL140" s="38"/>
    </row>
    <row r="141" spans="2:38" hidden="1" outlineLevel="1" x14ac:dyDescent="0.3">
      <c r="B141" s="260" t="s">
        <v>30</v>
      </c>
      <c r="C141" s="297"/>
      <c r="D141" s="39"/>
      <c r="E141" s="107">
        <f>E12/(AVERAGE(E110,D110))</f>
        <v>2.7304492512479199</v>
      </c>
      <c r="F141" s="107">
        <f>F12/(AVERAGE(F110,E110))</f>
        <v>2.8447000821692687</v>
      </c>
      <c r="G141" s="104">
        <f>G12/(AVERAGE(G110,F110))</f>
        <v>3.0997566909975669</v>
      </c>
      <c r="H141" s="38"/>
      <c r="I141" s="104">
        <f>I12/(AVERAGE(I110,G110))</f>
        <v>3.0436854646544877</v>
      </c>
      <c r="J141" s="104">
        <f>J12/(AVERAGE(J110,I110))</f>
        <v>2.6422447388932189</v>
      </c>
      <c r="K141" s="104">
        <f>K12/(AVERAGE(K110,J110))</f>
        <v>2.7431192660550461</v>
      </c>
      <c r="L141" s="104">
        <f>L12/(AVERAGE(L110,K110))</f>
        <v>3.0294339622641511</v>
      </c>
      <c r="M141" s="38"/>
      <c r="N141" s="104">
        <f>N12/(AVERAGE(N110,M110))</f>
        <v>2.9070958302852961</v>
      </c>
      <c r="O141" s="104">
        <f>O12/(AVERAGE(O110,N110))</f>
        <v>2.4860335195530725</v>
      </c>
      <c r="P141" s="104">
        <f>P12/(AVERAGE(P110,O110))</f>
        <v>2.5871056241426613</v>
      </c>
      <c r="Q141" s="104">
        <f>Q12/(AVERAGE(Q110,P110))</f>
        <v>2.803498766460542</v>
      </c>
      <c r="R141" s="38"/>
      <c r="S141" s="104">
        <f>S12/(AVERAGE(S110,R110))</f>
        <v>2.6794197554223342</v>
      </c>
      <c r="T141" s="104">
        <f>T12/(AVERAGE(T110,S110))</f>
        <v>2.2053245028478572</v>
      </c>
      <c r="U141" s="104">
        <f>U12/(AVERAGE(U110,T110))</f>
        <v>2.3628593938833089</v>
      </c>
      <c r="V141" s="104">
        <f>V12/(AVERAGE(V110,U110))</f>
        <v>2.255897515548444</v>
      </c>
      <c r="W141" s="38"/>
      <c r="X141" s="104">
        <f>X12/(AVERAGE(X110,W110))</f>
        <v>2.153417771629504</v>
      </c>
      <c r="Y141" s="104">
        <f>Y12/(AVERAGE(Y110,X110))</f>
        <v>2.0502658070829503</v>
      </c>
      <c r="Z141" s="104">
        <f>Z12/(AVERAGE(Z110,Y110))</f>
        <v>2.0449058036210066</v>
      </c>
      <c r="AA141" s="104">
        <f>AA12/(AVERAGE(AA110,Z110))</f>
        <v>2.0892000925359615</v>
      </c>
      <c r="AB141" s="38"/>
      <c r="AC141" s="104">
        <f>AC12/(AVERAGE(AC110,AB110))</f>
        <v>2.0076038387156743</v>
      </c>
      <c r="AD141" s="104">
        <f>AD12/(AVERAGE(AD110,AC110))</f>
        <v>1.9222732548521371</v>
      </c>
      <c r="AE141" s="104">
        <f>AE12/(AVERAGE(AE110,AD110))</f>
        <v>1.930634929107905</v>
      </c>
      <c r="AF141" s="104">
        <f>AF12/(AVERAGE(AF110,AE110))</f>
        <v>1.9869689746278585</v>
      </c>
      <c r="AG141" s="38"/>
      <c r="AH141" s="104">
        <f>AH12/(AVERAGE(AH110,AG110))</f>
        <v>1.9172023443174517</v>
      </c>
      <c r="AI141" s="104">
        <f>AI12/(AVERAGE(AI110,AH110))</f>
        <v>1.8420484643649468</v>
      </c>
      <c r="AJ141" s="104">
        <f>AJ12/(AVERAGE(AJ110,AI110))</f>
        <v>1.8594931060333049</v>
      </c>
      <c r="AK141" s="104">
        <f>AK12/(AVERAGE(AK110,AJ110))</f>
        <v>1.9247071290059468</v>
      </c>
      <c r="AL141" s="38"/>
    </row>
    <row r="142" spans="2:38" hidden="1" outlineLevel="1" x14ac:dyDescent="0.3">
      <c r="B142" s="260" t="s">
        <v>34</v>
      </c>
      <c r="C142" s="297"/>
      <c r="D142" s="36"/>
      <c r="E142" s="107">
        <f>E13/(AVERAGE(E118,D118))</f>
        <v>2.991957104557641</v>
      </c>
      <c r="F142" s="107">
        <f>F13/(AVERAGE(F118,E118))</f>
        <v>3.4079528718703975</v>
      </c>
      <c r="G142" s="107">
        <f>G13/(AVERAGE(G118,F118))</f>
        <v>4.3605442176870746</v>
      </c>
      <c r="H142" s="35"/>
      <c r="I142" s="104">
        <f>I13/(AVERAGE(I118,G118))</f>
        <v>4.1258278145695364</v>
      </c>
      <c r="J142" s="107">
        <f>J13/(AVERAGE(J118,I118))</f>
        <v>3.4501510574018126</v>
      </c>
      <c r="K142" s="107">
        <f>K13/(AVERAGE(K118,J118))</f>
        <v>3.8476499189627229</v>
      </c>
      <c r="L142" s="107">
        <f>L13/(AVERAGE(L118,K118))</f>
        <v>4.960893854748603</v>
      </c>
      <c r="M142" s="35"/>
      <c r="N142" s="104">
        <f>N13/(AVERAGE(N118,L118))</f>
        <v>5.0726915520628681</v>
      </c>
      <c r="O142" s="107">
        <f>O13/(AVERAGE(O118,N118))</f>
        <v>4.1280276816608996</v>
      </c>
      <c r="P142" s="107">
        <f>P13/(AVERAGE(P118,O118))</f>
        <v>4.4262877442273538</v>
      </c>
      <c r="Q142" s="174">
        <v>3.95</v>
      </c>
      <c r="R142" s="35"/>
      <c r="S142" s="245">
        <v>4</v>
      </c>
      <c r="T142" s="174">
        <v>3.65</v>
      </c>
      <c r="U142" s="174">
        <v>4.05</v>
      </c>
      <c r="V142" s="174">
        <v>3.85</v>
      </c>
      <c r="W142" s="35"/>
      <c r="X142" s="245">
        <v>4.05</v>
      </c>
      <c r="Y142" s="174">
        <v>4.1500000000000004</v>
      </c>
      <c r="Z142" s="174">
        <v>4.05</v>
      </c>
      <c r="AA142" s="174">
        <v>4</v>
      </c>
      <c r="AB142" s="35"/>
      <c r="AC142" s="245">
        <v>4</v>
      </c>
      <c r="AD142" s="174">
        <v>4.13</v>
      </c>
      <c r="AE142" s="174">
        <v>3.85</v>
      </c>
      <c r="AF142" s="174">
        <v>3.85</v>
      </c>
      <c r="AG142" s="35"/>
      <c r="AH142" s="245">
        <v>4.13</v>
      </c>
      <c r="AI142" s="174">
        <v>4.13</v>
      </c>
      <c r="AJ142" s="174">
        <v>3.85</v>
      </c>
      <c r="AK142" s="174">
        <v>4.5</v>
      </c>
      <c r="AL142" s="35"/>
    </row>
    <row r="143" spans="2:38" hidden="1" outlineLevel="1" x14ac:dyDescent="0.3">
      <c r="B143" s="260" t="s">
        <v>32</v>
      </c>
      <c r="C143" s="297"/>
      <c r="D143" s="132"/>
      <c r="E143" s="87">
        <f>90/E142</f>
        <v>30.08064516129032</v>
      </c>
      <c r="F143" s="87">
        <f>90/F142</f>
        <v>26.408815903197926</v>
      </c>
      <c r="G143" s="151">
        <f>90/G142</f>
        <v>20.639625585023403</v>
      </c>
      <c r="H143" s="18"/>
      <c r="I143" s="151">
        <f>90/I142</f>
        <v>21.813804173354736</v>
      </c>
      <c r="J143" s="134">
        <f t="shared" ref="J143:L143" si="690">90/J142</f>
        <v>26.085814360770577</v>
      </c>
      <c r="K143" s="134">
        <f t="shared" si="690"/>
        <v>23.39090143218197</v>
      </c>
      <c r="L143" s="134">
        <f t="shared" si="690"/>
        <v>18.141891891891895</v>
      </c>
      <c r="M143" s="18"/>
      <c r="N143" s="134">
        <f t="shared" ref="N143:Q143" si="691">90/N142</f>
        <v>17.742060418280403</v>
      </c>
      <c r="O143" s="134">
        <f t="shared" si="691"/>
        <v>21.802179379715003</v>
      </c>
      <c r="P143" s="134">
        <f t="shared" si="691"/>
        <v>20.333065810593897</v>
      </c>
      <c r="Q143" s="134">
        <f t="shared" si="691"/>
        <v>22.784810126582279</v>
      </c>
      <c r="R143" s="18"/>
      <c r="S143" s="134">
        <f t="shared" ref="S143:V143" si="692">90/S142</f>
        <v>22.5</v>
      </c>
      <c r="T143" s="134">
        <f t="shared" si="692"/>
        <v>24.657534246575342</v>
      </c>
      <c r="U143" s="134">
        <f t="shared" si="692"/>
        <v>22.222222222222221</v>
      </c>
      <c r="V143" s="134">
        <f t="shared" si="692"/>
        <v>23.376623376623375</v>
      </c>
      <c r="W143" s="18"/>
      <c r="X143" s="134">
        <f t="shared" ref="X143:AA143" si="693">90/X142</f>
        <v>22.222222222222221</v>
      </c>
      <c r="Y143" s="134">
        <f t="shared" si="693"/>
        <v>21.686746987951807</v>
      </c>
      <c r="Z143" s="134">
        <f t="shared" si="693"/>
        <v>22.222222222222221</v>
      </c>
      <c r="AA143" s="134">
        <f t="shared" si="693"/>
        <v>22.5</v>
      </c>
      <c r="AB143" s="18"/>
      <c r="AC143" s="134">
        <f t="shared" ref="AC143:AF143" si="694">90/AC142</f>
        <v>22.5</v>
      </c>
      <c r="AD143" s="134">
        <f t="shared" si="694"/>
        <v>21.791767554479421</v>
      </c>
      <c r="AE143" s="134">
        <f t="shared" si="694"/>
        <v>23.376623376623375</v>
      </c>
      <c r="AF143" s="134">
        <f t="shared" si="694"/>
        <v>23.376623376623375</v>
      </c>
      <c r="AG143" s="18"/>
      <c r="AH143" s="134">
        <f t="shared" ref="AH143:AK143" si="695">90/AH142</f>
        <v>21.791767554479421</v>
      </c>
      <c r="AI143" s="134">
        <f t="shared" si="695"/>
        <v>21.791767554479421</v>
      </c>
      <c r="AJ143" s="134">
        <f t="shared" si="695"/>
        <v>23.376623376623375</v>
      </c>
      <c r="AK143" s="134">
        <f t="shared" si="695"/>
        <v>20</v>
      </c>
      <c r="AL143" s="18"/>
    </row>
    <row r="144" spans="2:38" hidden="1" outlineLevel="1" x14ac:dyDescent="0.3">
      <c r="B144" s="282" t="s">
        <v>36</v>
      </c>
      <c r="C144" s="298"/>
      <c r="D144" s="132"/>
      <c r="E144" s="87">
        <f>E139-E143</f>
        <v>74.879032258064512</v>
      </c>
      <c r="F144" s="87">
        <f t="shared" ref="F144:G144" si="696">F139-F143</f>
        <v>77.009507346585991</v>
      </c>
      <c r="G144" s="87">
        <f t="shared" si="696"/>
        <v>69.711388455538213</v>
      </c>
      <c r="H144" s="18"/>
      <c r="I144" s="87">
        <f>I139-I143</f>
        <v>67.897271268057779</v>
      </c>
      <c r="J144" s="87">
        <f t="shared" ref="J144:L144" si="697">J139-J143</f>
        <v>74.43520140105079</v>
      </c>
      <c r="K144" s="87">
        <f t="shared" si="697"/>
        <v>77.186183656276341</v>
      </c>
      <c r="L144" s="87">
        <f t="shared" si="697"/>
        <v>70.405405405405418</v>
      </c>
      <c r="M144" s="18"/>
      <c r="N144" s="87">
        <f>N139-N143</f>
        <v>70.968241673121625</v>
      </c>
      <c r="O144" s="87">
        <f t="shared" ref="O144:Q144" si="698">O139-O143</f>
        <v>76.232187761944672</v>
      </c>
      <c r="P144" s="87">
        <f t="shared" si="698"/>
        <v>77.178972712680576</v>
      </c>
      <c r="Q144" s="87">
        <f t="shared" si="698"/>
        <v>71.952031978680878</v>
      </c>
      <c r="R144" s="18"/>
      <c r="S144" s="87">
        <f>S139-S143</f>
        <v>63.214285714285708</v>
      </c>
      <c r="T144" s="87">
        <f t="shared" ref="T144" si="699">T139-T143</f>
        <v>-23.707534246575342</v>
      </c>
      <c r="U144" s="87">
        <f t="shared" ref="U144" si="700">U139-U143</f>
        <v>72.51461988304095</v>
      </c>
      <c r="V144" s="87">
        <f t="shared" ref="V144" si="701">V139-V143</f>
        <v>66.623376623376629</v>
      </c>
      <c r="W144" s="18"/>
      <c r="X144" s="87">
        <f>X139-X143</f>
        <v>63.492063492063487</v>
      </c>
      <c r="Y144" s="87">
        <f t="shared" ref="Y144" si="702">Y139-Y143</f>
        <v>67.422163903137303</v>
      </c>
      <c r="Z144" s="87">
        <f t="shared" ref="Z144" si="703">Z139-Z143</f>
        <v>69.614512471655331</v>
      </c>
      <c r="AA144" s="87">
        <f t="shared" ref="AA144" si="704">AA139-AA143</f>
        <v>67.5</v>
      </c>
      <c r="AB144" s="18"/>
      <c r="AC144" s="87">
        <f>AC139-AC143</f>
        <v>66.60891089108911</v>
      </c>
      <c r="AD144" s="87">
        <f t="shared" ref="AD144" si="705">AD139-AD143</f>
        <v>68.208232445520579</v>
      </c>
      <c r="AE144" s="87">
        <f t="shared" ref="AE144" si="706">AE139-AE143</f>
        <v>66.623376623376629</v>
      </c>
      <c r="AF144" s="87">
        <f t="shared" ref="AF144" si="707">AF139-AF143</f>
        <v>63.161838161838162</v>
      </c>
      <c r="AG144" s="18"/>
      <c r="AH144" s="87">
        <f>AH139-AH143</f>
        <v>63.922518159806287</v>
      </c>
      <c r="AI144" s="87">
        <f t="shared" ref="AI144" si="708">AI139-AI143</f>
        <v>67.317143336609689</v>
      </c>
      <c r="AJ144" s="87">
        <f t="shared" ref="AJ144" si="709">AJ139-AJ143</f>
        <v>65.732287514465739</v>
      </c>
      <c r="AK144" s="87">
        <f t="shared" ref="AK144" si="710">AK139-AK143</f>
        <v>65.714285714285708</v>
      </c>
      <c r="AL144" s="18"/>
    </row>
    <row r="145" spans="1:38" hidden="1" outlineLevel="1" x14ac:dyDescent="0.3">
      <c r="B145" s="278" t="s">
        <v>35</v>
      </c>
      <c r="C145" s="279"/>
      <c r="D145" s="40"/>
      <c r="E145" s="108"/>
      <c r="F145" s="40"/>
      <c r="G145" s="40"/>
      <c r="H145" s="55"/>
      <c r="I145" s="40"/>
      <c r="J145" s="40"/>
      <c r="K145" s="40"/>
      <c r="L145" s="40"/>
      <c r="M145" s="55"/>
      <c r="N145" s="40"/>
      <c r="O145" s="40"/>
      <c r="P145" s="40"/>
      <c r="Q145" s="40"/>
      <c r="R145" s="55"/>
      <c r="S145" s="40"/>
      <c r="T145" s="40"/>
      <c r="U145" s="40"/>
      <c r="V145" s="40"/>
      <c r="W145" s="55"/>
      <c r="X145" s="40"/>
      <c r="Y145" s="40"/>
      <c r="Z145" s="40"/>
      <c r="AA145" s="40"/>
      <c r="AB145" s="55"/>
      <c r="AC145" s="40"/>
      <c r="AD145" s="40"/>
      <c r="AE145" s="40"/>
      <c r="AF145" s="40"/>
      <c r="AG145" s="55"/>
      <c r="AH145" s="40"/>
      <c r="AI145" s="40"/>
      <c r="AJ145" s="40"/>
      <c r="AK145" s="40"/>
      <c r="AL145" s="55"/>
    </row>
    <row r="146" spans="1:38" hidden="1" outlineLevel="1" x14ac:dyDescent="0.3">
      <c r="B146" s="222"/>
      <c r="C146" s="222"/>
      <c r="D146" s="134"/>
      <c r="E146" s="151"/>
      <c r="F146" s="134"/>
      <c r="G146" s="134"/>
      <c r="H146" s="133"/>
      <c r="I146" s="134"/>
      <c r="J146" s="134"/>
      <c r="K146" s="134"/>
      <c r="L146" s="134"/>
      <c r="M146" s="133"/>
      <c r="N146" s="134"/>
      <c r="O146" s="134"/>
      <c r="P146" s="134"/>
      <c r="Q146" s="134"/>
      <c r="R146" s="133"/>
      <c r="S146" s="134"/>
      <c r="T146" s="134"/>
      <c r="U146" s="134"/>
      <c r="V146" s="134"/>
      <c r="W146" s="133"/>
      <c r="X146" s="134"/>
      <c r="Y146" s="134"/>
      <c r="Z146" s="134"/>
      <c r="AA146" s="134"/>
      <c r="AB146" s="133"/>
      <c r="AC146" s="134"/>
      <c r="AD146" s="134"/>
      <c r="AE146" s="134"/>
      <c r="AF146" s="134"/>
      <c r="AG146" s="133"/>
      <c r="AH146" s="134"/>
      <c r="AI146" s="134"/>
      <c r="AJ146" s="134"/>
      <c r="AK146" s="134"/>
      <c r="AL146" s="133"/>
    </row>
    <row r="147" spans="1:38" collapsed="1" x14ac:dyDescent="0.3">
      <c r="A147" s="67"/>
      <c r="B147" s="100"/>
      <c r="C147" s="83"/>
      <c r="D147" s="23"/>
      <c r="E147" s="23"/>
    </row>
    <row r="148" spans="1:38" s="129" customFormat="1" ht="15.6" x14ac:dyDescent="0.3">
      <c r="A148" s="131"/>
      <c r="B148" s="285" t="s">
        <v>169</v>
      </c>
      <c r="C148" s="286"/>
      <c r="D148" s="130"/>
      <c r="E148" s="130"/>
      <c r="F148" s="156"/>
      <c r="G148" s="156"/>
      <c r="H148" s="156"/>
      <c r="I148" s="130"/>
      <c r="J148" s="155"/>
      <c r="K148" s="156"/>
      <c r="L148" s="156"/>
      <c r="M148" s="156"/>
      <c r="N148" s="155"/>
      <c r="O148" s="155"/>
      <c r="P148" s="156"/>
      <c r="Q148" s="156"/>
      <c r="R148" s="156"/>
      <c r="S148" s="155"/>
      <c r="T148" s="155"/>
      <c r="U148" s="156"/>
      <c r="V148" s="156"/>
      <c r="W148" s="156"/>
      <c r="X148" s="155"/>
      <c r="Y148" s="155"/>
      <c r="Z148" s="156"/>
      <c r="AA148" s="156"/>
      <c r="AB148" s="156"/>
      <c r="AC148" s="155"/>
      <c r="AD148" s="155"/>
      <c r="AE148" s="156"/>
      <c r="AF148" s="156"/>
      <c r="AG148" s="156"/>
      <c r="AH148" s="155"/>
      <c r="AI148" s="155"/>
      <c r="AJ148" s="156"/>
      <c r="AK148" s="156"/>
      <c r="AL148" s="156"/>
    </row>
    <row r="149" spans="1:38" hidden="1" outlineLevel="1" x14ac:dyDescent="0.3">
      <c r="B149" s="287" t="s">
        <v>4</v>
      </c>
      <c r="C149" s="288"/>
      <c r="D149" s="157" t="s">
        <v>150</v>
      </c>
      <c r="E149" s="157" t="s">
        <v>151</v>
      </c>
      <c r="F149" s="157" t="s">
        <v>147</v>
      </c>
      <c r="G149" s="157" t="s">
        <v>146</v>
      </c>
      <c r="H149" s="157" t="s">
        <v>146</v>
      </c>
      <c r="I149" s="157" t="s">
        <v>148</v>
      </c>
      <c r="J149" s="157" t="s">
        <v>149</v>
      </c>
      <c r="K149" s="157" t="s">
        <v>145</v>
      </c>
      <c r="L149" s="157" t="s">
        <v>143</v>
      </c>
      <c r="M149" s="157" t="s">
        <v>143</v>
      </c>
      <c r="N149" s="157" t="s">
        <v>152</v>
      </c>
      <c r="O149" s="157" t="s">
        <v>153</v>
      </c>
      <c r="P149" s="119" t="s">
        <v>203</v>
      </c>
      <c r="Q149" s="119" t="s">
        <v>157</v>
      </c>
      <c r="R149" s="119" t="s">
        <v>157</v>
      </c>
      <c r="S149" s="119" t="s">
        <v>207</v>
      </c>
      <c r="T149" s="119" t="s">
        <v>208</v>
      </c>
      <c r="U149" s="119" t="s">
        <v>156</v>
      </c>
      <c r="V149" s="119" t="s">
        <v>158</v>
      </c>
      <c r="W149" s="119" t="s">
        <v>158</v>
      </c>
      <c r="X149" s="119" t="s">
        <v>209</v>
      </c>
      <c r="Y149" s="119" t="s">
        <v>210</v>
      </c>
      <c r="Z149" s="119" t="s">
        <v>212</v>
      </c>
      <c r="AA149" s="119" t="s">
        <v>159</v>
      </c>
      <c r="AB149" s="119" t="s">
        <v>159</v>
      </c>
      <c r="AC149" s="119" t="s">
        <v>213</v>
      </c>
      <c r="AD149" s="119" t="s">
        <v>214</v>
      </c>
      <c r="AE149" s="119" t="s">
        <v>211</v>
      </c>
      <c r="AF149" s="119" t="s">
        <v>160</v>
      </c>
      <c r="AG149" s="119" t="s">
        <v>160</v>
      </c>
      <c r="AH149" s="119" t="s">
        <v>215</v>
      </c>
      <c r="AI149" s="119" t="s">
        <v>216</v>
      </c>
      <c r="AJ149" s="119" t="s">
        <v>217</v>
      </c>
      <c r="AK149" s="119" t="s">
        <v>161</v>
      </c>
      <c r="AL149" s="120" t="s">
        <v>161</v>
      </c>
    </row>
    <row r="150" spans="1:38" ht="16.2" hidden="1" outlineLevel="1" x14ac:dyDescent="0.45">
      <c r="B150" s="299"/>
      <c r="C150" s="300"/>
      <c r="D150" s="158" t="s">
        <v>90</v>
      </c>
      <c r="E150" s="158" t="s">
        <v>96</v>
      </c>
      <c r="F150" s="158" t="s">
        <v>97</v>
      </c>
      <c r="G150" s="158" t="s">
        <v>100</v>
      </c>
      <c r="H150" s="158" t="s">
        <v>101</v>
      </c>
      <c r="I150" s="158" t="s">
        <v>124</v>
      </c>
      <c r="J150" s="158" t="s">
        <v>132</v>
      </c>
      <c r="K150" s="158" t="s">
        <v>135</v>
      </c>
      <c r="L150" s="158" t="s">
        <v>144</v>
      </c>
      <c r="M150" s="158" t="s">
        <v>142</v>
      </c>
      <c r="N150" s="158" t="s">
        <v>154</v>
      </c>
      <c r="O150" s="158" t="s">
        <v>155</v>
      </c>
      <c r="P150" s="121" t="s">
        <v>39</v>
      </c>
      <c r="Q150" s="121" t="s">
        <v>40</v>
      </c>
      <c r="R150" s="121" t="s">
        <v>41</v>
      </c>
      <c r="S150" s="121" t="s">
        <v>42</v>
      </c>
      <c r="T150" s="121" t="s">
        <v>43</v>
      </c>
      <c r="U150" s="121" t="s">
        <v>44</v>
      </c>
      <c r="V150" s="121" t="s">
        <v>45</v>
      </c>
      <c r="W150" s="121" t="s">
        <v>46</v>
      </c>
      <c r="X150" s="121" t="s">
        <v>47</v>
      </c>
      <c r="Y150" s="121" t="s">
        <v>48</v>
      </c>
      <c r="Z150" s="121" t="s">
        <v>49</v>
      </c>
      <c r="AA150" s="121" t="s">
        <v>50</v>
      </c>
      <c r="AB150" s="121" t="s">
        <v>51</v>
      </c>
      <c r="AC150" s="121" t="s">
        <v>102</v>
      </c>
      <c r="AD150" s="121" t="s">
        <v>103</v>
      </c>
      <c r="AE150" s="121" t="s">
        <v>104</v>
      </c>
      <c r="AF150" s="121" t="s">
        <v>105</v>
      </c>
      <c r="AG150" s="121" t="s">
        <v>106</v>
      </c>
      <c r="AH150" s="121" t="s">
        <v>136</v>
      </c>
      <c r="AI150" s="121" t="s">
        <v>137</v>
      </c>
      <c r="AJ150" s="121" t="s">
        <v>138</v>
      </c>
      <c r="AK150" s="121" t="s">
        <v>139</v>
      </c>
      <c r="AL150" s="122" t="s">
        <v>140</v>
      </c>
    </row>
    <row r="151" spans="1:38" hidden="1" outlineLevel="1" x14ac:dyDescent="0.3">
      <c r="B151" s="280" t="s">
        <v>16</v>
      </c>
      <c r="C151" s="281"/>
      <c r="D151" s="10"/>
      <c r="E151" s="102"/>
      <c r="F151" s="8"/>
      <c r="G151" s="8"/>
      <c r="H151" s="13"/>
      <c r="I151" s="10"/>
      <c r="J151" s="12"/>
      <c r="K151" s="8"/>
      <c r="L151" s="8"/>
      <c r="M151" s="13"/>
      <c r="N151" s="10"/>
      <c r="O151" s="12"/>
      <c r="P151" s="8"/>
      <c r="Q151" s="8"/>
      <c r="R151" s="13"/>
      <c r="S151" s="10"/>
      <c r="T151" s="12"/>
      <c r="U151" s="8"/>
      <c r="V151" s="8"/>
      <c r="W151" s="13"/>
      <c r="X151" s="10"/>
      <c r="Y151" s="12"/>
      <c r="Z151" s="8"/>
      <c r="AA151" s="8"/>
      <c r="AB151" s="13"/>
      <c r="AC151" s="10"/>
      <c r="AD151" s="12"/>
      <c r="AE151" s="8"/>
      <c r="AF151" s="8"/>
      <c r="AG151" s="13"/>
      <c r="AH151" s="10"/>
      <c r="AI151" s="12"/>
      <c r="AJ151" s="8"/>
      <c r="AK151" s="8"/>
      <c r="AL151" s="13"/>
    </row>
    <row r="152" spans="1:38" hidden="1" outlineLevel="1" x14ac:dyDescent="0.3">
      <c r="B152" s="282" t="s">
        <v>17</v>
      </c>
      <c r="C152" s="283"/>
      <c r="D152" s="42">
        <f>D24</f>
        <v>162</v>
      </c>
      <c r="E152" s="43">
        <f>E24</f>
        <v>92</v>
      </c>
      <c r="F152" s="43">
        <f>F24</f>
        <v>120</v>
      </c>
      <c r="G152" s="43">
        <f>G24</f>
        <v>146</v>
      </c>
      <c r="H152" s="81">
        <f t="shared" ref="H152:H166" si="711">SUM(D152:G152)</f>
        <v>520</v>
      </c>
      <c r="I152" s="43">
        <f>I24</f>
        <v>184</v>
      </c>
      <c r="J152" s="1">
        <f>J24</f>
        <v>119</v>
      </c>
      <c r="K152" s="1">
        <f>K24</f>
        <v>80</v>
      </c>
      <c r="L152" s="1">
        <f>L24</f>
        <v>158</v>
      </c>
      <c r="M152" s="81">
        <f t="shared" ref="M152:M166" si="712">SUM(I152:L152)</f>
        <v>541</v>
      </c>
      <c r="N152" s="230">
        <f>N24</f>
        <v>191</v>
      </c>
      <c r="O152" s="1">
        <f>O24</f>
        <v>127</v>
      </c>
      <c r="P152" s="43">
        <f>P24</f>
        <v>157</v>
      </c>
      <c r="Q152" s="43">
        <f>Q24</f>
        <v>176.04149538461539</v>
      </c>
      <c r="R152" s="81">
        <f t="shared" ref="R152:R159" si="713">SUM(N152:Q152)</f>
        <v>651.04149538461536</v>
      </c>
      <c r="S152" s="42">
        <f>S24</f>
        <v>202.94387359455209</v>
      </c>
      <c r="T152" s="43">
        <f>T24</f>
        <v>136.17096272721801</v>
      </c>
      <c r="U152" s="43">
        <f>U24</f>
        <v>159.79201168313742</v>
      </c>
      <c r="V152" s="43">
        <f>V24</f>
        <v>161.61328355635413</v>
      </c>
      <c r="W152" s="81">
        <f t="shared" ref="W152:W159" si="714">SUM(S152:V152)</f>
        <v>660.52013156126168</v>
      </c>
      <c r="X152" s="42">
        <f>X24</f>
        <v>158.66641907228578</v>
      </c>
      <c r="Y152" s="43">
        <f>Y24</f>
        <v>154.99627010772571</v>
      </c>
      <c r="Z152" s="43">
        <f>Z24</f>
        <v>158.27724977090762</v>
      </c>
      <c r="AA152" s="43">
        <f>AA24</f>
        <v>165.27975013207811</v>
      </c>
      <c r="AB152" s="81">
        <f t="shared" ref="AB152:AB159" si="715">SUM(X152:AA152)</f>
        <v>637.21968908299721</v>
      </c>
      <c r="AC152" s="42">
        <f>AC24</f>
        <v>162.06342045268588</v>
      </c>
      <c r="AD152" s="43">
        <f>AD24</f>
        <v>158.12722227047072</v>
      </c>
      <c r="AE152" s="43">
        <f>AE24</f>
        <v>161.56001659475072</v>
      </c>
      <c r="AF152" s="43">
        <f>AF24</f>
        <v>167.6592859401942</v>
      </c>
      <c r="AG152" s="81">
        <f t="shared" ref="AG152:AG159" si="716">SUM(AC152:AF152)</f>
        <v>649.40994525810152</v>
      </c>
      <c r="AH152" s="42">
        <f>AH24</f>
        <v>164.27397868866126</v>
      </c>
      <c r="AI152" s="43">
        <f>AI24</f>
        <v>160.05879350853857</v>
      </c>
      <c r="AJ152" s="43">
        <f>AJ24</f>
        <v>163.65925969769648</v>
      </c>
      <c r="AK152" s="43">
        <f>AK24</f>
        <v>171.61041339755121</v>
      </c>
      <c r="AL152" s="81">
        <f t="shared" ref="AL152:AL159" si="717">SUM(AH152:AK152)</f>
        <v>659.60244529244756</v>
      </c>
    </row>
    <row r="153" spans="1:38" hidden="1" outlineLevel="1" x14ac:dyDescent="0.3">
      <c r="B153" s="211" t="s">
        <v>191</v>
      </c>
      <c r="C153" s="212"/>
      <c r="D153" s="42">
        <v>1</v>
      </c>
      <c r="E153" s="43">
        <v>2</v>
      </c>
      <c r="F153" s="43">
        <v>0</v>
      </c>
      <c r="G153" s="43">
        <v>1</v>
      </c>
      <c r="H153" s="81">
        <f t="shared" si="711"/>
        <v>4</v>
      </c>
      <c r="I153" s="42">
        <v>0</v>
      </c>
      <c r="J153" s="1">
        <v>0</v>
      </c>
      <c r="K153" s="1">
        <v>0</v>
      </c>
      <c r="L153" s="1">
        <v>5</v>
      </c>
      <c r="M153" s="81">
        <f t="shared" si="712"/>
        <v>5</v>
      </c>
      <c r="N153" s="230">
        <v>0</v>
      </c>
      <c r="O153" s="1">
        <v>0</v>
      </c>
      <c r="P153" s="169">
        <v>0</v>
      </c>
      <c r="Q153" s="43">
        <v>0</v>
      </c>
      <c r="R153" s="81">
        <f t="shared" si="713"/>
        <v>0</v>
      </c>
      <c r="S153" s="43">
        <v>0</v>
      </c>
      <c r="T153" s="43">
        <v>0</v>
      </c>
      <c r="U153" s="43">
        <v>0</v>
      </c>
      <c r="V153" s="43">
        <v>0</v>
      </c>
      <c r="W153" s="81">
        <f t="shared" si="714"/>
        <v>0</v>
      </c>
      <c r="X153" s="43">
        <v>0</v>
      </c>
      <c r="Y153" s="43">
        <v>0</v>
      </c>
      <c r="Z153" s="43">
        <v>0</v>
      </c>
      <c r="AA153" s="43">
        <v>0</v>
      </c>
      <c r="AB153" s="81">
        <f t="shared" si="715"/>
        <v>0</v>
      </c>
      <c r="AC153" s="43">
        <v>0</v>
      </c>
      <c r="AD153" s="43">
        <v>0</v>
      </c>
      <c r="AE153" s="43">
        <v>0</v>
      </c>
      <c r="AF153" s="43">
        <v>0</v>
      </c>
      <c r="AG153" s="81">
        <f t="shared" si="716"/>
        <v>0</v>
      </c>
      <c r="AH153" s="43">
        <v>0</v>
      </c>
      <c r="AI153" s="43">
        <v>0</v>
      </c>
      <c r="AJ153" s="43">
        <v>0</v>
      </c>
      <c r="AK153" s="43">
        <v>0</v>
      </c>
      <c r="AL153" s="81">
        <f t="shared" si="717"/>
        <v>0</v>
      </c>
    </row>
    <row r="154" spans="1:38" hidden="1" outlineLevel="1" x14ac:dyDescent="0.3">
      <c r="B154" s="282" t="s">
        <v>170</v>
      </c>
      <c r="C154" s="283"/>
      <c r="D154" s="42">
        <f>D16</f>
        <v>36</v>
      </c>
      <c r="E154" s="43">
        <f>E16</f>
        <v>36</v>
      </c>
      <c r="F154" s="43">
        <f>F16</f>
        <v>34</v>
      </c>
      <c r="G154" s="43">
        <f>G16</f>
        <v>33</v>
      </c>
      <c r="H154" s="81">
        <f t="shared" si="711"/>
        <v>139</v>
      </c>
      <c r="I154" s="42">
        <f>I16</f>
        <v>35</v>
      </c>
      <c r="J154" s="43">
        <f>J16</f>
        <v>36</v>
      </c>
      <c r="K154" s="43">
        <f>K16</f>
        <v>38</v>
      </c>
      <c r="L154" s="43">
        <f>L16</f>
        <v>39</v>
      </c>
      <c r="M154" s="81">
        <f t="shared" si="712"/>
        <v>148</v>
      </c>
      <c r="N154" s="42">
        <f>N16</f>
        <v>39</v>
      </c>
      <c r="O154" s="43">
        <f>O16</f>
        <v>39</v>
      </c>
      <c r="P154" s="169">
        <f>(AVERAGE(O110,N110))*P196</f>
        <v>37.948</v>
      </c>
      <c r="Q154" s="43">
        <f>(AVERAGE(P110,O110))*Q196</f>
        <v>38.637</v>
      </c>
      <c r="R154" s="81">
        <f t="shared" si="713"/>
        <v>154.58500000000001</v>
      </c>
      <c r="S154" s="42">
        <f>(AVERAGE(Q110,P110))*S196</f>
        <v>39.700392000000001</v>
      </c>
      <c r="T154" s="43">
        <f>(AVERAGE(S110,Q110))*T196</f>
        <v>41.538844287000003</v>
      </c>
      <c r="U154" s="43">
        <f>(AVERAGE(T110,S110))*U196</f>
        <v>43.258939841644498</v>
      </c>
      <c r="V154" s="43">
        <f>(AVERAGE(U110,T110))*V196</f>
        <v>44.860900430385421</v>
      </c>
      <c r="W154" s="81">
        <f t="shared" si="714"/>
        <v>169.35907655902992</v>
      </c>
      <c r="X154" s="42">
        <f>(AVERAGE(V110,U110))*X196</f>
        <v>46.352184755631633</v>
      </c>
      <c r="Y154" s="43">
        <f>(AVERAGE(X110,V110))*Y196</f>
        <v>47.66338372931218</v>
      </c>
      <c r="Z154" s="43">
        <f>(AVERAGE(Y110,X110))*Z196</f>
        <v>48.900316895571173</v>
      </c>
      <c r="AA154" s="43">
        <f>(AVERAGE(Z110,Y110))*AA196</f>
        <v>50.069724560121763</v>
      </c>
      <c r="AB154" s="81">
        <f t="shared" si="715"/>
        <v>192.98560994063675</v>
      </c>
      <c r="AC154" s="42">
        <f>(AVERAGE(AA110,Z110))*AC196</f>
        <v>51.175364192655898</v>
      </c>
      <c r="AD154" s="43">
        <f>(AVERAGE(AC110,AA110))*AD196</f>
        <v>52.220715071817288</v>
      </c>
      <c r="AE154" s="43">
        <f>(AVERAGE(AD110,AC110))*AE196</f>
        <v>53.209064702418743</v>
      </c>
      <c r="AF154" s="43">
        <f>(AVERAGE(AE110,AD110))*AF196</f>
        <v>54.143521269511488</v>
      </c>
      <c r="AG154" s="81">
        <f t="shared" si="716"/>
        <v>210.74866523640344</v>
      </c>
      <c r="AH154" s="42">
        <f>(AVERAGE(AF110,AE110))*AH196</f>
        <v>55.027023472365336</v>
      </c>
      <c r="AI154" s="43">
        <f>(AVERAGE(AH110,AF110))*AI196</f>
        <v>55.862349767815608</v>
      </c>
      <c r="AJ154" s="43">
        <f>(AVERAGE(AI110,AH110))*AJ196</f>
        <v>56.652127108060817</v>
      </c>
      <c r="AK154" s="43">
        <f>(AVERAGE(AJ110,AI110))*AK196</f>
        <v>57.398839201960094</v>
      </c>
      <c r="AL154" s="81">
        <f t="shared" si="717"/>
        <v>224.94033955020186</v>
      </c>
    </row>
    <row r="155" spans="1:38" hidden="1" outlineLevel="1" x14ac:dyDescent="0.3">
      <c r="B155" s="211" t="s">
        <v>194</v>
      </c>
      <c r="C155" s="212"/>
      <c r="D155" s="42">
        <v>0</v>
      </c>
      <c r="E155" s="43">
        <v>0</v>
      </c>
      <c r="F155" s="43">
        <v>0</v>
      </c>
      <c r="G155" s="43">
        <v>20</v>
      </c>
      <c r="H155" s="81">
        <f t="shared" si="711"/>
        <v>20</v>
      </c>
      <c r="I155" s="42">
        <v>0</v>
      </c>
      <c r="J155" s="43">
        <v>0</v>
      </c>
      <c r="K155" s="43">
        <v>0</v>
      </c>
      <c r="L155" s="43">
        <v>-6</v>
      </c>
      <c r="M155" s="81">
        <f t="shared" si="712"/>
        <v>-6</v>
      </c>
      <c r="N155" s="42">
        <v>0</v>
      </c>
      <c r="O155" s="43">
        <v>0</v>
      </c>
      <c r="P155" s="169">
        <v>0</v>
      </c>
      <c r="Q155" s="43">
        <v>0</v>
      </c>
      <c r="R155" s="81">
        <f t="shared" si="713"/>
        <v>0</v>
      </c>
      <c r="S155" s="43">
        <v>0</v>
      </c>
      <c r="T155" s="43">
        <v>0</v>
      </c>
      <c r="U155" s="43">
        <v>0</v>
      </c>
      <c r="V155" s="43">
        <v>0</v>
      </c>
      <c r="W155" s="81">
        <f t="shared" si="714"/>
        <v>0</v>
      </c>
      <c r="X155" s="43">
        <v>0</v>
      </c>
      <c r="Y155" s="43">
        <v>0</v>
      </c>
      <c r="Z155" s="43">
        <v>0</v>
      </c>
      <c r="AA155" s="43">
        <v>0</v>
      </c>
      <c r="AB155" s="81">
        <f t="shared" si="715"/>
        <v>0</v>
      </c>
      <c r="AC155" s="43">
        <v>0</v>
      </c>
      <c r="AD155" s="43">
        <v>0</v>
      </c>
      <c r="AE155" s="43">
        <v>0</v>
      </c>
      <c r="AF155" s="43">
        <v>0</v>
      </c>
      <c r="AG155" s="81">
        <f t="shared" si="716"/>
        <v>0</v>
      </c>
      <c r="AH155" s="43">
        <v>0</v>
      </c>
      <c r="AI155" s="43">
        <v>0</v>
      </c>
      <c r="AJ155" s="43">
        <v>0</v>
      </c>
      <c r="AK155" s="43">
        <v>0</v>
      </c>
      <c r="AL155" s="81">
        <f t="shared" si="717"/>
        <v>0</v>
      </c>
    </row>
    <row r="156" spans="1:38" hidden="1" outlineLevel="1" x14ac:dyDescent="0.3">
      <c r="B156" s="282" t="s">
        <v>190</v>
      </c>
      <c r="C156" s="283"/>
      <c r="D156" s="42">
        <v>6</v>
      </c>
      <c r="E156" s="43">
        <v>6</v>
      </c>
      <c r="F156" s="43">
        <v>6</v>
      </c>
      <c r="G156" s="43">
        <f>24-D156-E156-F156</f>
        <v>6</v>
      </c>
      <c r="H156" s="81">
        <f t="shared" si="711"/>
        <v>24</v>
      </c>
      <c r="I156" s="42">
        <v>6</v>
      </c>
      <c r="J156" s="1">
        <f>11-I156</f>
        <v>5</v>
      </c>
      <c r="K156" s="1">
        <f>17-J156-I156</f>
        <v>6</v>
      </c>
      <c r="L156" s="1">
        <f>22-K156-J156-I156</f>
        <v>5</v>
      </c>
      <c r="M156" s="81">
        <f t="shared" si="712"/>
        <v>22</v>
      </c>
      <c r="N156" s="229">
        <v>5</v>
      </c>
      <c r="O156" s="1">
        <f>11-N156</f>
        <v>6</v>
      </c>
      <c r="P156" s="169"/>
      <c r="Q156" s="43"/>
      <c r="R156" s="81">
        <f t="shared" si="713"/>
        <v>11</v>
      </c>
      <c r="S156" s="42"/>
      <c r="T156" s="43"/>
      <c r="U156" s="43"/>
      <c r="V156" s="43"/>
      <c r="W156" s="81">
        <f t="shared" si="714"/>
        <v>0</v>
      </c>
      <c r="X156" s="42"/>
      <c r="Y156" s="43"/>
      <c r="Z156" s="43"/>
      <c r="AA156" s="43"/>
      <c r="AB156" s="81">
        <f t="shared" si="715"/>
        <v>0</v>
      </c>
      <c r="AC156" s="42"/>
      <c r="AD156" s="43"/>
      <c r="AE156" s="43"/>
      <c r="AF156" s="43"/>
      <c r="AG156" s="81">
        <f t="shared" si="716"/>
        <v>0</v>
      </c>
      <c r="AH156" s="42"/>
      <c r="AI156" s="43"/>
      <c r="AJ156" s="43"/>
      <c r="AK156" s="43"/>
      <c r="AL156" s="81">
        <f t="shared" si="717"/>
        <v>0</v>
      </c>
    </row>
    <row r="157" spans="1:38" hidden="1" outlineLevel="1" x14ac:dyDescent="0.3">
      <c r="B157" s="211" t="s">
        <v>178</v>
      </c>
      <c r="C157" s="212"/>
      <c r="D157" s="42">
        <v>-7</v>
      </c>
      <c r="E157" s="43">
        <f>-9-D157</f>
        <v>-2</v>
      </c>
      <c r="F157" s="43">
        <f>-11-E157-D157</f>
        <v>-2</v>
      </c>
      <c r="G157" s="43">
        <f>-12-D157-E157-F157</f>
        <v>-1</v>
      </c>
      <c r="H157" s="81">
        <f t="shared" si="711"/>
        <v>-12</v>
      </c>
      <c r="I157" s="42">
        <v>-14</v>
      </c>
      <c r="J157" s="1">
        <f>-24-I157</f>
        <v>-10</v>
      </c>
      <c r="K157" s="1">
        <f>-33-J157-I157</f>
        <v>-9</v>
      </c>
      <c r="L157" s="1">
        <f>-35-K157-J157-I157</f>
        <v>-2</v>
      </c>
      <c r="M157" s="81">
        <f t="shared" si="712"/>
        <v>-35</v>
      </c>
      <c r="N157" s="20">
        <v>-6</v>
      </c>
      <c r="O157" s="1">
        <f>-10-N157</f>
        <v>-4</v>
      </c>
      <c r="P157" s="169"/>
      <c r="Q157" s="43"/>
      <c r="R157" s="81">
        <f t="shared" si="713"/>
        <v>-10</v>
      </c>
      <c r="S157" s="42"/>
      <c r="T157" s="43"/>
      <c r="U157" s="43"/>
      <c r="V157" s="43"/>
      <c r="W157" s="81">
        <f t="shared" si="714"/>
        <v>0</v>
      </c>
      <c r="X157" s="42"/>
      <c r="Y157" s="43"/>
      <c r="Z157" s="43"/>
      <c r="AA157" s="43"/>
      <c r="AB157" s="81">
        <f t="shared" si="715"/>
        <v>0</v>
      </c>
      <c r="AC157" s="42"/>
      <c r="AD157" s="43"/>
      <c r="AE157" s="43"/>
      <c r="AF157" s="43"/>
      <c r="AG157" s="81">
        <f t="shared" si="716"/>
        <v>0</v>
      </c>
      <c r="AH157" s="42"/>
      <c r="AI157" s="43"/>
      <c r="AJ157" s="43"/>
      <c r="AK157" s="43"/>
      <c r="AL157" s="81">
        <f t="shared" si="717"/>
        <v>0</v>
      </c>
    </row>
    <row r="158" spans="1:38" hidden="1" outlineLevel="1" x14ac:dyDescent="0.3">
      <c r="B158" s="211" t="s">
        <v>195</v>
      </c>
      <c r="C158" s="212"/>
      <c r="D158" s="42">
        <v>0</v>
      </c>
      <c r="E158" s="43">
        <v>0</v>
      </c>
      <c r="F158" s="43">
        <v>0</v>
      </c>
      <c r="G158" s="43">
        <v>-4</v>
      </c>
      <c r="H158" s="81">
        <f t="shared" si="711"/>
        <v>-4</v>
      </c>
      <c r="I158" s="42">
        <v>0</v>
      </c>
      <c r="J158" s="1">
        <v>0</v>
      </c>
      <c r="K158" s="1">
        <v>0</v>
      </c>
      <c r="L158" s="1">
        <v>0</v>
      </c>
      <c r="M158" s="81">
        <f t="shared" si="712"/>
        <v>0</v>
      </c>
      <c r="N158" s="20">
        <v>0</v>
      </c>
      <c r="O158" s="1">
        <v>0</v>
      </c>
      <c r="P158" s="169"/>
      <c r="Q158" s="43"/>
      <c r="R158" s="81">
        <f t="shared" si="713"/>
        <v>0</v>
      </c>
      <c r="S158" s="42"/>
      <c r="T158" s="43"/>
      <c r="U158" s="43"/>
      <c r="V158" s="43"/>
      <c r="W158" s="81">
        <f t="shared" si="714"/>
        <v>0</v>
      </c>
      <c r="X158" s="42"/>
      <c r="Y158" s="43"/>
      <c r="Z158" s="43"/>
      <c r="AA158" s="43"/>
      <c r="AB158" s="81">
        <f t="shared" si="715"/>
        <v>0</v>
      </c>
      <c r="AC158" s="42"/>
      <c r="AD158" s="43"/>
      <c r="AE158" s="43"/>
      <c r="AF158" s="43"/>
      <c r="AG158" s="81">
        <f t="shared" si="716"/>
        <v>0</v>
      </c>
      <c r="AH158" s="42"/>
      <c r="AI158" s="43"/>
      <c r="AJ158" s="43"/>
      <c r="AK158" s="43"/>
      <c r="AL158" s="81">
        <f t="shared" si="717"/>
        <v>0</v>
      </c>
    </row>
    <row r="159" spans="1:38" hidden="1" outlineLevel="1" x14ac:dyDescent="0.3">
      <c r="B159" s="211" t="s">
        <v>171</v>
      </c>
      <c r="C159" s="212"/>
      <c r="D159" s="42">
        <v>-2</v>
      </c>
      <c r="E159" s="43">
        <v>0</v>
      </c>
      <c r="F159" s="43">
        <v>0</v>
      </c>
      <c r="G159" s="43">
        <f>-4</f>
        <v>-4</v>
      </c>
      <c r="H159" s="81">
        <f t="shared" si="711"/>
        <v>-6</v>
      </c>
      <c r="I159" s="42">
        <v>0</v>
      </c>
      <c r="J159" s="1">
        <v>0</v>
      </c>
      <c r="K159" s="1">
        <v>-4</v>
      </c>
      <c r="L159" s="1">
        <v>0</v>
      </c>
      <c r="M159" s="81">
        <f t="shared" si="712"/>
        <v>-4</v>
      </c>
      <c r="N159" s="20">
        <v>-25</v>
      </c>
      <c r="O159" s="1">
        <v>0</v>
      </c>
      <c r="P159" s="169"/>
      <c r="Q159" s="43"/>
      <c r="R159" s="81">
        <f t="shared" si="713"/>
        <v>-25</v>
      </c>
      <c r="S159" s="42"/>
      <c r="T159" s="43"/>
      <c r="U159" s="43"/>
      <c r="V159" s="43"/>
      <c r="W159" s="81">
        <f t="shared" si="714"/>
        <v>0</v>
      </c>
      <c r="X159" s="42"/>
      <c r="Y159" s="43"/>
      <c r="Z159" s="43"/>
      <c r="AA159" s="43"/>
      <c r="AB159" s="81">
        <f t="shared" si="715"/>
        <v>0</v>
      </c>
      <c r="AC159" s="42"/>
      <c r="AD159" s="43"/>
      <c r="AE159" s="43"/>
      <c r="AF159" s="43"/>
      <c r="AG159" s="81">
        <f t="shared" si="716"/>
        <v>0</v>
      </c>
      <c r="AH159" s="42"/>
      <c r="AI159" s="43"/>
      <c r="AJ159" s="43"/>
      <c r="AK159" s="43"/>
      <c r="AL159" s="81">
        <f t="shared" si="717"/>
        <v>0</v>
      </c>
    </row>
    <row r="160" spans="1:38" ht="7.5" hidden="1" customHeight="1" outlineLevel="1" x14ac:dyDescent="0.3">
      <c r="B160" s="295"/>
      <c r="C160" s="296"/>
      <c r="D160" s="42"/>
      <c r="E160" s="43"/>
      <c r="F160" s="43"/>
      <c r="G160" s="43"/>
      <c r="H160" s="81"/>
      <c r="I160" s="42"/>
      <c r="J160" s="1"/>
      <c r="K160" s="1"/>
      <c r="L160" s="1"/>
      <c r="M160" s="81"/>
      <c r="N160" s="20"/>
      <c r="O160" s="1"/>
      <c r="P160" s="169"/>
      <c r="Q160" s="43"/>
      <c r="R160" s="81"/>
      <c r="S160" s="42"/>
      <c r="T160" s="43"/>
      <c r="U160" s="43"/>
      <c r="V160" s="43"/>
      <c r="W160" s="81"/>
      <c r="X160" s="42"/>
      <c r="Y160" s="43"/>
      <c r="Z160" s="43"/>
      <c r="AA160" s="43"/>
      <c r="AB160" s="81"/>
      <c r="AC160" s="42"/>
      <c r="AD160" s="43"/>
      <c r="AE160" s="43"/>
      <c r="AF160" s="43"/>
      <c r="AG160" s="81"/>
      <c r="AH160" s="42"/>
      <c r="AI160" s="43"/>
      <c r="AJ160" s="43"/>
      <c r="AK160" s="43"/>
      <c r="AL160" s="81"/>
    </row>
    <row r="161" spans="2:38" hidden="1" outlineLevel="1" x14ac:dyDescent="0.3">
      <c r="B161" s="280" t="s">
        <v>26</v>
      </c>
      <c r="C161" s="281"/>
      <c r="D161" s="42"/>
      <c r="E161" s="43"/>
      <c r="F161" s="43"/>
      <c r="G161" s="43"/>
      <c r="H161" s="81"/>
      <c r="I161" s="42"/>
      <c r="J161" s="1"/>
      <c r="K161" s="1"/>
      <c r="L161" s="1"/>
      <c r="M161" s="81"/>
      <c r="N161" s="20"/>
      <c r="O161" s="1"/>
      <c r="P161" s="169"/>
      <c r="Q161" s="43"/>
      <c r="R161" s="81"/>
      <c r="S161" s="42"/>
      <c r="T161" s="43"/>
      <c r="U161" s="43"/>
      <c r="V161" s="43"/>
      <c r="W161" s="81"/>
      <c r="X161" s="42"/>
      <c r="Y161" s="43"/>
      <c r="Z161" s="43"/>
      <c r="AA161" s="43"/>
      <c r="AB161" s="81"/>
      <c r="AC161" s="42"/>
      <c r="AD161" s="43"/>
      <c r="AE161" s="43"/>
      <c r="AF161" s="43"/>
      <c r="AG161" s="81"/>
      <c r="AH161" s="42"/>
      <c r="AI161" s="43"/>
      <c r="AJ161" s="43"/>
      <c r="AK161" s="43"/>
      <c r="AL161" s="81"/>
    </row>
    <row r="162" spans="2:38" hidden="1" outlineLevel="1" x14ac:dyDescent="0.3">
      <c r="B162" s="282" t="s">
        <v>5</v>
      </c>
      <c r="C162" s="283"/>
      <c r="D162" s="42">
        <v>-40</v>
      </c>
      <c r="E162" s="43">
        <f>-115-D162</f>
        <v>-75</v>
      </c>
      <c r="F162" s="43">
        <f>-124-D162-E162</f>
        <v>-9</v>
      </c>
      <c r="G162" s="43">
        <f>-81-D162-E162-F162</f>
        <v>43</v>
      </c>
      <c r="H162" s="81">
        <f t="shared" si="711"/>
        <v>-81</v>
      </c>
      <c r="I162" s="43">
        <v>17</v>
      </c>
      <c r="J162" s="43">
        <f>-75-I162</f>
        <v>-92</v>
      </c>
      <c r="K162" s="43">
        <f>-96-J162-I162</f>
        <v>-21</v>
      </c>
      <c r="L162" s="43">
        <f>-49-K162-J162-I162</f>
        <v>47</v>
      </c>
      <c r="M162" s="81">
        <f t="shared" si="712"/>
        <v>-49</v>
      </c>
      <c r="N162" s="43">
        <v>39</v>
      </c>
      <c r="O162" s="43">
        <f>-50-N162</f>
        <v>-89</v>
      </c>
      <c r="P162" s="169">
        <f>-(P107-O107)</f>
        <v>-22</v>
      </c>
      <c r="Q162" s="43">
        <f>-(Q107-P107)</f>
        <v>-195.89473684210452</v>
      </c>
      <c r="R162" s="81">
        <f t="shared" ref="R162:R166" si="718">SUM(N162:Q162)</f>
        <v>-267.89473684210452</v>
      </c>
      <c r="S162" s="43">
        <f>-(S107-R107)</f>
        <v>473.78947368420995</v>
      </c>
      <c r="T162" s="43">
        <f>-(T107-S107)</f>
        <v>-455.52860411899337</v>
      </c>
      <c r="U162" s="43">
        <f>-(U107-T107)</f>
        <v>298.3203661327243</v>
      </c>
      <c r="V162" s="43">
        <f>-(V107-U107)</f>
        <v>-123.65276239512241</v>
      </c>
      <c r="W162" s="81">
        <f t="shared" ref="W162:W164" si="719">SUM(S162:V162)</f>
        <v>192.92847330281847</v>
      </c>
      <c r="X162" s="43">
        <f>-(X107-W107)</f>
        <v>293.36443356769041</v>
      </c>
      <c r="Y162" s="43">
        <f>-(Y107-X107)</f>
        <v>-331.08131943647459</v>
      </c>
      <c r="Z162" s="43">
        <f>-(Z107-Y107)</f>
        <v>201.28719124814552</v>
      </c>
      <c r="AA162" s="43">
        <f>-(AA107-Z107)</f>
        <v>-262.01109879435535</v>
      </c>
      <c r="AB162" s="81">
        <f t="shared" ref="AB162:AB164" si="720">SUM(X162:AA162)</f>
        <v>-98.440793414994005</v>
      </c>
      <c r="AC162" s="43">
        <f>-(AC107-AB107)</f>
        <v>339.59403897808488</v>
      </c>
      <c r="AD162" s="43">
        <f>-(AD107-AC107)</f>
        <v>-301.78373444320368</v>
      </c>
      <c r="AE162" s="43">
        <f>-(AE107-AD107)</f>
        <v>245.7706214592381</v>
      </c>
      <c r="AF162" s="43">
        <f>-(AF107-AE107)</f>
        <v>-260.72264184483947</v>
      </c>
      <c r="AG162" s="81">
        <f t="shared" ref="AG162:AG164" si="721">SUM(AC162:AF162)</f>
        <v>22.858284149279825</v>
      </c>
      <c r="AH162" s="43">
        <f>-(AH107-AG107)</f>
        <v>338.73375634140166</v>
      </c>
      <c r="AI162" s="43">
        <f>-(AI107-AH107)</f>
        <v>-371.6909485781789</v>
      </c>
      <c r="AJ162" s="43">
        <f>-(AJ107-AI107)</f>
        <v>313.08171444234677</v>
      </c>
      <c r="AK162" s="43">
        <f>-(AK107-AJ107)</f>
        <v>-333.83651750410036</v>
      </c>
      <c r="AL162" s="81">
        <f t="shared" ref="AL162:AL164" si="722">SUM(AH162:AK162)</f>
        <v>-53.711995298530837</v>
      </c>
    </row>
    <row r="163" spans="2:38" hidden="1" outlineLevel="1" x14ac:dyDescent="0.3">
      <c r="B163" s="211" t="s">
        <v>75</v>
      </c>
      <c r="C163" s="212"/>
      <c r="D163" s="42">
        <v>89</v>
      </c>
      <c r="E163" s="43">
        <f>130-D163</f>
        <v>41</v>
      </c>
      <c r="F163" s="43">
        <f>28-E163-D163</f>
        <v>-102</v>
      </c>
      <c r="G163" s="43">
        <f>51-D163-E163-F163</f>
        <v>23</v>
      </c>
      <c r="H163" s="81">
        <f t="shared" si="711"/>
        <v>51</v>
      </c>
      <c r="I163" s="43">
        <v>2</v>
      </c>
      <c r="J163" s="43">
        <f>61-I163</f>
        <v>59</v>
      </c>
      <c r="K163" s="43">
        <f>-39-J163-I163</f>
        <v>-100</v>
      </c>
      <c r="L163" s="43">
        <f>-17-K163-J163-I163</f>
        <v>22</v>
      </c>
      <c r="M163" s="81">
        <f t="shared" si="712"/>
        <v>-17</v>
      </c>
      <c r="N163" s="43">
        <v>-54</v>
      </c>
      <c r="O163" s="43">
        <f>67-N163</f>
        <v>121</v>
      </c>
      <c r="P163" s="169">
        <f>P118-O118</f>
        <v>-133</v>
      </c>
      <c r="Q163" s="43">
        <f>Q118-P118</f>
        <v>271.77215189873391</v>
      </c>
      <c r="R163" s="81">
        <f t="shared" si="718"/>
        <v>205.77215189873391</v>
      </c>
      <c r="S163" s="43">
        <f>S118-R118</f>
        <v>-280.54430379746805</v>
      </c>
      <c r="T163" s="43">
        <f>T118-S118</f>
        <v>248.36622160568743</v>
      </c>
      <c r="U163" s="43">
        <f>U118-T118</f>
        <v>-257.33628756205496</v>
      </c>
      <c r="V163" s="43">
        <f>V118-U118</f>
        <v>281.92073822538509</v>
      </c>
      <c r="W163" s="81">
        <f t="shared" si="719"/>
        <v>-7.5936315284504872</v>
      </c>
      <c r="X163" s="43">
        <f>X118-W118</f>
        <v>-327.17272020070868</v>
      </c>
      <c r="Y163" s="43">
        <f>Y118-X118</f>
        <v>297.67703319662462</v>
      </c>
      <c r="Z163" s="43">
        <f>Z118-Y118</f>
        <v>-269.72677156779741</v>
      </c>
      <c r="AA163" s="43">
        <f>AA118-Z118</f>
        <v>305.78863018174729</v>
      </c>
      <c r="AB163" s="81">
        <f t="shared" si="720"/>
        <v>6.5661716098658189</v>
      </c>
      <c r="AC163" s="43">
        <f>AC118-AB118</f>
        <v>-318.72131504035349</v>
      </c>
      <c r="AD163" s="43">
        <f>AD118-AC118</f>
        <v>282.75948592563714</v>
      </c>
      <c r="AE163" s="43">
        <f>AE118-AD118</f>
        <v>-223.35198978812309</v>
      </c>
      <c r="AF163" s="43">
        <f>AF118-AE118</f>
        <v>254.43952655077453</v>
      </c>
      <c r="AG163" s="81">
        <f t="shared" si="721"/>
        <v>-4.8742923520649128</v>
      </c>
      <c r="AH163" s="43">
        <f>AH118-AG118</f>
        <v>-315.88559859466045</v>
      </c>
      <c r="AI163" s="43">
        <f>AI118-AH118</f>
        <v>299.34134014148879</v>
      </c>
      <c r="AJ163" s="43">
        <f>AJ118-AI118</f>
        <v>-238.19786214265127</v>
      </c>
      <c r="AK163" s="43">
        <f>AK118-AJ118</f>
        <v>166.70327963283489</v>
      </c>
      <c r="AL163" s="81">
        <f t="shared" si="722"/>
        <v>-88.038840962988047</v>
      </c>
    </row>
    <row r="164" spans="2:38" hidden="1" outlineLevel="1" x14ac:dyDescent="0.3">
      <c r="B164" s="282" t="s">
        <v>172</v>
      </c>
      <c r="C164" s="283"/>
      <c r="D164" s="42">
        <v>3</v>
      </c>
      <c r="E164" s="43">
        <f>4-D164</f>
        <v>1</v>
      </c>
      <c r="F164" s="43">
        <f>-7-D164-E164</f>
        <v>-11</v>
      </c>
      <c r="G164" s="43">
        <f>33-D164-E164-F164</f>
        <v>40</v>
      </c>
      <c r="H164" s="81">
        <f t="shared" si="711"/>
        <v>33</v>
      </c>
      <c r="I164" s="43">
        <v>-10</v>
      </c>
      <c r="J164" s="43">
        <f>-16-I164</f>
        <v>-6</v>
      </c>
      <c r="K164" s="43">
        <f>-12-J164-I164</f>
        <v>4</v>
      </c>
      <c r="L164" s="43">
        <f>0-K164-J164-I164</f>
        <v>12</v>
      </c>
      <c r="M164" s="81">
        <f t="shared" si="712"/>
        <v>0</v>
      </c>
      <c r="N164" s="43">
        <v>-14</v>
      </c>
      <c r="O164" s="43">
        <f>-13-N164</f>
        <v>1</v>
      </c>
      <c r="P164" s="169"/>
      <c r="Q164" s="43"/>
      <c r="R164" s="81">
        <f t="shared" si="718"/>
        <v>-13</v>
      </c>
      <c r="S164" s="43"/>
      <c r="T164" s="43"/>
      <c r="U164" s="43"/>
      <c r="V164" s="43"/>
      <c r="W164" s="81">
        <f t="shared" si="719"/>
        <v>0</v>
      </c>
      <c r="X164" s="43"/>
      <c r="Y164" s="43"/>
      <c r="Z164" s="43"/>
      <c r="AA164" s="43"/>
      <c r="AB164" s="81">
        <f t="shared" si="720"/>
        <v>0</v>
      </c>
      <c r="AC164" s="43"/>
      <c r="AD164" s="43"/>
      <c r="AE164" s="43"/>
      <c r="AF164" s="43"/>
      <c r="AG164" s="81">
        <f t="shared" si="721"/>
        <v>0</v>
      </c>
      <c r="AH164" s="43"/>
      <c r="AI164" s="43"/>
      <c r="AJ164" s="43"/>
      <c r="AK164" s="43"/>
      <c r="AL164" s="81">
        <f t="shared" si="722"/>
        <v>0</v>
      </c>
    </row>
    <row r="165" spans="2:38" hidden="1" outlineLevel="1" x14ac:dyDescent="0.3">
      <c r="B165" s="211" t="s">
        <v>196</v>
      </c>
      <c r="C165" s="212"/>
      <c r="D165" s="42">
        <v>0</v>
      </c>
      <c r="E165" s="43">
        <v>0</v>
      </c>
      <c r="F165" s="43">
        <v>0</v>
      </c>
      <c r="G165" s="43">
        <v>0</v>
      </c>
      <c r="H165" s="81">
        <f t="shared" si="711"/>
        <v>0</v>
      </c>
      <c r="I165" s="43">
        <v>0</v>
      </c>
      <c r="J165" s="43">
        <v>0</v>
      </c>
      <c r="K165" s="43">
        <v>0</v>
      </c>
      <c r="L165" s="43">
        <v>100</v>
      </c>
      <c r="M165" s="81">
        <f t="shared" si="712"/>
        <v>100</v>
      </c>
      <c r="N165" s="43">
        <v>0</v>
      </c>
      <c r="O165" s="43">
        <v>0</v>
      </c>
      <c r="P165" s="169"/>
      <c r="Q165" s="43"/>
      <c r="R165" s="81">
        <f t="shared" ref="R165" si="723">SUM(N165:Q165)</f>
        <v>0</v>
      </c>
      <c r="S165" s="43"/>
      <c r="T165" s="43"/>
      <c r="U165" s="43"/>
      <c r="V165" s="43"/>
      <c r="W165" s="81">
        <f t="shared" ref="W165" si="724">SUM(S165:V165)</f>
        <v>0</v>
      </c>
      <c r="X165" s="43"/>
      <c r="Y165" s="43"/>
      <c r="Z165" s="43"/>
      <c r="AA165" s="43"/>
      <c r="AB165" s="81">
        <f t="shared" ref="AB165" si="725">SUM(X165:AA165)</f>
        <v>0</v>
      </c>
      <c r="AC165" s="43"/>
      <c r="AD165" s="43"/>
      <c r="AE165" s="43"/>
      <c r="AF165" s="43"/>
      <c r="AG165" s="81">
        <f t="shared" ref="AG165" si="726">SUM(AC165:AF165)</f>
        <v>0</v>
      </c>
      <c r="AH165" s="43"/>
      <c r="AI165" s="43"/>
      <c r="AJ165" s="43"/>
      <c r="AK165" s="43"/>
      <c r="AL165" s="81">
        <f t="shared" ref="AL165" si="727">SUM(AH165:AK165)</f>
        <v>0</v>
      </c>
    </row>
    <row r="166" spans="2:38" ht="16.2" hidden="1" outlineLevel="1" x14ac:dyDescent="0.45">
      <c r="B166" s="282" t="s">
        <v>18</v>
      </c>
      <c r="C166" s="283"/>
      <c r="D166" s="323">
        <v>24</v>
      </c>
      <c r="E166" s="324">
        <f>13-D166</f>
        <v>-11</v>
      </c>
      <c r="F166" s="324">
        <f>54-D166-E166</f>
        <v>41</v>
      </c>
      <c r="G166" s="324">
        <f>24-D166-E166-F166</f>
        <v>-30</v>
      </c>
      <c r="H166" s="94">
        <f t="shared" si="711"/>
        <v>24</v>
      </c>
      <c r="I166" s="324">
        <v>-7</v>
      </c>
      <c r="J166" s="324">
        <f>3-I166</f>
        <v>10</v>
      </c>
      <c r="K166" s="324">
        <f>89-J166-I166</f>
        <v>86</v>
      </c>
      <c r="L166" s="324">
        <f>40-K166-J166-I166</f>
        <v>-49</v>
      </c>
      <c r="M166" s="94">
        <f t="shared" si="712"/>
        <v>40</v>
      </c>
      <c r="N166" s="324">
        <v>37</v>
      </c>
      <c r="O166" s="324">
        <f>-7-N166</f>
        <v>-44</v>
      </c>
      <c r="P166" s="325">
        <v>63.172000000000018</v>
      </c>
      <c r="Q166" s="324">
        <f>-(Q108-P108)-(Q123-P123)</f>
        <v>0</v>
      </c>
      <c r="R166" s="94">
        <f t="shared" si="718"/>
        <v>56.172000000000018</v>
      </c>
      <c r="S166" s="324">
        <f>-(S108-R108)-(S123-R123)</f>
        <v>0</v>
      </c>
      <c r="T166" s="324">
        <f>-(T108-S108)-(T123-S123)</f>
        <v>0</v>
      </c>
      <c r="U166" s="324">
        <f>-(U108-T108)-(U123-T123)</f>
        <v>0</v>
      </c>
      <c r="V166" s="324">
        <f>-(V108-U108)-(V123-U123)</f>
        <v>0</v>
      </c>
      <c r="W166" s="94">
        <f t="shared" ref="W166" si="728">SUM(S166:V166)</f>
        <v>0</v>
      </c>
      <c r="X166" s="324">
        <f>-(X108-W108)-(X123-W123)</f>
        <v>0</v>
      </c>
      <c r="Y166" s="324">
        <f>-(Y108-X108)-(Y123-X123)</f>
        <v>0</v>
      </c>
      <c r="Z166" s="324">
        <f>-(Z108-Y108)-(Z123-Y123)</f>
        <v>0</v>
      </c>
      <c r="AA166" s="324">
        <f>-(AA108-Z108)-(AA123-Z123)</f>
        <v>0</v>
      </c>
      <c r="AB166" s="94">
        <f t="shared" ref="AB166" si="729">SUM(X166:AA166)</f>
        <v>0</v>
      </c>
      <c r="AC166" s="324">
        <f>-(AC108-AB108)-(AC123-AB123)</f>
        <v>0</v>
      </c>
      <c r="AD166" s="324">
        <f>-(AD108-AC108)-(AD123-AC123)</f>
        <v>0</v>
      </c>
      <c r="AE166" s="324">
        <f>-(AE108-AD108)-(AE123-AD123)</f>
        <v>0</v>
      </c>
      <c r="AF166" s="324">
        <f>-(AF108-AE108)-(AF123-AE123)</f>
        <v>0</v>
      </c>
      <c r="AG166" s="94">
        <f t="shared" ref="AG166" si="730">SUM(AC166:AF166)</f>
        <v>0</v>
      </c>
      <c r="AH166" s="324">
        <f>-(AH108-AG108)-(AH123-AG123)</f>
        <v>0</v>
      </c>
      <c r="AI166" s="324">
        <f>-(AI108-AH108)-(AI123-AH123)</f>
        <v>0</v>
      </c>
      <c r="AJ166" s="324">
        <f>-(AJ108-AI108)-(AJ123-AI123)</f>
        <v>0</v>
      </c>
      <c r="AK166" s="324">
        <f>-(AK108-AJ108)-(AK123-AJ123)</f>
        <v>0</v>
      </c>
      <c r="AL166" s="94">
        <f t="shared" ref="AL166" si="731">SUM(AH166:AK166)</f>
        <v>0</v>
      </c>
    </row>
    <row r="167" spans="2:38" s="67" customFormat="1" hidden="1" outlineLevel="1" x14ac:dyDescent="0.3">
      <c r="B167" s="276" t="s">
        <v>19</v>
      </c>
      <c r="C167" s="277"/>
      <c r="D167" s="77">
        <f t="shared" ref="D167:T167" si="732">SUM(D152:D166)</f>
        <v>272</v>
      </c>
      <c r="E167" s="76">
        <f t="shared" si="732"/>
        <v>90</v>
      </c>
      <c r="F167" s="76">
        <f t="shared" si="732"/>
        <v>77</v>
      </c>
      <c r="G167" s="76">
        <f t="shared" si="732"/>
        <v>273</v>
      </c>
      <c r="H167" s="99">
        <f t="shared" si="732"/>
        <v>712</v>
      </c>
      <c r="I167" s="76">
        <f t="shared" si="732"/>
        <v>213</v>
      </c>
      <c r="J167" s="76">
        <f t="shared" si="732"/>
        <v>121</v>
      </c>
      <c r="K167" s="76">
        <f t="shared" si="732"/>
        <v>80</v>
      </c>
      <c r="L167" s="76">
        <f t="shared" si="732"/>
        <v>331</v>
      </c>
      <c r="M167" s="99">
        <f t="shared" si="732"/>
        <v>745</v>
      </c>
      <c r="N167" s="76">
        <f t="shared" si="732"/>
        <v>212</v>
      </c>
      <c r="O167" s="76">
        <f t="shared" si="732"/>
        <v>157</v>
      </c>
      <c r="P167" s="326">
        <f t="shared" si="732"/>
        <v>103.12000000000003</v>
      </c>
      <c r="Q167" s="76">
        <f t="shared" si="732"/>
        <v>290.55591044124481</v>
      </c>
      <c r="R167" s="99">
        <f>SUM(R152:R166)</f>
        <v>762.67591044124481</v>
      </c>
      <c r="S167" s="76">
        <f>SUM(S152:S166)</f>
        <v>435.88943548129396</v>
      </c>
      <c r="T167" s="76">
        <f t="shared" si="732"/>
        <v>-29.452575499087914</v>
      </c>
      <c r="U167" s="76">
        <f t="shared" ref="U167:V167" si="733">SUM(U152:U166)</f>
        <v>244.03503009545125</v>
      </c>
      <c r="V167" s="76">
        <f t="shared" si="733"/>
        <v>364.74215981700223</v>
      </c>
      <c r="W167" s="99">
        <f>SUM(W152:W166)</f>
        <v>1015.2140498946596</v>
      </c>
      <c r="X167" s="76">
        <f>SUM(X152:X166)</f>
        <v>171.21031719489918</v>
      </c>
      <c r="Y167" s="76">
        <f t="shared" ref="Y167:AA167" si="734">SUM(Y152:Y166)</f>
        <v>169.25536759718793</v>
      </c>
      <c r="Z167" s="76">
        <f t="shared" si="734"/>
        <v>138.73798634682691</v>
      </c>
      <c r="AA167" s="76">
        <f t="shared" si="734"/>
        <v>259.12700607959181</v>
      </c>
      <c r="AB167" s="99">
        <f>SUM(AB152:AB166)</f>
        <v>738.3306772185058</v>
      </c>
      <c r="AC167" s="76">
        <f>SUM(AC152:AC166)</f>
        <v>234.11150858307315</v>
      </c>
      <c r="AD167" s="76">
        <f t="shared" ref="AD167:AF167" si="735">SUM(AD152:AD166)</f>
        <v>191.32368882472147</v>
      </c>
      <c r="AE167" s="76">
        <f t="shared" si="735"/>
        <v>237.18771296828447</v>
      </c>
      <c r="AF167" s="76">
        <f t="shared" si="735"/>
        <v>215.51969191564075</v>
      </c>
      <c r="AG167" s="99">
        <f>SUM(AG152:AG166)</f>
        <v>878.14260229171987</v>
      </c>
      <c r="AH167" s="76">
        <f>SUM(AH152:AH166)</f>
        <v>242.14915990776785</v>
      </c>
      <c r="AI167" s="76">
        <f t="shared" ref="AI167:AK167" si="736">SUM(AI152:AI166)</f>
        <v>143.57153483966405</v>
      </c>
      <c r="AJ167" s="76">
        <f t="shared" si="736"/>
        <v>295.19523910545286</v>
      </c>
      <c r="AK167" s="76">
        <f t="shared" si="736"/>
        <v>61.876014728245849</v>
      </c>
      <c r="AL167" s="99">
        <f>SUM(AL152:AL166)</f>
        <v>742.79194858113055</v>
      </c>
    </row>
    <row r="168" spans="2:38" s="67" customFormat="1" ht="12.75" hidden="1" customHeight="1" outlineLevel="1" x14ac:dyDescent="0.3">
      <c r="B168" s="295"/>
      <c r="C168" s="296"/>
      <c r="D168" s="42"/>
      <c r="E168" s="43"/>
      <c r="F168" s="43"/>
      <c r="G168" s="43"/>
      <c r="H168" s="81"/>
      <c r="I168" s="43"/>
      <c r="J168" s="43"/>
      <c r="K168" s="43"/>
      <c r="L168" s="43"/>
      <c r="M168" s="81"/>
      <c r="N168" s="43"/>
      <c r="O168" s="43"/>
      <c r="P168" s="169"/>
      <c r="Q168" s="43"/>
      <c r="R168" s="81"/>
      <c r="S168" s="43"/>
      <c r="T168" s="43"/>
      <c r="U168" s="43"/>
      <c r="V168" s="43"/>
      <c r="W168" s="81"/>
      <c r="X168" s="43"/>
      <c r="Y168" s="43"/>
      <c r="Z168" s="43"/>
      <c r="AA168" s="43"/>
      <c r="AB168" s="81"/>
      <c r="AC168" s="43"/>
      <c r="AD168" s="43"/>
      <c r="AE168" s="43"/>
      <c r="AF168" s="43"/>
      <c r="AG168" s="81"/>
      <c r="AH168" s="43"/>
      <c r="AI168" s="43"/>
      <c r="AJ168" s="43"/>
      <c r="AK168" s="43"/>
      <c r="AL168" s="81"/>
    </row>
    <row r="169" spans="2:38" hidden="1" outlineLevel="1" x14ac:dyDescent="0.3">
      <c r="B169" s="280" t="s">
        <v>173</v>
      </c>
      <c r="C169" s="281"/>
      <c r="D169" s="42"/>
      <c r="E169" s="43"/>
      <c r="F169" s="43"/>
      <c r="G169" s="43"/>
      <c r="H169" s="81"/>
      <c r="I169" s="43"/>
      <c r="J169" s="43"/>
      <c r="K169" s="43"/>
      <c r="L169" s="43"/>
      <c r="M169" s="81"/>
      <c r="N169" s="43"/>
      <c r="O169" s="43"/>
      <c r="P169" s="169"/>
      <c r="Q169" s="43"/>
      <c r="R169" s="81"/>
      <c r="S169" s="43"/>
      <c r="T169" s="43"/>
      <c r="U169" s="43"/>
      <c r="V169" s="43"/>
      <c r="W169" s="81"/>
      <c r="X169" s="43"/>
      <c r="Y169" s="43"/>
      <c r="Z169" s="43"/>
      <c r="AA169" s="43"/>
      <c r="AB169" s="81"/>
      <c r="AC169" s="43"/>
      <c r="AD169" s="43"/>
      <c r="AE169" s="43"/>
      <c r="AF169" s="43"/>
      <c r="AG169" s="81"/>
      <c r="AH169" s="43"/>
      <c r="AI169" s="43"/>
      <c r="AJ169" s="43"/>
      <c r="AK169" s="43"/>
      <c r="AL169" s="81"/>
    </row>
    <row r="170" spans="2:38" hidden="1" outlineLevel="1" x14ac:dyDescent="0.3">
      <c r="B170" s="211" t="s">
        <v>174</v>
      </c>
      <c r="C170" s="217"/>
      <c r="D170" s="42">
        <v>-42</v>
      </c>
      <c r="E170" s="43">
        <v>-42</v>
      </c>
      <c r="F170" s="43">
        <v>-45</v>
      </c>
      <c r="G170" s="43">
        <v>-56</v>
      </c>
      <c r="H170" s="81">
        <f t="shared" ref="H170:H171" si="737">SUM(D170:G170)</f>
        <v>-185</v>
      </c>
      <c r="I170" s="43">
        <v>-60</v>
      </c>
      <c r="J170" s="43">
        <v>-56</v>
      </c>
      <c r="K170" s="43">
        <v>-58</v>
      </c>
      <c r="L170" s="43">
        <f>-228-K170-J170-I170</f>
        <v>-54</v>
      </c>
      <c r="M170" s="81">
        <f t="shared" ref="M170:M171" si="738">SUM(I170:L170)</f>
        <v>-228</v>
      </c>
      <c r="N170" s="43">
        <v>-65</v>
      </c>
      <c r="O170" s="43">
        <f>-131-N170</f>
        <v>-66</v>
      </c>
      <c r="P170" s="169">
        <f>O170*(1+P199)</f>
        <v>-69.3</v>
      </c>
      <c r="Q170" s="43">
        <f>P170*(1+Q199)</f>
        <v>-72.765000000000001</v>
      </c>
      <c r="R170" s="81">
        <f>SUM(N170:Q170)</f>
        <v>-273.065</v>
      </c>
      <c r="S170" s="43">
        <f>Q170*(1+S199)</f>
        <v>-74.947950000000006</v>
      </c>
      <c r="T170" s="43">
        <f>S170*(1+T199)</f>
        <v>-71.200552500000001</v>
      </c>
      <c r="U170" s="43">
        <f>T170*(1+U199)</f>
        <v>-74.048574600000009</v>
      </c>
      <c r="V170" s="43">
        <f>U170*(1+V199)</f>
        <v>-70.346145870000001</v>
      </c>
      <c r="W170" s="81">
        <f>SUM(S170:V170)</f>
        <v>-290.54322296999999</v>
      </c>
      <c r="X170" s="43">
        <f>V170*(1+X199)</f>
        <v>-70.346145870000001</v>
      </c>
      <c r="Y170" s="43">
        <f>X170*(1+Y199)</f>
        <v>-70.346145870000001</v>
      </c>
      <c r="Z170" s="43">
        <f>Y170*(1+Z199)</f>
        <v>-70.346145870000001</v>
      </c>
      <c r="AA170" s="43">
        <f>Z170*(1+AA199)</f>
        <v>-70.346145870000001</v>
      </c>
      <c r="AB170" s="81">
        <f>SUM(X170:AA170)</f>
        <v>-281.38458348</v>
      </c>
      <c r="AC170" s="43">
        <f>AA170*(1+AC199)</f>
        <v>-70.346145870000001</v>
      </c>
      <c r="AD170" s="43">
        <f>AC170*(1+AD199)</f>
        <v>-70.346145870000001</v>
      </c>
      <c r="AE170" s="43">
        <f>AD170*(1+AE199)</f>
        <v>-70.346145870000001</v>
      </c>
      <c r="AF170" s="43">
        <f>AE170*(1+AF199)</f>
        <v>-70.346145870000001</v>
      </c>
      <c r="AG170" s="81">
        <f>SUM(AC170:AF170)</f>
        <v>-281.38458348</v>
      </c>
      <c r="AH170" s="43">
        <f>AF170*(1+AH199)</f>
        <v>-70.346145870000001</v>
      </c>
      <c r="AI170" s="43">
        <f>AH170*(1+AI199)</f>
        <v>-70.346145870000001</v>
      </c>
      <c r="AJ170" s="43">
        <f>AI170*(1+AJ199)</f>
        <v>-70.346145870000001</v>
      </c>
      <c r="AK170" s="43">
        <f>AJ170*(1+AK199)</f>
        <v>-70.346145870000001</v>
      </c>
      <c r="AL170" s="81">
        <f>SUM(AH170:AK170)</f>
        <v>-281.38458348</v>
      </c>
    </row>
    <row r="171" spans="2:38" ht="16.2" hidden="1" outlineLevel="1" x14ac:dyDescent="0.45">
      <c r="B171" s="282" t="s">
        <v>197</v>
      </c>
      <c r="C171" s="283"/>
      <c r="D171" s="323">
        <v>0</v>
      </c>
      <c r="E171" s="324">
        <v>0</v>
      </c>
      <c r="F171" s="324">
        <v>0</v>
      </c>
      <c r="G171" s="324">
        <v>9</v>
      </c>
      <c r="H171" s="94">
        <f t="shared" si="737"/>
        <v>9</v>
      </c>
      <c r="I171" s="324">
        <v>0</v>
      </c>
      <c r="J171" s="324">
        <v>0</v>
      </c>
      <c r="K171" s="324">
        <v>0</v>
      </c>
      <c r="L171" s="324">
        <v>-2</v>
      </c>
      <c r="M171" s="94">
        <f t="shared" si="738"/>
        <v>-2</v>
      </c>
      <c r="N171" s="324">
        <v>0</v>
      </c>
      <c r="O171" s="324">
        <v>0</v>
      </c>
      <c r="P171" s="325">
        <v>0</v>
      </c>
      <c r="Q171" s="324">
        <v>0</v>
      </c>
      <c r="R171" s="94">
        <f t="shared" ref="R171" si="739">SUM(N171:Q171)</f>
        <v>0</v>
      </c>
      <c r="S171" s="324">
        <v>0</v>
      </c>
      <c r="T171" s="324">
        <v>0</v>
      </c>
      <c r="U171" s="324">
        <v>0</v>
      </c>
      <c r="V171" s="324">
        <v>0</v>
      </c>
      <c r="W171" s="94">
        <f t="shared" ref="W171" si="740">SUM(S171:V171)</f>
        <v>0</v>
      </c>
      <c r="X171" s="324">
        <v>0</v>
      </c>
      <c r="Y171" s="324">
        <v>0</v>
      </c>
      <c r="Z171" s="324">
        <v>0</v>
      </c>
      <c r="AA171" s="324">
        <v>0</v>
      </c>
      <c r="AB171" s="94">
        <f t="shared" ref="AB171" si="741">SUM(X171:AA171)</f>
        <v>0</v>
      </c>
      <c r="AC171" s="324">
        <v>0</v>
      </c>
      <c r="AD171" s="324">
        <v>0</v>
      </c>
      <c r="AE171" s="324">
        <v>0</v>
      </c>
      <c r="AF171" s="324">
        <v>0</v>
      </c>
      <c r="AG171" s="94">
        <f t="shared" ref="AG171" si="742">SUM(AC171:AF171)</f>
        <v>0</v>
      </c>
      <c r="AH171" s="324">
        <v>0</v>
      </c>
      <c r="AI171" s="324">
        <v>0</v>
      </c>
      <c r="AJ171" s="324">
        <v>0</v>
      </c>
      <c r="AK171" s="324">
        <v>0</v>
      </c>
      <c r="AL171" s="94">
        <f t="shared" ref="AL171" si="743">SUM(AH171:AK171)</f>
        <v>0</v>
      </c>
    </row>
    <row r="172" spans="2:38" hidden="1" outlineLevel="1" x14ac:dyDescent="0.3">
      <c r="B172" s="276" t="s">
        <v>20</v>
      </c>
      <c r="C172" s="277"/>
      <c r="D172" s="77">
        <f t="shared" ref="D172:P172" si="744">SUM(D170:D171)</f>
        <v>-42</v>
      </c>
      <c r="E172" s="76">
        <f t="shared" si="744"/>
        <v>-42</v>
      </c>
      <c r="F172" s="76">
        <f t="shared" si="744"/>
        <v>-45</v>
      </c>
      <c r="G172" s="76">
        <f t="shared" si="744"/>
        <v>-47</v>
      </c>
      <c r="H172" s="99">
        <f t="shared" si="744"/>
        <v>-176</v>
      </c>
      <c r="I172" s="77">
        <f t="shared" si="744"/>
        <v>-60</v>
      </c>
      <c r="J172" s="76">
        <f t="shared" si="744"/>
        <v>-56</v>
      </c>
      <c r="K172" s="76">
        <f t="shared" si="744"/>
        <v>-58</v>
      </c>
      <c r="L172" s="76">
        <f t="shared" si="744"/>
        <v>-56</v>
      </c>
      <c r="M172" s="99">
        <f t="shared" si="744"/>
        <v>-230</v>
      </c>
      <c r="N172" s="77">
        <f t="shared" si="744"/>
        <v>-65</v>
      </c>
      <c r="O172" s="76">
        <f t="shared" si="744"/>
        <v>-66</v>
      </c>
      <c r="P172" s="326">
        <f t="shared" si="744"/>
        <v>-69.3</v>
      </c>
      <c r="Q172" s="76">
        <f>SUM(Q170:Q171)</f>
        <v>-72.765000000000001</v>
      </c>
      <c r="R172" s="99">
        <f>SUM(R170:R171)</f>
        <v>-273.065</v>
      </c>
      <c r="S172" s="77">
        <f>SUM(S170:S171)</f>
        <v>-74.947950000000006</v>
      </c>
      <c r="T172" s="76">
        <f>SUM(T170:T171)</f>
        <v>-71.200552500000001</v>
      </c>
      <c r="U172" s="76">
        <f t="shared" ref="U172" si="745">SUM(U170:U171)</f>
        <v>-74.048574600000009</v>
      </c>
      <c r="V172" s="76">
        <f>SUM(V170:V171)</f>
        <v>-70.346145870000001</v>
      </c>
      <c r="W172" s="99">
        <f>SUM(W170:W171)</f>
        <v>-290.54322296999999</v>
      </c>
      <c r="X172" s="77">
        <f>SUM(X170:X171)</f>
        <v>-70.346145870000001</v>
      </c>
      <c r="Y172" s="76">
        <f>SUM(Y170:Y171)</f>
        <v>-70.346145870000001</v>
      </c>
      <c r="Z172" s="76">
        <f t="shared" ref="Z172" si="746">SUM(Z170:Z171)</f>
        <v>-70.346145870000001</v>
      </c>
      <c r="AA172" s="76">
        <f>SUM(AA170:AA171)</f>
        <v>-70.346145870000001</v>
      </c>
      <c r="AB172" s="99">
        <f>SUM(AB170:AB171)</f>
        <v>-281.38458348</v>
      </c>
      <c r="AC172" s="77">
        <f>SUM(AC170:AC171)</f>
        <v>-70.346145870000001</v>
      </c>
      <c r="AD172" s="76">
        <f>SUM(AD170:AD171)</f>
        <v>-70.346145870000001</v>
      </c>
      <c r="AE172" s="76">
        <f t="shared" ref="AE172" si="747">SUM(AE170:AE171)</f>
        <v>-70.346145870000001</v>
      </c>
      <c r="AF172" s="76">
        <f>SUM(AF170:AF171)</f>
        <v>-70.346145870000001</v>
      </c>
      <c r="AG172" s="99">
        <f>SUM(AG170:AG171)</f>
        <v>-281.38458348</v>
      </c>
      <c r="AH172" s="77">
        <f>SUM(AH170:AH171)</f>
        <v>-70.346145870000001</v>
      </c>
      <c r="AI172" s="76">
        <f>SUM(AI170:AI171)</f>
        <v>-70.346145870000001</v>
      </c>
      <c r="AJ172" s="76">
        <f t="shared" ref="AJ172" si="748">SUM(AJ170:AJ171)</f>
        <v>-70.346145870000001</v>
      </c>
      <c r="AK172" s="76">
        <f>SUM(AK170:AK171)</f>
        <v>-70.346145870000001</v>
      </c>
      <c r="AL172" s="99">
        <f>SUM(AL170:AL171)</f>
        <v>-281.38458348</v>
      </c>
    </row>
    <row r="173" spans="2:38" ht="18" hidden="1" customHeight="1" outlineLevel="1" x14ac:dyDescent="0.3">
      <c r="B173" s="295"/>
      <c r="C173" s="296"/>
      <c r="D173" s="42"/>
      <c r="E173" s="43"/>
      <c r="F173" s="43"/>
      <c r="G173" s="43"/>
      <c r="H173" s="81"/>
      <c r="I173" s="43"/>
      <c r="J173" s="43"/>
      <c r="K173" s="43"/>
      <c r="L173" s="43"/>
      <c r="M173" s="81"/>
      <c r="N173" s="43"/>
      <c r="O173" s="43"/>
      <c r="P173" s="169"/>
      <c r="Q173" s="43"/>
      <c r="R173" s="81"/>
      <c r="S173" s="43"/>
      <c r="T173" s="43"/>
      <c r="U173" s="43"/>
      <c r="V173" s="43"/>
      <c r="W173" s="81"/>
      <c r="X173" s="43"/>
      <c r="Y173" s="43"/>
      <c r="Z173" s="43"/>
      <c r="AA173" s="43"/>
      <c r="AB173" s="81"/>
      <c r="AC173" s="43"/>
      <c r="AD173" s="43"/>
      <c r="AE173" s="43"/>
      <c r="AF173" s="43"/>
      <c r="AG173" s="81"/>
      <c r="AH173" s="43"/>
      <c r="AI173" s="43"/>
      <c r="AJ173" s="43"/>
      <c r="AK173" s="43"/>
      <c r="AL173" s="81"/>
    </row>
    <row r="174" spans="2:38" hidden="1" outlineLevel="1" x14ac:dyDescent="0.3">
      <c r="B174" s="280" t="s">
        <v>21</v>
      </c>
      <c r="C174" s="281"/>
      <c r="D174" s="42"/>
      <c r="E174" s="43"/>
      <c r="F174" s="43"/>
      <c r="G174" s="43"/>
      <c r="H174" s="81"/>
      <c r="I174" s="43"/>
      <c r="J174" s="43"/>
      <c r="K174" s="43"/>
      <c r="L174" s="43"/>
      <c r="M174" s="81"/>
      <c r="N174" s="43"/>
      <c r="O174" s="43"/>
      <c r="P174" s="169"/>
      <c r="Q174" s="43"/>
      <c r="R174" s="81"/>
      <c r="S174" s="43"/>
      <c r="T174" s="43"/>
      <c r="U174" s="43"/>
      <c r="V174" s="43"/>
      <c r="W174" s="81"/>
      <c r="X174" s="43"/>
      <c r="Y174" s="43"/>
      <c r="Z174" s="43"/>
      <c r="AA174" s="43"/>
      <c r="AB174" s="81"/>
      <c r="AC174" s="43"/>
      <c r="AD174" s="43"/>
      <c r="AE174" s="43"/>
      <c r="AF174" s="43"/>
      <c r="AG174" s="81"/>
      <c r="AH174" s="43"/>
      <c r="AI174" s="43"/>
      <c r="AJ174" s="43"/>
      <c r="AK174" s="43"/>
      <c r="AL174" s="81"/>
    </row>
    <row r="175" spans="2:38" hidden="1" outlineLevel="1" x14ac:dyDescent="0.3">
      <c r="B175" s="282" t="s">
        <v>175</v>
      </c>
      <c r="C175" s="283"/>
      <c r="D175" s="42">
        <v>-70</v>
      </c>
      <c r="E175" s="43">
        <f>-136-D175</f>
        <v>-66</v>
      </c>
      <c r="F175" s="43">
        <f>-174-D175-E175</f>
        <v>-38</v>
      </c>
      <c r="G175" s="43">
        <f>-305-D175-E175-F175</f>
        <v>-131</v>
      </c>
      <c r="H175" s="81">
        <f t="shared" ref="H175:H182" si="749">SUM(D175:G175)</f>
        <v>-305</v>
      </c>
      <c r="I175" s="43">
        <f>-129</f>
        <v>-129</v>
      </c>
      <c r="J175" s="43">
        <f>-205-I175</f>
        <v>-76</v>
      </c>
      <c r="K175" s="43">
        <f>-316-J175-I175</f>
        <v>-111</v>
      </c>
      <c r="L175" s="43">
        <f>-419-K175-J175-I175</f>
        <v>-103</v>
      </c>
      <c r="M175" s="81">
        <f t="shared" ref="M175:M182" si="750">SUM(I175:L175)</f>
        <v>-419</v>
      </c>
      <c r="N175" s="43">
        <v>-88</v>
      </c>
      <c r="O175" s="43">
        <f>-276-N175</f>
        <v>-188</v>
      </c>
      <c r="P175" s="169">
        <f>-P98</f>
        <v>-76.3</v>
      </c>
      <c r="Q175" s="43">
        <f>-Q98</f>
        <v>-50</v>
      </c>
      <c r="R175" s="81">
        <f t="shared" ref="R175:R182" si="751">SUM(N175:Q175)</f>
        <v>-402.3</v>
      </c>
      <c r="S175" s="43">
        <f>-S98</f>
        <v>-50</v>
      </c>
      <c r="T175" s="43">
        <f>-T98</f>
        <v>-50</v>
      </c>
      <c r="U175" s="43">
        <f>-U98</f>
        <v>-50</v>
      </c>
      <c r="V175" s="43">
        <f>-V98</f>
        <v>-50</v>
      </c>
      <c r="W175" s="81">
        <f t="shared" ref="W175:W182" si="752">SUM(S175:V175)</f>
        <v>-200</v>
      </c>
      <c r="X175" s="43">
        <f>-X98</f>
        <v>-50</v>
      </c>
      <c r="Y175" s="43">
        <f>-Y98</f>
        <v>-50</v>
      </c>
      <c r="Z175" s="43">
        <f>-Z98</f>
        <v>-50</v>
      </c>
      <c r="AA175" s="43">
        <f>-AA98</f>
        <v>-50</v>
      </c>
      <c r="AB175" s="81">
        <f t="shared" ref="AB175:AB182" si="753">SUM(X175:AA175)</f>
        <v>-200</v>
      </c>
      <c r="AC175" s="43">
        <f>-AC98</f>
        <v>-50</v>
      </c>
      <c r="AD175" s="43">
        <f>-AD98</f>
        <v>-50</v>
      </c>
      <c r="AE175" s="43">
        <f>-AE98</f>
        <v>-50</v>
      </c>
      <c r="AF175" s="43">
        <f>-AF98</f>
        <v>-50</v>
      </c>
      <c r="AG175" s="81">
        <f t="shared" ref="AG175:AG182" si="754">SUM(AC175:AF175)</f>
        <v>-200</v>
      </c>
      <c r="AH175" s="43">
        <f>-AH98</f>
        <v>-50</v>
      </c>
      <c r="AI175" s="43">
        <f>-AI98</f>
        <v>-50</v>
      </c>
      <c r="AJ175" s="43">
        <f>-AJ98</f>
        <v>-50</v>
      </c>
      <c r="AK175" s="43">
        <f>-AK98</f>
        <v>-50</v>
      </c>
      <c r="AL175" s="81">
        <f t="shared" ref="AL175:AL182" si="755">SUM(AH175:AK175)</f>
        <v>-200</v>
      </c>
    </row>
    <row r="176" spans="2:38" hidden="1" outlineLevel="1" x14ac:dyDescent="0.3">
      <c r="B176" s="282" t="s">
        <v>176</v>
      </c>
      <c r="C176" s="283"/>
      <c r="D176" s="42">
        <v>-32</v>
      </c>
      <c r="E176" s="43">
        <f>-64-D176</f>
        <v>-32</v>
      </c>
      <c r="F176" s="43">
        <f>-96-D176-E176</f>
        <v>-32</v>
      </c>
      <c r="G176" s="43">
        <f>-127-D176-E176-F176</f>
        <v>-31</v>
      </c>
      <c r="H176" s="81">
        <f t="shared" si="749"/>
        <v>-127</v>
      </c>
      <c r="I176" s="43">
        <v>-35</v>
      </c>
      <c r="J176" s="43">
        <f>-70-I176</f>
        <v>-35</v>
      </c>
      <c r="K176" s="43">
        <f>-105-J176-I176</f>
        <v>-35</v>
      </c>
      <c r="L176" s="43">
        <f>-139-K176-J176-I176</f>
        <v>-34</v>
      </c>
      <c r="M176" s="81">
        <f t="shared" si="750"/>
        <v>-139</v>
      </c>
      <c r="N176" s="43">
        <v>-37</v>
      </c>
      <c r="O176" s="43">
        <f>-74-N176</f>
        <v>-37</v>
      </c>
      <c r="P176" s="169">
        <f>-(P29*P25)</f>
        <v>-37.520000000000003</v>
      </c>
      <c r="Q176" s="43">
        <f>-(Q29*Q25)</f>
        <v>-37.342135384615382</v>
      </c>
      <c r="R176" s="81">
        <f t="shared" si="751"/>
        <v>-148.86213538461539</v>
      </c>
      <c r="S176" s="43">
        <f t="shared" ref="S176:AK176" si="756">-(S29*S25)</f>
        <v>-37.16409290461538</v>
      </c>
      <c r="T176" s="43">
        <f t="shared" si="756"/>
        <v>-36.985872382135369</v>
      </c>
      <c r="U176" s="43">
        <f t="shared" si="756"/>
        <v>-36.807473639132887</v>
      </c>
      <c r="V176" s="43">
        <f t="shared" si="756"/>
        <v>-36.628896497387395</v>
      </c>
      <c r="W176" s="81">
        <f t="shared" si="752"/>
        <v>-147.58633542327104</v>
      </c>
      <c r="X176" s="43">
        <f t="shared" si="756"/>
        <v>-36.450140778500163</v>
      </c>
      <c r="Y176" s="43">
        <f t="shared" si="756"/>
        <v>-36.27120630389404</v>
      </c>
      <c r="Z176" s="43">
        <f t="shared" si="756"/>
        <v>-36.092092894813312</v>
      </c>
      <c r="AA176" s="43">
        <f t="shared" si="756"/>
        <v>-35.912800372323503</v>
      </c>
      <c r="AB176" s="81">
        <f t="shared" si="753"/>
        <v>-144.726240349531</v>
      </c>
      <c r="AC176" s="43">
        <f t="shared" si="756"/>
        <v>-35.733328557311204</v>
      </c>
      <c r="AD176" s="43">
        <f t="shared" si="756"/>
        <v>-35.553677270483895</v>
      </c>
      <c r="AE176" s="43">
        <f t="shared" si="756"/>
        <v>-35.373846332369766</v>
      </c>
      <c r="AF176" s="43">
        <f t="shared" si="756"/>
        <v>-35.193835563317514</v>
      </c>
      <c r="AG176" s="81">
        <f t="shared" si="754"/>
        <v>-141.85468772348239</v>
      </c>
      <c r="AH176" s="43">
        <f t="shared" si="756"/>
        <v>-35.013644783496211</v>
      </c>
      <c r="AI176" s="43">
        <f t="shared" si="756"/>
        <v>-34.833273812895087</v>
      </c>
      <c r="AJ176" s="43">
        <f t="shared" si="756"/>
        <v>-34.652722471323358</v>
      </c>
      <c r="AK176" s="43">
        <f t="shared" si="756"/>
        <v>-34.471990578410065</v>
      </c>
      <c r="AL176" s="81">
        <f t="shared" si="755"/>
        <v>-138.97163164612473</v>
      </c>
    </row>
    <row r="177" spans="2:38" hidden="1" outlineLevel="1" x14ac:dyDescent="0.3">
      <c r="B177" s="211" t="s">
        <v>192</v>
      </c>
      <c r="C177" s="212"/>
      <c r="D177" s="42">
        <v>10</v>
      </c>
      <c r="E177" s="43">
        <f>13-D177</f>
        <v>3</v>
      </c>
      <c r="F177" s="43">
        <f>17-D177-E177</f>
        <v>4</v>
      </c>
      <c r="G177" s="43">
        <v>0</v>
      </c>
      <c r="H177" s="81">
        <f t="shared" si="749"/>
        <v>17</v>
      </c>
      <c r="I177" s="43">
        <v>23</v>
      </c>
      <c r="J177" s="43">
        <f>38-I177</f>
        <v>15</v>
      </c>
      <c r="K177" s="43">
        <f>63-J177-I177</f>
        <v>25</v>
      </c>
      <c r="L177" s="43">
        <f>64-K177-J177-I177</f>
        <v>1</v>
      </c>
      <c r="M177" s="81">
        <f t="shared" si="750"/>
        <v>64</v>
      </c>
      <c r="N177" s="43">
        <v>0</v>
      </c>
      <c r="O177" s="43">
        <v>0</v>
      </c>
      <c r="P177" s="169">
        <v>0</v>
      </c>
      <c r="Q177" s="43">
        <v>0</v>
      </c>
      <c r="R177" s="81">
        <f t="shared" si="751"/>
        <v>0</v>
      </c>
      <c r="S177" s="43">
        <v>0</v>
      </c>
      <c r="T177" s="43">
        <v>0</v>
      </c>
      <c r="U177" s="43">
        <v>0</v>
      </c>
      <c r="V177" s="43">
        <v>0</v>
      </c>
      <c r="W177" s="81">
        <f t="shared" si="752"/>
        <v>0</v>
      </c>
      <c r="X177" s="43">
        <v>0</v>
      </c>
      <c r="Y177" s="43">
        <v>0</v>
      </c>
      <c r="Z177" s="43">
        <v>0</v>
      </c>
      <c r="AA177" s="43">
        <v>0</v>
      </c>
      <c r="AB177" s="81">
        <f t="shared" si="753"/>
        <v>0</v>
      </c>
      <c r="AC177" s="43">
        <v>0</v>
      </c>
      <c r="AD177" s="43">
        <v>0</v>
      </c>
      <c r="AE177" s="43">
        <v>0</v>
      </c>
      <c r="AF177" s="43">
        <v>0</v>
      </c>
      <c r="AG177" s="81">
        <f t="shared" si="754"/>
        <v>0</v>
      </c>
      <c r="AH177" s="43">
        <v>0</v>
      </c>
      <c r="AI177" s="43">
        <v>0</v>
      </c>
      <c r="AJ177" s="43">
        <v>0</v>
      </c>
      <c r="AK177" s="43">
        <v>0</v>
      </c>
      <c r="AL177" s="81">
        <f t="shared" si="755"/>
        <v>0</v>
      </c>
    </row>
    <row r="178" spans="2:38" hidden="1" outlineLevel="1" x14ac:dyDescent="0.3">
      <c r="B178" s="282" t="s">
        <v>117</v>
      </c>
      <c r="C178" s="283"/>
      <c r="D178" s="42">
        <v>0</v>
      </c>
      <c r="E178" s="43">
        <v>0</v>
      </c>
      <c r="F178" s="43">
        <v>0</v>
      </c>
      <c r="G178" s="43">
        <v>0</v>
      </c>
      <c r="H178" s="81">
        <f t="shared" si="749"/>
        <v>0</v>
      </c>
      <c r="I178" s="43">
        <v>0</v>
      </c>
      <c r="J178" s="43">
        <v>0</v>
      </c>
      <c r="K178" s="43">
        <v>0</v>
      </c>
      <c r="L178" s="43">
        <v>0</v>
      </c>
      <c r="M178" s="81">
        <f t="shared" si="750"/>
        <v>0</v>
      </c>
      <c r="N178" s="43">
        <v>7</v>
      </c>
      <c r="O178" s="43">
        <f>14-N178</f>
        <v>7</v>
      </c>
      <c r="P178" s="169">
        <v>0</v>
      </c>
      <c r="Q178" s="43">
        <f>P178</f>
        <v>0</v>
      </c>
      <c r="R178" s="81">
        <f t="shared" si="751"/>
        <v>14</v>
      </c>
      <c r="S178" s="43">
        <f>Q178</f>
        <v>0</v>
      </c>
      <c r="T178" s="43">
        <f>S178</f>
        <v>0</v>
      </c>
      <c r="U178" s="43">
        <v>0</v>
      </c>
      <c r="V178" s="43">
        <f>U178</f>
        <v>0</v>
      </c>
      <c r="W178" s="81">
        <f t="shared" si="752"/>
        <v>0</v>
      </c>
      <c r="X178" s="43">
        <f>V178</f>
        <v>0</v>
      </c>
      <c r="Y178" s="43">
        <f>X178</f>
        <v>0</v>
      </c>
      <c r="Z178" s="43">
        <v>0</v>
      </c>
      <c r="AA178" s="43">
        <f>Z178</f>
        <v>0</v>
      </c>
      <c r="AB178" s="81">
        <f t="shared" si="753"/>
        <v>0</v>
      </c>
      <c r="AC178" s="43">
        <f>AA178</f>
        <v>0</v>
      </c>
      <c r="AD178" s="43">
        <f>AC178</f>
        <v>0</v>
      </c>
      <c r="AE178" s="43">
        <v>0</v>
      </c>
      <c r="AF178" s="43">
        <f>AE178</f>
        <v>0</v>
      </c>
      <c r="AG178" s="81">
        <f t="shared" si="754"/>
        <v>0</v>
      </c>
      <c r="AH178" s="43">
        <f>AF178</f>
        <v>0</v>
      </c>
      <c r="AI178" s="43">
        <f>AH178</f>
        <v>0</v>
      </c>
      <c r="AJ178" s="43">
        <v>0</v>
      </c>
      <c r="AK178" s="43">
        <f>AJ178</f>
        <v>0</v>
      </c>
      <c r="AL178" s="81">
        <f t="shared" si="755"/>
        <v>0</v>
      </c>
    </row>
    <row r="179" spans="2:38" hidden="1" outlineLevel="1" x14ac:dyDescent="0.3">
      <c r="B179" s="282" t="s">
        <v>177</v>
      </c>
      <c r="C179" s="283"/>
      <c r="D179" s="42">
        <v>0</v>
      </c>
      <c r="E179" s="43">
        <v>5</v>
      </c>
      <c r="F179" s="43">
        <v>0</v>
      </c>
      <c r="G179" s="43">
        <v>0</v>
      </c>
      <c r="H179" s="81">
        <f t="shared" si="749"/>
        <v>5</v>
      </c>
      <c r="I179" s="43">
        <v>0</v>
      </c>
      <c r="J179" s="43">
        <v>5</v>
      </c>
      <c r="K179" s="43">
        <v>0</v>
      </c>
      <c r="L179" s="43">
        <v>0</v>
      </c>
      <c r="M179" s="81">
        <f t="shared" si="750"/>
        <v>5</v>
      </c>
      <c r="N179" s="43">
        <v>0</v>
      </c>
      <c r="O179" s="43">
        <f>4-N179</f>
        <v>4</v>
      </c>
      <c r="P179" s="169"/>
      <c r="Q179" s="43"/>
      <c r="R179" s="81">
        <f t="shared" si="751"/>
        <v>4</v>
      </c>
      <c r="S179" s="43"/>
      <c r="T179" s="43"/>
      <c r="U179" s="43"/>
      <c r="V179" s="43"/>
      <c r="W179" s="81">
        <f t="shared" si="752"/>
        <v>0</v>
      </c>
      <c r="X179" s="43"/>
      <c r="Y179" s="43"/>
      <c r="Z179" s="43"/>
      <c r="AA179" s="43"/>
      <c r="AB179" s="81">
        <f t="shared" si="753"/>
        <v>0</v>
      </c>
      <c r="AC179" s="43"/>
      <c r="AD179" s="43"/>
      <c r="AE179" s="43"/>
      <c r="AF179" s="43"/>
      <c r="AG179" s="81">
        <f t="shared" si="754"/>
        <v>0</v>
      </c>
      <c r="AH179" s="43"/>
      <c r="AI179" s="43"/>
      <c r="AJ179" s="43"/>
      <c r="AK179" s="43"/>
      <c r="AL179" s="81">
        <f t="shared" si="755"/>
        <v>0</v>
      </c>
    </row>
    <row r="180" spans="2:38" hidden="1" outlineLevel="1" x14ac:dyDescent="0.3">
      <c r="B180" s="282" t="s">
        <v>178</v>
      </c>
      <c r="C180" s="283"/>
      <c r="D180" s="42">
        <v>7</v>
      </c>
      <c r="E180" s="43">
        <v>2</v>
      </c>
      <c r="F180" s="43">
        <v>2</v>
      </c>
      <c r="G180" s="43">
        <v>1</v>
      </c>
      <c r="H180" s="81">
        <f t="shared" si="749"/>
        <v>12</v>
      </c>
      <c r="I180" s="43">
        <v>14</v>
      </c>
      <c r="J180" s="43">
        <f>24-I180</f>
        <v>10</v>
      </c>
      <c r="K180" s="43">
        <f>33-J180-I180</f>
        <v>9</v>
      </c>
      <c r="L180" s="43">
        <v>2</v>
      </c>
      <c r="M180" s="81">
        <f t="shared" si="750"/>
        <v>35</v>
      </c>
      <c r="N180" s="43">
        <v>6</v>
      </c>
      <c r="O180" s="43">
        <f>10-N180</f>
        <v>4</v>
      </c>
      <c r="P180" s="169"/>
      <c r="Q180" s="43"/>
      <c r="R180" s="81">
        <f t="shared" si="751"/>
        <v>10</v>
      </c>
      <c r="S180" s="43"/>
      <c r="T180" s="43"/>
      <c r="U180" s="43"/>
      <c r="V180" s="43"/>
      <c r="W180" s="81">
        <f t="shared" si="752"/>
        <v>0</v>
      </c>
      <c r="X180" s="43"/>
      <c r="Y180" s="43"/>
      <c r="Z180" s="43"/>
      <c r="AA180" s="43"/>
      <c r="AB180" s="81">
        <f t="shared" si="753"/>
        <v>0</v>
      </c>
      <c r="AC180" s="43"/>
      <c r="AD180" s="43"/>
      <c r="AE180" s="43"/>
      <c r="AF180" s="43"/>
      <c r="AG180" s="81">
        <f t="shared" si="754"/>
        <v>0</v>
      </c>
      <c r="AH180" s="43"/>
      <c r="AI180" s="43"/>
      <c r="AJ180" s="43"/>
      <c r="AK180" s="43"/>
      <c r="AL180" s="81">
        <f t="shared" si="755"/>
        <v>0</v>
      </c>
    </row>
    <row r="181" spans="2:38" hidden="1" outlineLevel="1" x14ac:dyDescent="0.3">
      <c r="B181" s="282" t="s">
        <v>179</v>
      </c>
      <c r="C181" s="283"/>
      <c r="D181" s="42">
        <v>0</v>
      </c>
      <c r="E181" s="43">
        <v>0</v>
      </c>
      <c r="F181" s="43">
        <v>0</v>
      </c>
      <c r="G181" s="43">
        <v>0</v>
      </c>
      <c r="H181" s="81">
        <f t="shared" si="749"/>
        <v>0</v>
      </c>
      <c r="I181" s="43">
        <v>0</v>
      </c>
      <c r="J181" s="43">
        <v>0</v>
      </c>
      <c r="K181" s="43">
        <v>0</v>
      </c>
      <c r="L181" s="43">
        <v>0</v>
      </c>
      <c r="M181" s="81">
        <f t="shared" si="750"/>
        <v>0</v>
      </c>
      <c r="N181" s="43">
        <v>0</v>
      </c>
      <c r="O181" s="43">
        <f>-2</f>
        <v>-2</v>
      </c>
      <c r="P181" s="169"/>
      <c r="Q181" s="43"/>
      <c r="R181" s="81">
        <f t="shared" si="751"/>
        <v>-2</v>
      </c>
      <c r="S181" s="43"/>
      <c r="T181" s="43"/>
      <c r="U181" s="43"/>
      <c r="V181" s="43"/>
      <c r="W181" s="81">
        <f t="shared" si="752"/>
        <v>0</v>
      </c>
      <c r="X181" s="43"/>
      <c r="Y181" s="43"/>
      <c r="Z181" s="43"/>
      <c r="AA181" s="43"/>
      <c r="AB181" s="81">
        <f t="shared" si="753"/>
        <v>0</v>
      </c>
      <c r="AC181" s="43"/>
      <c r="AD181" s="43"/>
      <c r="AE181" s="43"/>
      <c r="AF181" s="43"/>
      <c r="AG181" s="81">
        <f t="shared" si="754"/>
        <v>0</v>
      </c>
      <c r="AH181" s="43"/>
      <c r="AI181" s="43"/>
      <c r="AJ181" s="43"/>
      <c r="AK181" s="43"/>
      <c r="AL181" s="81">
        <f t="shared" si="755"/>
        <v>0</v>
      </c>
    </row>
    <row r="182" spans="2:38" ht="16.2" hidden="1" outlineLevel="1" x14ac:dyDescent="0.45">
      <c r="B182" s="211" t="s">
        <v>180</v>
      </c>
      <c r="C182" s="212"/>
      <c r="D182" s="323">
        <v>-1</v>
      </c>
      <c r="E182" s="324">
        <v>-1</v>
      </c>
      <c r="F182" s="324">
        <v>-1</v>
      </c>
      <c r="G182" s="324">
        <v>0</v>
      </c>
      <c r="H182" s="94">
        <f t="shared" si="749"/>
        <v>-3</v>
      </c>
      <c r="I182" s="324">
        <v>0</v>
      </c>
      <c r="J182" s="324">
        <v>-1</v>
      </c>
      <c r="K182" s="324">
        <v>-1</v>
      </c>
      <c r="L182" s="324">
        <v>0</v>
      </c>
      <c r="M182" s="94">
        <f t="shared" si="750"/>
        <v>-2</v>
      </c>
      <c r="N182" s="324">
        <v>0</v>
      </c>
      <c r="O182" s="324">
        <v>0</v>
      </c>
      <c r="P182" s="325">
        <v>0</v>
      </c>
      <c r="Q182" s="324">
        <v>0</v>
      </c>
      <c r="R182" s="94">
        <f t="shared" si="751"/>
        <v>0</v>
      </c>
      <c r="S182" s="324">
        <v>0</v>
      </c>
      <c r="T182" s="324">
        <v>0</v>
      </c>
      <c r="U182" s="324">
        <v>0</v>
      </c>
      <c r="V182" s="324">
        <v>0</v>
      </c>
      <c r="W182" s="94">
        <f t="shared" si="752"/>
        <v>0</v>
      </c>
      <c r="X182" s="324">
        <v>0</v>
      </c>
      <c r="Y182" s="324">
        <v>0</v>
      </c>
      <c r="Z182" s="324">
        <v>0</v>
      </c>
      <c r="AA182" s="324">
        <v>0</v>
      </c>
      <c r="AB182" s="94">
        <f t="shared" si="753"/>
        <v>0</v>
      </c>
      <c r="AC182" s="324">
        <v>0</v>
      </c>
      <c r="AD182" s="324">
        <v>0</v>
      </c>
      <c r="AE182" s="324">
        <v>0</v>
      </c>
      <c r="AF182" s="324">
        <v>0</v>
      </c>
      <c r="AG182" s="94">
        <f t="shared" si="754"/>
        <v>0</v>
      </c>
      <c r="AH182" s="324">
        <v>0</v>
      </c>
      <c r="AI182" s="324">
        <v>0</v>
      </c>
      <c r="AJ182" s="324">
        <v>0</v>
      </c>
      <c r="AK182" s="324">
        <v>0</v>
      </c>
      <c r="AL182" s="94">
        <f t="shared" si="755"/>
        <v>0</v>
      </c>
    </row>
    <row r="183" spans="2:38" hidden="1" outlineLevel="1" x14ac:dyDescent="0.3">
      <c r="B183" s="276" t="s">
        <v>22</v>
      </c>
      <c r="C183" s="277"/>
      <c r="D183" s="77">
        <f>SUM(D175:D182)</f>
        <v>-86</v>
      </c>
      <c r="E183" s="76">
        <f t="shared" ref="E183:H183" si="757">SUM(E175:E182)</f>
        <v>-89</v>
      </c>
      <c r="F183" s="76">
        <f t="shared" si="757"/>
        <v>-65</v>
      </c>
      <c r="G183" s="76">
        <f t="shared" si="757"/>
        <v>-161</v>
      </c>
      <c r="H183" s="99">
        <f t="shared" si="757"/>
        <v>-401</v>
      </c>
      <c r="I183" s="76">
        <f>SUM(I175:I182)</f>
        <v>-127</v>
      </c>
      <c r="J183" s="76">
        <f t="shared" ref="J183" si="758">SUM(J175:J182)</f>
        <v>-82</v>
      </c>
      <c r="K183" s="76">
        <f t="shared" ref="K183" si="759">SUM(K175:K182)</f>
        <v>-113</v>
      </c>
      <c r="L183" s="76">
        <f t="shared" ref="L183:M183" si="760">SUM(L175:L182)</f>
        <v>-134</v>
      </c>
      <c r="M183" s="99">
        <f t="shared" si="760"/>
        <v>-456</v>
      </c>
      <c r="N183" s="76">
        <f t="shared" ref="N183" si="761">SUM(N175:N182)</f>
        <v>-112</v>
      </c>
      <c r="O183" s="76">
        <f t="shared" ref="O183" si="762">SUM(O175:O182)</f>
        <v>-212</v>
      </c>
      <c r="P183" s="326">
        <f t="shared" ref="P183" si="763">SUM(P175:P182)</f>
        <v>-113.82</v>
      </c>
      <c r="Q183" s="76">
        <f t="shared" ref="Q183:S183" si="764">SUM(Q175:Q182)</f>
        <v>-87.342135384615375</v>
      </c>
      <c r="R183" s="99">
        <f>SUM(R175:R182)</f>
        <v>-525.16213538461534</v>
      </c>
      <c r="S183" s="76">
        <f t="shared" si="764"/>
        <v>-87.164092904615387</v>
      </c>
      <c r="T183" s="76">
        <f t="shared" ref="T183:V183" si="765">SUM(T175:T182)</f>
        <v>-86.985872382135369</v>
      </c>
      <c r="U183" s="76">
        <f t="shared" si="765"/>
        <v>-86.807473639132894</v>
      </c>
      <c r="V183" s="76">
        <f t="shared" si="765"/>
        <v>-86.628896497387387</v>
      </c>
      <c r="W183" s="99">
        <f>SUM(W175:W182)</f>
        <v>-347.58633542327107</v>
      </c>
      <c r="X183" s="76">
        <f t="shared" ref="X183:AA183" si="766">SUM(X175:X182)</f>
        <v>-86.450140778500156</v>
      </c>
      <c r="Y183" s="76">
        <f t="shared" si="766"/>
        <v>-86.271206303894047</v>
      </c>
      <c r="Z183" s="76">
        <f t="shared" si="766"/>
        <v>-86.092092894813305</v>
      </c>
      <c r="AA183" s="76">
        <f t="shared" si="766"/>
        <v>-85.912800372323503</v>
      </c>
      <c r="AB183" s="99">
        <f>SUM(AB175:AB182)</f>
        <v>-344.726240349531</v>
      </c>
      <c r="AC183" s="76">
        <f t="shared" ref="AC183:AF183" si="767">SUM(AC175:AC182)</f>
        <v>-85.733328557311211</v>
      </c>
      <c r="AD183" s="76">
        <f t="shared" si="767"/>
        <v>-85.553677270483888</v>
      </c>
      <c r="AE183" s="76">
        <f t="shared" si="767"/>
        <v>-85.373846332369766</v>
      </c>
      <c r="AF183" s="76">
        <f t="shared" si="767"/>
        <v>-85.193835563317521</v>
      </c>
      <c r="AG183" s="99">
        <f>SUM(AG175:AG182)</f>
        <v>-341.85468772348236</v>
      </c>
      <c r="AH183" s="76">
        <f t="shared" ref="AH183:AK183" si="768">SUM(AH175:AH182)</f>
        <v>-85.013644783496204</v>
      </c>
      <c r="AI183" s="76">
        <f t="shared" si="768"/>
        <v>-84.833273812895087</v>
      </c>
      <c r="AJ183" s="76">
        <f t="shared" si="768"/>
        <v>-84.652722471323358</v>
      </c>
      <c r="AK183" s="76">
        <f t="shared" si="768"/>
        <v>-84.471990578410072</v>
      </c>
      <c r="AL183" s="99">
        <f>SUM(AL175:AL182)</f>
        <v>-338.97163164612471</v>
      </c>
    </row>
    <row r="184" spans="2:38" s="153" customFormat="1" ht="16.2" hidden="1" outlineLevel="1" x14ac:dyDescent="0.45">
      <c r="B184" s="282" t="s">
        <v>94</v>
      </c>
      <c r="C184" s="283"/>
      <c r="D184" s="323">
        <v>3</v>
      </c>
      <c r="E184" s="324">
        <f>-4-D184</f>
        <v>-7</v>
      </c>
      <c r="F184" s="324">
        <f>-12-D184-E184</f>
        <v>-8</v>
      </c>
      <c r="G184" s="324">
        <f>-26-D184-E184-F184</f>
        <v>-14</v>
      </c>
      <c r="H184" s="94">
        <f t="shared" ref="H184" si="769">SUM(D184:G184)</f>
        <v>-26</v>
      </c>
      <c r="I184" s="323">
        <v>-7</v>
      </c>
      <c r="J184" s="324">
        <v>1</v>
      </c>
      <c r="K184" s="324">
        <v>-1</v>
      </c>
      <c r="L184" s="324">
        <v>2</v>
      </c>
      <c r="M184" s="94">
        <f t="shared" ref="M184" si="770">SUM(I184:L184)</f>
        <v>-5</v>
      </c>
      <c r="N184" s="323">
        <v>6</v>
      </c>
      <c r="O184" s="324">
        <v>4</v>
      </c>
      <c r="P184" s="325">
        <v>0</v>
      </c>
      <c r="Q184" s="324">
        <v>0</v>
      </c>
      <c r="R184" s="94">
        <f t="shared" ref="R184" si="771">SUM(N184:Q184)</f>
        <v>10</v>
      </c>
      <c r="S184" s="324">
        <v>0</v>
      </c>
      <c r="T184" s="324">
        <v>0</v>
      </c>
      <c r="U184" s="324">
        <v>0</v>
      </c>
      <c r="V184" s="324">
        <v>0</v>
      </c>
      <c r="W184" s="94">
        <f t="shared" ref="W184" si="772">SUM(S184:V184)</f>
        <v>0</v>
      </c>
      <c r="X184" s="324">
        <v>0</v>
      </c>
      <c r="Y184" s="324">
        <v>0</v>
      </c>
      <c r="Z184" s="324">
        <v>0</v>
      </c>
      <c r="AA184" s="324">
        <v>0</v>
      </c>
      <c r="AB184" s="94">
        <f t="shared" ref="AB184" si="773">SUM(X184:AA184)</f>
        <v>0</v>
      </c>
      <c r="AC184" s="324">
        <v>0</v>
      </c>
      <c r="AD184" s="324">
        <v>0</v>
      </c>
      <c r="AE184" s="324">
        <v>0</v>
      </c>
      <c r="AF184" s="324">
        <v>0</v>
      </c>
      <c r="AG184" s="94">
        <f t="shared" ref="AG184" si="774">SUM(AC184:AF184)</f>
        <v>0</v>
      </c>
      <c r="AH184" s="324">
        <v>0</v>
      </c>
      <c r="AI184" s="324">
        <v>0</v>
      </c>
      <c r="AJ184" s="324">
        <v>0</v>
      </c>
      <c r="AK184" s="324">
        <v>0</v>
      </c>
      <c r="AL184" s="94">
        <f t="shared" ref="AL184" si="775">SUM(AH184:AK184)</f>
        <v>0</v>
      </c>
    </row>
    <row r="185" spans="2:38" hidden="1" outlineLevel="1" x14ac:dyDescent="0.3">
      <c r="B185" s="276" t="s">
        <v>23</v>
      </c>
      <c r="C185" s="277"/>
      <c r="D185" s="77">
        <f t="shared" ref="D185:T185" si="776">D183+D172+D167+D184</f>
        <v>147</v>
      </c>
      <c r="E185" s="76">
        <f t="shared" si="776"/>
        <v>-48</v>
      </c>
      <c r="F185" s="76">
        <f t="shared" si="776"/>
        <v>-41</v>
      </c>
      <c r="G185" s="76">
        <f t="shared" si="776"/>
        <v>51</v>
      </c>
      <c r="H185" s="99">
        <f t="shared" si="776"/>
        <v>109</v>
      </c>
      <c r="I185" s="77">
        <f t="shared" si="776"/>
        <v>19</v>
      </c>
      <c r="J185" s="3">
        <f t="shared" si="776"/>
        <v>-16</v>
      </c>
      <c r="K185" s="3">
        <f t="shared" si="776"/>
        <v>-92</v>
      </c>
      <c r="L185" s="3">
        <f t="shared" si="776"/>
        <v>143</v>
      </c>
      <c r="M185" s="99">
        <f t="shared" si="776"/>
        <v>54</v>
      </c>
      <c r="N185" s="4">
        <f t="shared" si="776"/>
        <v>41</v>
      </c>
      <c r="O185" s="3">
        <f t="shared" si="776"/>
        <v>-117</v>
      </c>
      <c r="P185" s="326">
        <f t="shared" si="776"/>
        <v>-79.999999999999972</v>
      </c>
      <c r="Q185" s="76">
        <f t="shared" si="776"/>
        <v>130.44877505662942</v>
      </c>
      <c r="R185" s="99">
        <f>R183+R172+R167+R184</f>
        <v>-25.551224943370585</v>
      </c>
      <c r="S185" s="77">
        <f t="shared" si="776"/>
        <v>273.77739257667855</v>
      </c>
      <c r="T185" s="76">
        <f t="shared" si="776"/>
        <v>-187.6390003812233</v>
      </c>
      <c r="U185" s="76">
        <f t="shared" ref="U185:V185" si="777">U183+U172+U167+U184</f>
        <v>83.17898185631833</v>
      </c>
      <c r="V185" s="76">
        <f t="shared" si="777"/>
        <v>207.76711744961483</v>
      </c>
      <c r="W185" s="99">
        <f>W183+W172+W167+W184</f>
        <v>377.08449150138858</v>
      </c>
      <c r="X185" s="77">
        <f t="shared" ref="X185:AA185" si="778">X183+X172+X167+X184</f>
        <v>14.414030546399033</v>
      </c>
      <c r="Y185" s="76">
        <f t="shared" si="778"/>
        <v>12.638015423293865</v>
      </c>
      <c r="Z185" s="76">
        <f t="shared" si="778"/>
        <v>-17.700252417986405</v>
      </c>
      <c r="AA185" s="76">
        <f t="shared" si="778"/>
        <v>102.86805983726831</v>
      </c>
      <c r="AB185" s="99">
        <f>AB183+AB172+AB167+AB184</f>
        <v>112.2198533889748</v>
      </c>
      <c r="AC185" s="77">
        <f t="shared" ref="AC185:AF185" si="779">AC183+AC172+AC167+AC184</f>
        <v>78.032034155761949</v>
      </c>
      <c r="AD185" s="76">
        <f t="shared" si="779"/>
        <v>35.423865684237597</v>
      </c>
      <c r="AE185" s="76">
        <f t="shared" si="779"/>
        <v>81.467720765914692</v>
      </c>
      <c r="AF185" s="76">
        <f t="shared" si="779"/>
        <v>59.979710482323242</v>
      </c>
      <c r="AG185" s="99">
        <f>AG183+AG172+AG167+AG184</f>
        <v>254.90333108823756</v>
      </c>
      <c r="AH185" s="77">
        <f t="shared" ref="AH185:AK185" si="780">AH183+AH172+AH167+AH184</f>
        <v>86.789369254271662</v>
      </c>
      <c r="AI185" s="76">
        <f t="shared" si="780"/>
        <v>-11.607884843231034</v>
      </c>
      <c r="AJ185" s="76">
        <f t="shared" si="780"/>
        <v>140.19637076412948</v>
      </c>
      <c r="AK185" s="76">
        <f t="shared" si="780"/>
        <v>-92.942121720164238</v>
      </c>
      <c r="AL185" s="99">
        <f>AL183+AL172+AL167+AL184</f>
        <v>122.4357334550059</v>
      </c>
    </row>
    <row r="186" spans="2:38" hidden="1" outlineLevel="1" x14ac:dyDescent="0.3">
      <c r="B186" s="276" t="s">
        <v>24</v>
      </c>
      <c r="C186" s="277"/>
      <c r="D186" s="77">
        <v>858</v>
      </c>
      <c r="E186" s="76">
        <f>D187</f>
        <v>1005</v>
      </c>
      <c r="F186" s="76">
        <f t="shared" ref="F186:L186" si="781">E187</f>
        <v>957</v>
      </c>
      <c r="G186" s="76">
        <f t="shared" si="781"/>
        <v>916</v>
      </c>
      <c r="H186" s="99">
        <f>G186</f>
        <v>916</v>
      </c>
      <c r="I186" s="4">
        <f>H187</f>
        <v>967</v>
      </c>
      <c r="J186" s="3">
        <f>I187</f>
        <v>986</v>
      </c>
      <c r="K186" s="3">
        <f t="shared" si="781"/>
        <v>970</v>
      </c>
      <c r="L186" s="3">
        <f t="shared" si="781"/>
        <v>878</v>
      </c>
      <c r="M186" s="99">
        <f>I186</f>
        <v>967</v>
      </c>
      <c r="N186" s="4">
        <f t="shared" ref="N186:Q186" si="782">M187</f>
        <v>1021</v>
      </c>
      <c r="O186" s="3">
        <f t="shared" si="782"/>
        <v>1062</v>
      </c>
      <c r="P186" s="326">
        <f t="shared" si="782"/>
        <v>945</v>
      </c>
      <c r="Q186" s="76">
        <f t="shared" si="782"/>
        <v>865</v>
      </c>
      <c r="R186" s="99">
        <f>N186</f>
        <v>1021</v>
      </c>
      <c r="S186" s="77">
        <f>Q187</f>
        <v>995.44877505662942</v>
      </c>
      <c r="T186" s="76">
        <f t="shared" ref="T186" si="783">S187</f>
        <v>1269.226167633308</v>
      </c>
      <c r="U186" s="76">
        <f t="shared" ref="U186" si="784">T187</f>
        <v>1081.5871672520848</v>
      </c>
      <c r="V186" s="76">
        <f t="shared" ref="V186" si="785">U187</f>
        <v>1164.7661491084032</v>
      </c>
      <c r="W186" s="99">
        <f>S186</f>
        <v>995.44877505662942</v>
      </c>
      <c r="X186" s="77">
        <f>V187</f>
        <v>1372.5332665580181</v>
      </c>
      <c r="Y186" s="76">
        <f t="shared" ref="Y186" si="786">X187</f>
        <v>1386.9472971044172</v>
      </c>
      <c r="Z186" s="76">
        <f t="shared" ref="Z186" si="787">Y187</f>
        <v>1399.585312527711</v>
      </c>
      <c r="AA186" s="76">
        <f t="shared" ref="AA186" si="788">Z187</f>
        <v>1381.8850601097247</v>
      </c>
      <c r="AB186" s="99">
        <f>X186</f>
        <v>1372.5332665580181</v>
      </c>
      <c r="AC186" s="77">
        <f>AA187</f>
        <v>1484.7531199469929</v>
      </c>
      <c r="AD186" s="76">
        <f t="shared" ref="AD186" si="789">AC187</f>
        <v>1562.7851541027549</v>
      </c>
      <c r="AE186" s="76">
        <f t="shared" ref="AE186" si="790">AD187</f>
        <v>1598.2090197869925</v>
      </c>
      <c r="AF186" s="76">
        <f t="shared" ref="AF186" si="791">AE187</f>
        <v>1679.6767405529072</v>
      </c>
      <c r="AG186" s="99">
        <f>AC186</f>
        <v>1484.7531199469929</v>
      </c>
      <c r="AH186" s="77">
        <f>AF187</f>
        <v>1739.6564510352305</v>
      </c>
      <c r="AI186" s="76">
        <f t="shared" ref="AI186" si="792">AH187</f>
        <v>1826.4458202895021</v>
      </c>
      <c r="AJ186" s="76">
        <f t="shared" ref="AJ186" si="793">AI187</f>
        <v>1814.8379354462711</v>
      </c>
      <c r="AK186" s="76">
        <f t="shared" ref="AK186" si="794">AJ187</f>
        <v>1955.0343062104007</v>
      </c>
      <c r="AL186" s="99">
        <f>AH186</f>
        <v>1739.6564510352305</v>
      </c>
    </row>
    <row r="187" spans="2:38" hidden="1" outlineLevel="1" x14ac:dyDescent="0.3">
      <c r="B187" s="276" t="s">
        <v>25</v>
      </c>
      <c r="C187" s="277"/>
      <c r="D187" s="77">
        <f>D186+D185</f>
        <v>1005</v>
      </c>
      <c r="E187" s="76">
        <f>E186+E185</f>
        <v>957</v>
      </c>
      <c r="F187" s="76">
        <f t="shared" ref="F187" si="795">F186+F185</f>
        <v>916</v>
      </c>
      <c r="G187" s="76">
        <f>G186+G185</f>
        <v>967</v>
      </c>
      <c r="H187" s="99">
        <f>G187</f>
        <v>967</v>
      </c>
      <c r="I187" s="77">
        <f>I186+I185</f>
        <v>986</v>
      </c>
      <c r="J187" s="3">
        <f t="shared" ref="J187:K187" si="796">J186+J185</f>
        <v>970</v>
      </c>
      <c r="K187" s="3">
        <f t="shared" si="796"/>
        <v>878</v>
      </c>
      <c r="L187" s="3">
        <f>L186+L185</f>
        <v>1021</v>
      </c>
      <c r="M187" s="99">
        <f>M186+M185</f>
        <v>1021</v>
      </c>
      <c r="N187" s="77">
        <f>N186+N185</f>
        <v>1062</v>
      </c>
      <c r="O187" s="3">
        <f t="shared" ref="O187:P187" si="797">O186+O185</f>
        <v>945</v>
      </c>
      <c r="P187" s="326">
        <f t="shared" si="797"/>
        <v>865</v>
      </c>
      <c r="Q187" s="3">
        <f>Q186+Q185</f>
        <v>995.44877505662942</v>
      </c>
      <c r="R187" s="99">
        <f>R186+R185</f>
        <v>995.44877505662942</v>
      </c>
      <c r="S187" s="77">
        <f>S186+S185</f>
        <v>1269.226167633308</v>
      </c>
      <c r="T187" s="3">
        <f t="shared" ref="T187:U187" si="798">T186+T185</f>
        <v>1081.5871672520848</v>
      </c>
      <c r="U187" s="3">
        <f t="shared" si="798"/>
        <v>1164.7661491084032</v>
      </c>
      <c r="V187" s="3">
        <f>V186+V185</f>
        <v>1372.5332665580181</v>
      </c>
      <c r="W187" s="99">
        <f>W186+W185</f>
        <v>1372.5332665580181</v>
      </c>
      <c r="X187" s="77">
        <f>X186+X185</f>
        <v>1386.9472971044172</v>
      </c>
      <c r="Y187" s="3">
        <f t="shared" ref="Y187:Z187" si="799">Y186+Y185</f>
        <v>1399.585312527711</v>
      </c>
      <c r="Z187" s="3">
        <f t="shared" si="799"/>
        <v>1381.8850601097247</v>
      </c>
      <c r="AA187" s="3">
        <f>AA186+AA185</f>
        <v>1484.7531199469929</v>
      </c>
      <c r="AB187" s="99">
        <f>AB186+AB185</f>
        <v>1484.7531199469929</v>
      </c>
      <c r="AC187" s="77">
        <f>AC186+AC185</f>
        <v>1562.7851541027549</v>
      </c>
      <c r="AD187" s="3">
        <f t="shared" ref="AD187:AE187" si="800">AD186+AD185</f>
        <v>1598.2090197869925</v>
      </c>
      <c r="AE187" s="3">
        <f t="shared" si="800"/>
        <v>1679.6767405529072</v>
      </c>
      <c r="AF187" s="3">
        <f>AF186+AF185</f>
        <v>1739.6564510352305</v>
      </c>
      <c r="AG187" s="99">
        <f>AG186+AG185</f>
        <v>1739.6564510352305</v>
      </c>
      <c r="AH187" s="77">
        <f>AH186+AH185</f>
        <v>1826.4458202895021</v>
      </c>
      <c r="AI187" s="3">
        <f t="shared" ref="AI187:AJ187" si="801">AI186+AI185</f>
        <v>1814.8379354462711</v>
      </c>
      <c r="AJ187" s="3">
        <f t="shared" si="801"/>
        <v>1955.0343062104007</v>
      </c>
      <c r="AK187" s="3">
        <f>AK186+AK185</f>
        <v>1862.0921844902364</v>
      </c>
      <c r="AL187" s="99">
        <f>AL186+AL185</f>
        <v>1862.0921844902364</v>
      </c>
    </row>
    <row r="188" spans="2:38" hidden="1" outlineLevel="1" x14ac:dyDescent="0.3">
      <c r="B188" s="282" t="s">
        <v>52</v>
      </c>
      <c r="C188" s="283"/>
      <c r="D188" s="142">
        <f>(D105+D106-D122)/D26</f>
        <v>5.9078590785907865</v>
      </c>
      <c r="E188" s="103">
        <f>(E105+E106-E122)/E26</f>
        <v>5.6215846994535514</v>
      </c>
      <c r="F188" s="103">
        <f>(F105+F106-F122)/F26</f>
        <v>5.3809196980096088</v>
      </c>
      <c r="G188" s="103">
        <f>(G105+G106-G122)/G26</f>
        <v>5.7865557865557857</v>
      </c>
      <c r="H188" s="175">
        <f>(H105+H106-H122)/H26</f>
        <v>5.7182893069833716</v>
      </c>
      <c r="I188" s="142">
        <f>(I105+I106-I122)/I26</f>
        <v>6.0168895144264605</v>
      </c>
      <c r="J188" s="103">
        <f>(J105+J106-J122)/J26</f>
        <v>5.9447983014861991</v>
      </c>
      <c r="K188" s="103">
        <f>(K105+K106-K122)/K26</f>
        <v>5.3087295954577716</v>
      </c>
      <c r="L188" s="103">
        <f>(L105+L106-L122)/L26</f>
        <v>6.4218862491000719</v>
      </c>
      <c r="M188" s="175">
        <f>(M105+M106-M122)/M26</f>
        <v>6.334686719358146</v>
      </c>
      <c r="N188" s="142">
        <f>(N105+N106-N122)/N26</f>
        <v>6.7779390420899848</v>
      </c>
      <c r="O188" s="103">
        <f>(O105+O106-O122)/O26</f>
        <v>6.0295202952029516</v>
      </c>
      <c r="P188" s="103">
        <f>(P105+P106-P122)/P26</f>
        <v>5.5074626865671643</v>
      </c>
      <c r="Q188" s="103">
        <f>(Q105+Q106-Q122)/Q26</f>
        <v>6.5118305236512608</v>
      </c>
      <c r="R188" s="175">
        <f>(R105+R106-R122)/R26</f>
        <v>6.4250443119659142</v>
      </c>
      <c r="S188" s="103">
        <f>(S105+S106-S122)/S26</f>
        <v>8.605707873946459</v>
      </c>
      <c r="T188" s="103">
        <f>(T105+T106-T122)/T26</f>
        <v>7.2266622257552973</v>
      </c>
      <c r="U188" s="103">
        <f>(U105+U106-U122)/U26</f>
        <v>7.8944435197916052</v>
      </c>
      <c r="V188" s="103">
        <f>(V105+V106-V122)/V26</f>
        <v>9.5211526413611747</v>
      </c>
      <c r="W188" s="175">
        <f>(W105+W106-W122)/W26</f>
        <v>9.4520759970371966</v>
      </c>
      <c r="X188" s="103">
        <f>(X105+X106-X122)/X26</f>
        <v>9.6785701139822358</v>
      </c>
      <c r="Y188" s="103">
        <f>(Y105+Y106-Y122)/Y26</f>
        <v>9.8238775000296741</v>
      </c>
      <c r="Z188" s="103">
        <f>(Z105+Z106-Z122)/Z26</f>
        <v>9.7353128801576645</v>
      </c>
      <c r="AA188" s="103">
        <f>(AA105+AA106-AA122)/AA26</f>
        <v>10.585943441997353</v>
      </c>
      <c r="AB188" s="175">
        <f>(AB105+AB106-AB122)/AB26</f>
        <v>10.507310150999579</v>
      </c>
      <c r="AC188" s="103">
        <f>(AC105+AC106-AC122)/AC26</f>
        <v>11.250556815718648</v>
      </c>
      <c r="AD188" s="103">
        <f>(AD105+AD106-AD122)/AD26</f>
        <v>11.586383101990489</v>
      </c>
      <c r="AE188" s="103">
        <f>(AE105+AE106-AE122)/AE26</f>
        <v>12.290138970750975</v>
      </c>
      <c r="AF188" s="103">
        <f>(AF105+AF106-AF122)/AF26</f>
        <v>12.830195943760904</v>
      </c>
      <c r="AG188" s="175">
        <f>(AG105+AG106-AG122)/AG26</f>
        <v>12.732573411181443</v>
      </c>
      <c r="AH188" s="103">
        <f>(AH105+AH106-AH122)/AH26</f>
        <v>13.590268383180478</v>
      </c>
      <c r="AI188" s="103">
        <f>(AI105+AI106-AI122)/AI26</f>
        <v>13.567332903116446</v>
      </c>
      <c r="AJ188" s="103">
        <f>(AJ105+AJ106-AJ122)/AJ26</f>
        <v>14.770833840327844</v>
      </c>
      <c r="AK188" s="103">
        <f>(AK105+AK106-AK122)/AK26</f>
        <v>14.093349513780058</v>
      </c>
      <c r="AL188" s="175">
        <f>(AL105+AL106-AL122)/AL26</f>
        <v>13.983452763780331</v>
      </c>
    </row>
    <row r="189" spans="2:38" s="67" customFormat="1" hidden="1" outlineLevel="1" x14ac:dyDescent="0.3">
      <c r="B189" s="211" t="s">
        <v>98</v>
      </c>
      <c r="C189" s="212"/>
      <c r="D189" s="142"/>
      <c r="E189" s="103"/>
      <c r="F189" s="103"/>
      <c r="G189" s="103"/>
      <c r="H189" s="180">
        <v>0</v>
      </c>
      <c r="I189" s="142"/>
      <c r="J189" s="103"/>
      <c r="K189" s="103"/>
      <c r="L189" s="103"/>
      <c r="M189" s="180">
        <v>0</v>
      </c>
      <c r="N189" s="142"/>
      <c r="O189" s="103"/>
      <c r="P189" s="103"/>
      <c r="Q189" s="103"/>
      <c r="R189" s="180">
        <f>M189+1</f>
        <v>1</v>
      </c>
      <c r="S189" s="142"/>
      <c r="T189" s="103"/>
      <c r="U189" s="103"/>
      <c r="V189" s="103"/>
      <c r="W189" s="180">
        <f>R189+1</f>
        <v>2</v>
      </c>
      <c r="X189" s="142"/>
      <c r="Y189" s="103"/>
      <c r="Z189" s="103"/>
      <c r="AA189" s="103"/>
      <c r="AB189" s="180">
        <f>W189+1</f>
        <v>3</v>
      </c>
      <c r="AC189" s="142"/>
      <c r="AD189" s="103"/>
      <c r="AE189" s="103"/>
      <c r="AF189" s="103"/>
      <c r="AG189" s="180">
        <f>AB189+1</f>
        <v>4</v>
      </c>
      <c r="AH189" s="142"/>
      <c r="AI189" s="103"/>
      <c r="AJ189" s="103"/>
      <c r="AK189" s="103"/>
      <c r="AL189" s="180">
        <f>AG189+1</f>
        <v>5</v>
      </c>
    </row>
    <row r="190" spans="2:38" s="67" customFormat="1" hidden="1" outlineLevel="1" x14ac:dyDescent="0.3">
      <c r="B190" s="282" t="s">
        <v>57</v>
      </c>
      <c r="C190" s="283"/>
      <c r="D190" s="86"/>
      <c r="E190" s="87"/>
      <c r="F190" s="87"/>
      <c r="G190" s="87"/>
      <c r="H190" s="180">
        <f>H167-(-H170)+($C$229*(H122+H120))</f>
        <v>530.35704296444476</v>
      </c>
      <c r="I190" s="86"/>
      <c r="J190" s="87"/>
      <c r="K190" s="87"/>
      <c r="L190" s="87"/>
      <c r="M190" s="180">
        <f>M167-(-M170)+($C$229*(M122+M120))</f>
        <v>520.25683272670017</v>
      </c>
      <c r="N190" s="86"/>
      <c r="O190" s="87"/>
      <c r="P190" s="87"/>
      <c r="Q190" s="87"/>
      <c r="R190" s="180">
        <f>R167-(-R170)+($C$229*(R122+R120))</f>
        <v>492.81763804907268</v>
      </c>
      <c r="S190" s="86"/>
      <c r="T190" s="87"/>
      <c r="U190" s="87"/>
      <c r="V190" s="87"/>
      <c r="W190" s="180">
        <f>W167-(-W170)+($C$229*(W122+W120))</f>
        <v>727.87755453248758</v>
      </c>
      <c r="X190" s="86"/>
      <c r="Y190" s="87"/>
      <c r="Z190" s="87"/>
      <c r="AA190" s="87"/>
      <c r="AB190" s="180">
        <f>AB167-(-AB170)+($C$229*(AB122+AB120))</f>
        <v>460.15282134633367</v>
      </c>
      <c r="AC190" s="86"/>
      <c r="AD190" s="87"/>
      <c r="AE190" s="87"/>
      <c r="AF190" s="87"/>
      <c r="AG190" s="180">
        <f>AG167-(-AG170)+($C$229*(AG122+AG120))</f>
        <v>599.96474641954785</v>
      </c>
      <c r="AH190" s="86"/>
      <c r="AI190" s="87"/>
      <c r="AJ190" s="87"/>
      <c r="AK190" s="87"/>
      <c r="AL190" s="180">
        <f>AL167-(-AL170)+($C$229*(AL122+AL120))</f>
        <v>464.61409270895842</v>
      </c>
    </row>
    <row r="191" spans="2:38" s="67" customFormat="1" hidden="1" outlineLevel="1" x14ac:dyDescent="0.3">
      <c r="B191" s="278" t="s">
        <v>58</v>
      </c>
      <c r="C191" s="284"/>
      <c r="D191" s="181"/>
      <c r="E191" s="181"/>
      <c r="F191" s="181"/>
      <c r="G191" s="181"/>
      <c r="H191" s="182"/>
      <c r="I191" s="181"/>
      <c r="J191" s="181"/>
      <c r="K191" s="181"/>
      <c r="L191" s="181"/>
      <c r="M191" s="182"/>
      <c r="N191" s="181"/>
      <c r="O191" s="181"/>
      <c r="P191" s="181"/>
      <c r="Q191" s="181"/>
      <c r="R191" s="182">
        <f>R190/(1+$C$230)^R189</f>
        <v>464.11536079461501</v>
      </c>
      <c r="S191" s="181"/>
      <c r="T191" s="181"/>
      <c r="U191" s="181"/>
      <c r="V191" s="181"/>
      <c r="W191" s="182">
        <f>W190/(1+$C$230)^W189</f>
        <v>645.56165513039218</v>
      </c>
      <c r="X191" s="181"/>
      <c r="Y191" s="181"/>
      <c r="Z191" s="181"/>
      <c r="AA191" s="181"/>
      <c r="AB191" s="182">
        <f>AB190/(1+$C$230)^AB189</f>
        <v>384.34495766499373</v>
      </c>
      <c r="AC191" s="181"/>
      <c r="AD191" s="181"/>
      <c r="AE191" s="181"/>
      <c r="AF191" s="181"/>
      <c r="AG191" s="182">
        <f>AG190/(1+$C$230)^AG189</f>
        <v>471.93754651839595</v>
      </c>
      <c r="AH191" s="181"/>
      <c r="AI191" s="181"/>
      <c r="AJ191" s="181"/>
      <c r="AK191" s="181"/>
      <c r="AL191" s="182">
        <f>AL190/(1+$C$230)^AL189</f>
        <v>344.18415764929983</v>
      </c>
    </row>
    <row r="192" spans="2:38" hidden="1" outlineLevel="1" x14ac:dyDescent="0.3">
      <c r="B192" s="85"/>
      <c r="C192" s="219"/>
      <c r="D192" s="64">
        <f t="shared" ref="D192:N192" si="802">D105-D187</f>
        <v>0</v>
      </c>
      <c r="E192" s="64">
        <f t="shared" si="802"/>
        <v>0</v>
      </c>
      <c r="F192" s="64">
        <f t="shared" si="802"/>
        <v>0</v>
      </c>
      <c r="G192" s="64">
        <f t="shared" si="802"/>
        <v>0</v>
      </c>
      <c r="H192" s="64">
        <f t="shared" si="802"/>
        <v>0</v>
      </c>
      <c r="I192" s="64">
        <f t="shared" si="802"/>
        <v>0</v>
      </c>
      <c r="J192" s="64">
        <f t="shared" si="802"/>
        <v>0</v>
      </c>
      <c r="K192" s="64">
        <f t="shared" si="802"/>
        <v>0</v>
      </c>
      <c r="L192" s="64">
        <f t="shared" si="802"/>
        <v>0</v>
      </c>
      <c r="M192" s="64">
        <f t="shared" si="802"/>
        <v>0</v>
      </c>
      <c r="N192" s="64">
        <f t="shared" si="802"/>
        <v>0</v>
      </c>
      <c r="O192" s="64">
        <f>O105-O187</f>
        <v>0</v>
      </c>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row>
    <row r="193" spans="2:38" ht="15.6" hidden="1" outlineLevel="1" x14ac:dyDescent="0.3">
      <c r="B193" s="272" t="s">
        <v>37</v>
      </c>
      <c r="C193" s="273"/>
      <c r="D193" s="157" t="s">
        <v>150</v>
      </c>
      <c r="E193" s="157" t="s">
        <v>151</v>
      </c>
      <c r="F193" s="157" t="s">
        <v>147</v>
      </c>
      <c r="G193" s="157" t="s">
        <v>146</v>
      </c>
      <c r="H193" s="157" t="s">
        <v>146</v>
      </c>
      <c r="I193" s="157" t="s">
        <v>148</v>
      </c>
      <c r="J193" s="157" t="s">
        <v>149</v>
      </c>
      <c r="K193" s="157" t="s">
        <v>145</v>
      </c>
      <c r="L193" s="157" t="s">
        <v>143</v>
      </c>
      <c r="M193" s="157" t="s">
        <v>143</v>
      </c>
      <c r="N193" s="157" t="s">
        <v>152</v>
      </c>
      <c r="O193" s="157" t="s">
        <v>153</v>
      </c>
      <c r="P193" s="119" t="s">
        <v>203</v>
      </c>
      <c r="Q193" s="119" t="s">
        <v>157</v>
      </c>
      <c r="R193" s="119" t="s">
        <v>157</v>
      </c>
      <c r="S193" s="119" t="s">
        <v>207</v>
      </c>
      <c r="T193" s="119" t="s">
        <v>208</v>
      </c>
      <c r="U193" s="119" t="s">
        <v>156</v>
      </c>
      <c r="V193" s="119" t="s">
        <v>158</v>
      </c>
      <c r="W193" s="119" t="s">
        <v>158</v>
      </c>
      <c r="X193" s="119" t="s">
        <v>209</v>
      </c>
      <c r="Y193" s="119" t="s">
        <v>210</v>
      </c>
      <c r="Z193" s="119" t="s">
        <v>212</v>
      </c>
      <c r="AA193" s="119" t="s">
        <v>159</v>
      </c>
      <c r="AB193" s="119" t="s">
        <v>159</v>
      </c>
      <c r="AC193" s="119" t="s">
        <v>213</v>
      </c>
      <c r="AD193" s="119" t="s">
        <v>214</v>
      </c>
      <c r="AE193" s="119" t="s">
        <v>211</v>
      </c>
      <c r="AF193" s="119" t="s">
        <v>160</v>
      </c>
      <c r="AG193" s="119" t="s">
        <v>160</v>
      </c>
      <c r="AH193" s="119" t="s">
        <v>215</v>
      </c>
      <c r="AI193" s="119" t="s">
        <v>216</v>
      </c>
      <c r="AJ193" s="119" t="s">
        <v>217</v>
      </c>
      <c r="AK193" s="119" t="s">
        <v>161</v>
      </c>
      <c r="AL193" s="120" t="s">
        <v>161</v>
      </c>
    </row>
    <row r="194" spans="2:38" ht="16.2" hidden="1" outlineLevel="1" x14ac:dyDescent="0.45">
      <c r="B194" s="274"/>
      <c r="C194" s="275"/>
      <c r="D194" s="158" t="s">
        <v>90</v>
      </c>
      <c r="E194" s="158" t="s">
        <v>96</v>
      </c>
      <c r="F194" s="158" t="s">
        <v>97</v>
      </c>
      <c r="G194" s="158" t="s">
        <v>100</v>
      </c>
      <c r="H194" s="158" t="s">
        <v>101</v>
      </c>
      <c r="I194" s="158" t="s">
        <v>124</v>
      </c>
      <c r="J194" s="158" t="s">
        <v>132</v>
      </c>
      <c r="K194" s="158" t="s">
        <v>135</v>
      </c>
      <c r="L194" s="158" t="s">
        <v>144</v>
      </c>
      <c r="M194" s="158" t="s">
        <v>142</v>
      </c>
      <c r="N194" s="158" t="s">
        <v>154</v>
      </c>
      <c r="O194" s="158" t="s">
        <v>155</v>
      </c>
      <c r="P194" s="121" t="s">
        <v>39</v>
      </c>
      <c r="Q194" s="121" t="s">
        <v>40</v>
      </c>
      <c r="R194" s="121" t="s">
        <v>41</v>
      </c>
      <c r="S194" s="121" t="s">
        <v>42</v>
      </c>
      <c r="T194" s="121" t="s">
        <v>43</v>
      </c>
      <c r="U194" s="121" t="s">
        <v>44</v>
      </c>
      <c r="V194" s="121" t="s">
        <v>45</v>
      </c>
      <c r="W194" s="121" t="s">
        <v>46</v>
      </c>
      <c r="X194" s="121" t="s">
        <v>47</v>
      </c>
      <c r="Y194" s="121" t="s">
        <v>48</v>
      </c>
      <c r="Z194" s="121" t="s">
        <v>49</v>
      </c>
      <c r="AA194" s="121" t="s">
        <v>50</v>
      </c>
      <c r="AB194" s="121" t="s">
        <v>51</v>
      </c>
      <c r="AC194" s="121" t="s">
        <v>102</v>
      </c>
      <c r="AD194" s="121" t="s">
        <v>103</v>
      </c>
      <c r="AE194" s="121" t="s">
        <v>104</v>
      </c>
      <c r="AF194" s="121" t="s">
        <v>105</v>
      </c>
      <c r="AG194" s="121" t="s">
        <v>106</v>
      </c>
      <c r="AH194" s="121" t="s">
        <v>136</v>
      </c>
      <c r="AI194" s="121" t="s">
        <v>137</v>
      </c>
      <c r="AJ194" s="121" t="s">
        <v>138</v>
      </c>
      <c r="AK194" s="121" t="s">
        <v>139</v>
      </c>
      <c r="AL194" s="122" t="s">
        <v>140</v>
      </c>
    </row>
    <row r="195" spans="2:38" ht="16.2" hidden="1" outlineLevel="1" x14ac:dyDescent="0.45">
      <c r="B195" s="289" t="s">
        <v>28</v>
      </c>
      <c r="C195" s="307"/>
      <c r="D195" s="126"/>
      <c r="E195" s="126"/>
      <c r="F195" s="126"/>
      <c r="G195" s="126"/>
      <c r="H195" s="30"/>
      <c r="I195" s="126"/>
      <c r="J195" s="126"/>
      <c r="K195" s="126"/>
      <c r="L195" s="126"/>
      <c r="M195" s="30"/>
      <c r="N195" s="126"/>
      <c r="O195" s="126"/>
      <c r="P195" s="126"/>
      <c r="Q195" s="126"/>
      <c r="R195" s="30"/>
      <c r="S195" s="126"/>
      <c r="T195" s="126"/>
      <c r="U195" s="126"/>
      <c r="V195" s="126"/>
      <c r="W195" s="30"/>
      <c r="X195" s="126"/>
      <c r="Y195" s="126"/>
      <c r="Z195" s="126"/>
      <c r="AA195" s="126"/>
      <c r="AB195" s="30"/>
      <c r="AC195" s="126"/>
      <c r="AD195" s="126"/>
      <c r="AE195" s="126"/>
      <c r="AF195" s="126"/>
      <c r="AG195" s="30"/>
      <c r="AH195" s="126"/>
      <c r="AI195" s="126"/>
      <c r="AJ195" s="126"/>
      <c r="AK195" s="126"/>
      <c r="AL195" s="30"/>
    </row>
    <row r="196" spans="2:38" hidden="1" outlineLevel="1" x14ac:dyDescent="0.3">
      <c r="B196" s="260" t="s">
        <v>38</v>
      </c>
      <c r="C196" s="297"/>
      <c r="D196" s="57"/>
      <c r="E196" s="65">
        <f>E154/(AVERAGE(E110,D110))</f>
        <v>5.9900166389351084E-2</v>
      </c>
      <c r="F196" s="65">
        <f>F154/(AVERAGE(F110,E110))</f>
        <v>5.5875102711585869E-2</v>
      </c>
      <c r="G196" s="65">
        <f>G154/(AVERAGE(G110,F110))</f>
        <v>5.3527980535279802E-2</v>
      </c>
      <c r="H196" s="58"/>
      <c r="I196" s="65">
        <f>I154/(AVERAGE(I110,G110))</f>
        <v>5.5599682287529782E-2</v>
      </c>
      <c r="J196" s="65">
        <f>J154/(AVERAGE(J110,I110))</f>
        <v>5.6118472330475448E-2</v>
      </c>
      <c r="K196" s="65">
        <f t="shared" ref="K196:L196" si="803">K154/(AVERAGE(K110,J110))</f>
        <v>5.8103975535168197E-2</v>
      </c>
      <c r="L196" s="65">
        <f t="shared" si="803"/>
        <v>5.8867924528301883E-2</v>
      </c>
      <c r="M196" s="58"/>
      <c r="N196" s="65">
        <f>N154/(AVERAGE(N110,L110))</f>
        <v>5.7059253840526701E-2</v>
      </c>
      <c r="O196" s="65">
        <f>O154/(AVERAGE(O110,N110))</f>
        <v>5.4469273743016758E-2</v>
      </c>
      <c r="P196" s="187">
        <v>5.2999999999999999E-2</v>
      </c>
      <c r="Q196" s="187">
        <v>5.2999999999999999E-2</v>
      </c>
      <c r="R196" s="58"/>
      <c r="S196" s="187">
        <v>5.2999999999999999E-2</v>
      </c>
      <c r="T196" s="187">
        <v>5.2999999999999999E-2</v>
      </c>
      <c r="U196" s="187">
        <v>5.2999999999999999E-2</v>
      </c>
      <c r="V196" s="187">
        <v>5.2999999999999999E-2</v>
      </c>
      <c r="W196" s="58"/>
      <c r="X196" s="187">
        <v>5.2999999999999999E-2</v>
      </c>
      <c r="Y196" s="187">
        <v>5.2999999999999999E-2</v>
      </c>
      <c r="Z196" s="187">
        <v>5.2999999999999999E-2</v>
      </c>
      <c r="AA196" s="187">
        <v>5.2999999999999999E-2</v>
      </c>
      <c r="AB196" s="58"/>
      <c r="AC196" s="187">
        <v>5.2999999999999999E-2</v>
      </c>
      <c r="AD196" s="187">
        <v>5.2999999999999999E-2</v>
      </c>
      <c r="AE196" s="187">
        <v>5.2999999999999999E-2</v>
      </c>
      <c r="AF196" s="187">
        <v>5.2999999999999999E-2</v>
      </c>
      <c r="AG196" s="58"/>
      <c r="AH196" s="187">
        <v>5.2999999999999999E-2</v>
      </c>
      <c r="AI196" s="187">
        <v>5.2999999999999999E-2</v>
      </c>
      <c r="AJ196" s="187">
        <v>5.2999999999999999E-2</v>
      </c>
      <c r="AK196" s="187">
        <v>5.2999999999999999E-2</v>
      </c>
      <c r="AL196" s="58"/>
    </row>
    <row r="197" spans="2:38" s="67" customFormat="1" hidden="1" outlineLevel="1" x14ac:dyDescent="0.3">
      <c r="B197" s="282" t="s">
        <v>69</v>
      </c>
      <c r="C197" s="298"/>
      <c r="D197" s="65"/>
      <c r="E197" s="65">
        <f>E167/D167-1</f>
        <v>-0.66911764705882359</v>
      </c>
      <c r="F197" s="65">
        <f>F167/E167-1</f>
        <v>-0.14444444444444449</v>
      </c>
      <c r="G197" s="65">
        <f>G167/F167-1</f>
        <v>2.5454545454545454</v>
      </c>
      <c r="H197" s="66"/>
      <c r="I197" s="65">
        <f>I167/G167-1</f>
        <v>-0.21978021978021978</v>
      </c>
      <c r="J197" s="65">
        <f>J167/I167-1</f>
        <v>-0.431924882629108</v>
      </c>
      <c r="K197" s="65">
        <f>K167/J167-1</f>
        <v>-0.33884297520661155</v>
      </c>
      <c r="L197" s="65">
        <f>L167/K167-1</f>
        <v>3.1375000000000002</v>
      </c>
      <c r="M197" s="66">
        <f>M167/H167-1</f>
        <v>4.6348314606741603E-2</v>
      </c>
      <c r="N197" s="65">
        <f>N167/L167-1</f>
        <v>-0.3595166163141994</v>
      </c>
      <c r="O197" s="65">
        <f>O167/N167-1</f>
        <v>-0.25943396226415094</v>
      </c>
      <c r="P197" s="65">
        <f>P167/O167-1</f>
        <v>-0.34318471337579592</v>
      </c>
      <c r="Q197" s="65">
        <f>Q167/P167-1</f>
        <v>1.8176484720834436</v>
      </c>
      <c r="R197" s="66">
        <f>R167/M167-1</f>
        <v>2.3726054283550013E-2</v>
      </c>
      <c r="S197" s="65">
        <f>S167/Q167-1</f>
        <v>0.50019125344702964</v>
      </c>
      <c r="T197" s="65">
        <f>T167/S167-1</f>
        <v>-1.0675689133565887</v>
      </c>
      <c r="U197" s="65">
        <f>U167/T167-1</f>
        <v>-9.2856940678416571</v>
      </c>
      <c r="V197" s="65">
        <f>V167/U167-1</f>
        <v>0.49463033923587907</v>
      </c>
      <c r="W197" s="66">
        <f>W167/R167-1</f>
        <v>0.33112116955065396</v>
      </c>
      <c r="X197" s="65">
        <f>X167/V167-1</f>
        <v>-0.53059904760996512</v>
      </c>
      <c r="Y197" s="65">
        <f>Y167/X167-1</f>
        <v>-1.1418409998538825E-2</v>
      </c>
      <c r="Z197" s="65">
        <f>Z167/Y167-1</f>
        <v>-0.18030377224425487</v>
      </c>
      <c r="AA197" s="65">
        <f>AA167/Z167-1</f>
        <v>0.86774374418126565</v>
      </c>
      <c r="AB197" s="66">
        <f>AB167/W167-1</f>
        <v>-0.27273398423207773</v>
      </c>
      <c r="AC197" s="65">
        <f>AC167/AA167-1</f>
        <v>-9.6537593186389326E-2</v>
      </c>
      <c r="AD197" s="65">
        <f>AD167/AC167-1</f>
        <v>-0.18276683627096724</v>
      </c>
      <c r="AE197" s="65">
        <f>AE167/AD167-1</f>
        <v>0.239719526762735</v>
      </c>
      <c r="AF197" s="65">
        <f>AF167/AE167-1</f>
        <v>-9.1353893426768917E-2</v>
      </c>
      <c r="AG197" s="66">
        <f>AG167/AB167-1</f>
        <v>0.18936220502163592</v>
      </c>
      <c r="AH197" s="65">
        <f>AH167/AF167-1</f>
        <v>0.12355932655355906</v>
      </c>
      <c r="AI197" s="65">
        <f>AI167/AH167-1</f>
        <v>-0.40709463995518713</v>
      </c>
      <c r="AJ197" s="65">
        <f>AJ167/AI167-1</f>
        <v>1.0560847206594062</v>
      </c>
      <c r="AK197" s="65">
        <f>AK167/AJ167-1</f>
        <v>-0.79038952350399583</v>
      </c>
      <c r="AL197" s="66">
        <f>AL167/AG167-1</f>
        <v>-0.1541328861136676</v>
      </c>
    </row>
    <row r="198" spans="2:38" s="67" customFormat="1" hidden="1" outlineLevel="1" x14ac:dyDescent="0.3">
      <c r="B198" s="211" t="s">
        <v>87</v>
      </c>
      <c r="C198" s="222"/>
      <c r="D198" s="65"/>
      <c r="E198" s="65">
        <f>-E170/E12</f>
        <v>2.5594149908592323E-2</v>
      </c>
      <c r="F198" s="65">
        <f>-F170/F12</f>
        <v>2.5996533795493933E-2</v>
      </c>
      <c r="G198" s="65">
        <f>-G170/G12</f>
        <v>2.9304029304029304E-2</v>
      </c>
      <c r="H198" s="66">
        <f>-H170/H12</f>
        <v>2.5870507621311704E-2</v>
      </c>
      <c r="I198" s="65">
        <f>-I170/I12</f>
        <v>3.1315240083507306E-2</v>
      </c>
      <c r="J198" s="65">
        <f>-J170/J12</f>
        <v>3.303834808259587E-2</v>
      </c>
      <c r="K198" s="65">
        <f>-K170/K12</f>
        <v>3.2329988851727984E-2</v>
      </c>
      <c r="L198" s="65">
        <f>-L170/L12</f>
        <v>2.6905829596412557E-2</v>
      </c>
      <c r="M198" s="66">
        <f>-M170/M12</f>
        <v>3.076092822450081E-2</v>
      </c>
      <c r="N198" s="65">
        <f>-N170/N12</f>
        <v>3.2712632108706591E-2</v>
      </c>
      <c r="O198" s="65">
        <f>-O170/O12</f>
        <v>3.707865168539326E-2</v>
      </c>
      <c r="P198" s="65">
        <f>-P170/P12</f>
        <v>3.6744432661717917E-2</v>
      </c>
      <c r="Q198" s="65">
        <f>-Q170/Q12</f>
        <v>3.4650000000000007E-2</v>
      </c>
      <c r="R198" s="66">
        <f>-R170/R12</f>
        <v>3.5220559783309686E-2</v>
      </c>
      <c r="S198" s="65">
        <f>-S170/S12</f>
        <v>3.5689500000000013E-2</v>
      </c>
      <c r="T198" s="65">
        <f>-T170/T12</f>
        <v>3.9555862499999997E-2</v>
      </c>
      <c r="U198" s="65">
        <f>-U170/U12</f>
        <v>3.7024287300000014E-2</v>
      </c>
      <c r="V198" s="65">
        <f>-V170/V12</f>
        <v>3.565550591285524E-2</v>
      </c>
      <c r="W198" s="66">
        <f>-W170/W12</f>
        <v>3.6904034822438404E-2</v>
      </c>
      <c r="X198" s="65">
        <f>-X170/X12</f>
        <v>3.6324781813955341E-2</v>
      </c>
      <c r="Y198" s="65">
        <f>-Y170/Y12</f>
        <v>3.7187273289061594E-2</v>
      </c>
      <c r="Z198" s="65">
        <f>-Z170/Z12</f>
        <v>3.6413939647115055E-2</v>
      </c>
      <c r="AA198" s="65">
        <f>-AA170/AA12</f>
        <v>3.4871866984279146E-2</v>
      </c>
      <c r="AB198" s="66">
        <f>-AB170/AB12</f>
        <v>3.6179856701156518E-2</v>
      </c>
      <c r="AC198" s="65">
        <f>-AC170/AC12</f>
        <v>3.5562750756956793E-2</v>
      </c>
      <c r="AD198" s="65">
        <f>-AD170/AD12</f>
        <v>3.6451502081653708E-2</v>
      </c>
      <c r="AE198" s="65">
        <f>-AE170/AE12</f>
        <v>3.5667241438648037E-2</v>
      </c>
      <c r="AF198" s="65">
        <f>-AF170/AF12</f>
        <v>3.4099583182916081E-2</v>
      </c>
      <c r="AG198" s="66">
        <f>-AG170/AG12</f>
        <v>3.5424618490109722E-2</v>
      </c>
      <c r="AH198" s="65">
        <f>-AH170/AH12</f>
        <v>3.4812004163175987E-2</v>
      </c>
      <c r="AI198" s="65">
        <f>-AI170/AI12</f>
        <v>3.5727193707040306E-2</v>
      </c>
      <c r="AJ198" s="65">
        <f>-AJ170/AJ12</f>
        <v>3.4931601389072253E-2</v>
      </c>
      <c r="AK198" s="65">
        <f>-AK170/AK12</f>
        <v>3.3337978005108432E-2</v>
      </c>
      <c r="AL198" s="66">
        <f>-AL170/AL12</f>
        <v>3.4680436812861259E-2</v>
      </c>
    </row>
    <row r="199" spans="2:38" ht="16.2" hidden="1" outlineLevel="1" x14ac:dyDescent="0.45">
      <c r="B199" s="308" t="s">
        <v>53</v>
      </c>
      <c r="C199" s="309"/>
      <c r="D199" s="56"/>
      <c r="E199" s="98">
        <f>E170/D170-1</f>
        <v>0</v>
      </c>
      <c r="F199" s="98">
        <f t="shared" ref="F199:G199" si="804">F170/E170-1</f>
        <v>7.1428571428571397E-2</v>
      </c>
      <c r="G199" s="98">
        <f t="shared" si="804"/>
        <v>0.24444444444444446</v>
      </c>
      <c r="H199" s="30"/>
      <c r="I199" s="98">
        <f>I170/G170-1</f>
        <v>7.1428571428571397E-2</v>
      </c>
      <c r="J199" s="98">
        <f>J170/I170-1</f>
        <v>-6.6666666666666652E-2</v>
      </c>
      <c r="K199" s="98">
        <f t="shared" ref="K199:L199" si="805">K170/J170-1</f>
        <v>3.5714285714285809E-2</v>
      </c>
      <c r="L199" s="98">
        <f t="shared" si="805"/>
        <v>-6.8965517241379337E-2</v>
      </c>
      <c r="M199" s="30"/>
      <c r="N199" s="98">
        <f>N170/L170-1</f>
        <v>0.20370370370370372</v>
      </c>
      <c r="O199" s="98">
        <f>O170/N170-1</f>
        <v>1.538461538461533E-2</v>
      </c>
      <c r="P199" s="186">
        <v>0.05</v>
      </c>
      <c r="Q199" s="186">
        <v>0.05</v>
      </c>
      <c r="R199" s="30"/>
      <c r="S199" s="186">
        <v>0.03</v>
      </c>
      <c r="T199" s="186">
        <v>-0.05</v>
      </c>
      <c r="U199" s="186">
        <v>0.04</v>
      </c>
      <c r="V199" s="186">
        <v>-0.05</v>
      </c>
      <c r="W199" s="30"/>
      <c r="X199" s="186">
        <v>0</v>
      </c>
      <c r="Y199" s="186">
        <v>0</v>
      </c>
      <c r="Z199" s="186">
        <v>0</v>
      </c>
      <c r="AA199" s="186">
        <v>0</v>
      </c>
      <c r="AB199" s="30"/>
      <c r="AC199" s="186">
        <v>0</v>
      </c>
      <c r="AD199" s="186">
        <v>0</v>
      </c>
      <c r="AE199" s="186">
        <v>0</v>
      </c>
      <c r="AF199" s="186">
        <v>0</v>
      </c>
      <c r="AG199" s="30"/>
      <c r="AH199" s="186">
        <v>0</v>
      </c>
      <c r="AI199" s="186">
        <v>0</v>
      </c>
      <c r="AJ199" s="186">
        <v>0</v>
      </c>
      <c r="AK199" s="186">
        <v>0</v>
      </c>
      <c r="AL199" s="30"/>
    </row>
    <row r="200" spans="2:38" ht="16.2" hidden="1" outlineLevel="1" x14ac:dyDescent="0.45">
      <c r="C200" s="128"/>
      <c r="D200" s="44"/>
      <c r="E200" s="45"/>
      <c r="F200" s="44"/>
      <c r="G200" s="44"/>
      <c r="H200" s="45"/>
      <c r="I200" s="44"/>
      <c r="J200" s="44"/>
      <c r="K200" s="44"/>
      <c r="L200" s="44"/>
      <c r="M200" s="45"/>
      <c r="N200" s="44"/>
      <c r="O200" s="44"/>
      <c r="P200" s="44"/>
      <c r="Q200" s="44"/>
      <c r="R200" s="45"/>
      <c r="S200" s="44"/>
      <c r="T200" s="44"/>
      <c r="U200" s="44"/>
      <c r="V200" s="44"/>
      <c r="W200" s="45"/>
      <c r="X200" s="44"/>
      <c r="Y200" s="44"/>
      <c r="Z200" s="44"/>
      <c r="AA200" s="44"/>
      <c r="AB200" s="45"/>
      <c r="AC200" s="44"/>
      <c r="AD200" s="44"/>
      <c r="AE200" s="44"/>
      <c r="AF200" s="44"/>
      <c r="AG200" s="45"/>
      <c r="AH200" s="44"/>
      <c r="AI200" s="44"/>
      <c r="AJ200" s="44"/>
      <c r="AK200" s="44"/>
      <c r="AL200" s="45"/>
    </row>
    <row r="201" spans="2:38" ht="16.2" collapsed="1" x14ac:dyDescent="0.45">
      <c r="C201" s="128"/>
      <c r="D201" s="125"/>
      <c r="E201" s="126"/>
      <c r="F201" s="125"/>
      <c r="G201" s="125"/>
      <c r="H201" s="126"/>
      <c r="I201" s="125"/>
      <c r="J201" s="125"/>
      <c r="K201" s="125"/>
      <c r="L201" s="125"/>
      <c r="M201" s="126"/>
      <c r="N201" s="125"/>
      <c r="O201" s="125"/>
      <c r="P201" s="125"/>
      <c r="Q201" s="125"/>
      <c r="R201" s="126"/>
      <c r="S201" s="125"/>
      <c r="T201" s="125"/>
      <c r="U201" s="125"/>
      <c r="V201" s="125"/>
      <c r="W201" s="126"/>
      <c r="X201" s="125"/>
      <c r="Y201" s="125"/>
      <c r="Z201" s="125"/>
      <c r="AA201" s="125"/>
      <c r="AB201" s="126"/>
      <c r="AC201" s="125"/>
      <c r="AD201" s="125"/>
      <c r="AE201" s="125"/>
      <c r="AF201" s="125"/>
      <c r="AG201" s="126"/>
      <c r="AH201" s="125"/>
      <c r="AI201" s="125"/>
      <c r="AJ201" s="125"/>
      <c r="AK201" s="125"/>
      <c r="AL201" s="126"/>
    </row>
    <row r="202" spans="2:38" ht="15.6" x14ac:dyDescent="0.3">
      <c r="B202" s="118" t="s">
        <v>27</v>
      </c>
      <c r="C202" s="117"/>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row>
    <row r="203" spans="2:38" x14ac:dyDescent="0.3">
      <c r="B203" s="7" t="s">
        <v>108</v>
      </c>
      <c r="C203" s="207">
        <v>12.208743677224733</v>
      </c>
      <c r="D203" s="17"/>
      <c r="E203" s="109"/>
      <c r="F203" s="11"/>
      <c r="G203" s="11"/>
      <c r="H203" s="133"/>
      <c r="I203" s="17"/>
      <c r="J203" s="133"/>
      <c r="K203" s="11"/>
      <c r="L203" s="11"/>
      <c r="M203" s="133"/>
      <c r="N203" s="17"/>
      <c r="O203" s="133"/>
      <c r="P203" s="11"/>
      <c r="Q203" s="11"/>
      <c r="R203" s="133"/>
      <c r="S203" s="17"/>
      <c r="T203" s="133"/>
      <c r="U203" s="11"/>
      <c r="V203" s="11"/>
      <c r="W203" s="133"/>
      <c r="X203" s="17"/>
      <c r="Y203" s="133"/>
      <c r="Z203" s="11"/>
      <c r="AA203" s="11"/>
      <c r="AB203" s="133"/>
      <c r="AC203" s="17"/>
      <c r="AD203" s="133"/>
      <c r="AE203" s="11"/>
      <c r="AF203" s="11"/>
      <c r="AG203" s="133"/>
      <c r="AH203" s="17"/>
      <c r="AI203" s="133"/>
      <c r="AJ203" s="11"/>
      <c r="AK203" s="11"/>
      <c r="AL203" s="133"/>
    </row>
    <row r="204" spans="2:38" x14ac:dyDescent="0.3">
      <c r="B204" s="7" t="s">
        <v>109</v>
      </c>
      <c r="C204" s="208">
        <v>13.46666705882353</v>
      </c>
      <c r="D204" s="155"/>
      <c r="E204" s="130"/>
      <c r="F204" s="156"/>
      <c r="G204" s="156"/>
      <c r="H204" s="156"/>
      <c r="I204" s="155"/>
      <c r="J204" s="155"/>
      <c r="K204" s="156"/>
      <c r="L204" s="156"/>
      <c r="M204" s="156"/>
      <c r="N204" s="155"/>
      <c r="O204" s="155"/>
      <c r="P204" s="156"/>
      <c r="Q204" s="156"/>
      <c r="R204" s="156"/>
      <c r="S204" s="155"/>
      <c r="T204" s="155"/>
    </row>
    <row r="205" spans="2:38" x14ac:dyDescent="0.3">
      <c r="B205" s="7" t="s">
        <v>110</v>
      </c>
      <c r="C205" s="208">
        <v>11.533491764705884</v>
      </c>
      <c r="D205" s="155"/>
      <c r="E205" s="130"/>
      <c r="F205" s="156"/>
      <c r="G205" s="156"/>
      <c r="H205" s="156"/>
      <c r="I205" s="155"/>
      <c r="J205" s="155"/>
      <c r="K205" s="156"/>
      <c r="L205" s="156"/>
      <c r="M205" s="156"/>
      <c r="N205" s="155"/>
      <c r="O205" s="155"/>
      <c r="P205" s="156"/>
      <c r="Q205" s="156"/>
      <c r="R205" s="156"/>
      <c r="S205" s="155"/>
      <c r="T205" s="155"/>
    </row>
    <row r="206" spans="2:38" x14ac:dyDescent="0.3">
      <c r="B206" s="7" t="s">
        <v>70</v>
      </c>
      <c r="C206" s="209">
        <v>12.461</v>
      </c>
      <c r="D206" s="155"/>
      <c r="E206" s="130"/>
      <c r="F206" s="156"/>
      <c r="G206" s="156"/>
      <c r="H206" s="156"/>
      <c r="I206" s="155"/>
      <c r="J206" s="155"/>
      <c r="K206" s="156"/>
      <c r="L206" s="156"/>
      <c r="M206" s="156"/>
      <c r="N206" s="155"/>
      <c r="O206" s="155"/>
      <c r="P206" s="156"/>
      <c r="Q206" s="156"/>
      <c r="R206" s="156"/>
      <c r="S206" s="155"/>
      <c r="T206" s="155"/>
    </row>
    <row r="207" spans="2:38" x14ac:dyDescent="0.3">
      <c r="B207" s="148" t="s">
        <v>52</v>
      </c>
      <c r="C207" s="89">
        <f>P188</f>
        <v>5.5074626865671643</v>
      </c>
      <c r="D207" s="41"/>
      <c r="E207" s="59"/>
      <c r="F207" s="41"/>
      <c r="G207" s="41"/>
      <c r="H207" s="59"/>
      <c r="I207" s="41"/>
      <c r="J207" s="41"/>
      <c r="K207" s="41"/>
      <c r="L207" s="41"/>
      <c r="M207" s="59"/>
      <c r="N207" s="41"/>
      <c r="O207" s="41"/>
      <c r="P207" s="41"/>
      <c r="Q207" s="41"/>
      <c r="R207" s="59"/>
      <c r="S207" s="41"/>
      <c r="T207" s="41"/>
      <c r="U207" s="41"/>
      <c r="V207" s="41"/>
      <c r="W207" s="59"/>
      <c r="X207" s="41"/>
      <c r="Y207" s="41"/>
      <c r="Z207" s="41"/>
      <c r="AA207" s="41"/>
      <c r="AB207" s="59"/>
      <c r="AC207" s="41"/>
      <c r="AD207" s="41"/>
      <c r="AE207" s="41"/>
      <c r="AF207" s="41"/>
      <c r="AG207" s="59"/>
      <c r="AH207" s="41"/>
      <c r="AI207" s="41"/>
      <c r="AJ207" s="41"/>
      <c r="AK207" s="41"/>
      <c r="AL207" s="59"/>
    </row>
    <row r="208" spans="2:38" x14ac:dyDescent="0.3">
      <c r="B208" s="61" t="s">
        <v>129</v>
      </c>
      <c r="C208" s="203">
        <f>(C206*(S28+T28+U28+Q28)+C207)</f>
        <v>69.001851404670603</v>
      </c>
      <c r="D208" s="155"/>
      <c r="E208" s="130"/>
      <c r="F208" s="156"/>
      <c r="G208" s="156"/>
      <c r="H208" s="156"/>
      <c r="I208" s="155"/>
      <c r="J208" s="155"/>
      <c r="K208" s="156"/>
      <c r="L208" s="156"/>
      <c r="M208" s="156"/>
      <c r="N208" s="155"/>
      <c r="O208" s="155"/>
      <c r="P208" s="156"/>
      <c r="Q208" s="156"/>
      <c r="R208" s="156"/>
      <c r="S208" s="155"/>
      <c r="T208" s="155"/>
    </row>
    <row r="209" spans="1:60" ht="108" customHeight="1" x14ac:dyDescent="0.3">
      <c r="B209" s="310" t="s">
        <v>267</v>
      </c>
      <c r="C209" s="311"/>
      <c r="D209" s="155"/>
      <c r="E209" s="130"/>
      <c r="F209" s="156"/>
      <c r="G209" s="156"/>
      <c r="H209" s="156"/>
      <c r="I209" s="155"/>
      <c r="J209" s="155"/>
      <c r="K209" s="156"/>
      <c r="L209" s="156"/>
      <c r="M209" s="156"/>
      <c r="N209" s="155"/>
      <c r="O209" s="155"/>
      <c r="P209" s="156"/>
      <c r="Q209" s="156"/>
      <c r="R209" s="156"/>
      <c r="S209" s="155"/>
      <c r="T209" s="155"/>
    </row>
    <row r="210" spans="1:60" ht="15" customHeight="1" x14ac:dyDescent="0.3">
      <c r="B210" s="301" t="s">
        <v>111</v>
      </c>
      <c r="C210" s="302"/>
      <c r="D210" s="155"/>
      <c r="E210" s="130"/>
      <c r="F210" s="156"/>
      <c r="G210" s="156"/>
      <c r="H210" s="156"/>
      <c r="I210" s="155"/>
      <c r="J210" s="155"/>
      <c r="K210" s="156"/>
      <c r="L210" s="156"/>
      <c r="M210" s="156"/>
      <c r="N210" s="155"/>
      <c r="O210" s="155"/>
      <c r="P210" s="156"/>
      <c r="Q210" s="156"/>
      <c r="R210" s="156"/>
      <c r="S210" s="155"/>
      <c r="T210" s="155"/>
    </row>
    <row r="211" spans="1:60" x14ac:dyDescent="0.3">
      <c r="B211" s="303"/>
      <c r="C211" s="304"/>
      <c r="D211" s="155"/>
      <c r="E211" s="130"/>
      <c r="F211" s="156"/>
      <c r="G211" s="156"/>
      <c r="H211" s="156"/>
      <c r="I211" s="155"/>
      <c r="J211" s="155"/>
      <c r="K211" s="156"/>
      <c r="L211" s="156"/>
      <c r="M211" s="156"/>
      <c r="N211" s="155"/>
      <c r="O211" s="155"/>
      <c r="P211" s="156"/>
      <c r="Q211" s="156"/>
      <c r="R211" s="156"/>
      <c r="S211" s="155"/>
      <c r="T211" s="155"/>
    </row>
    <row r="212" spans="1:60" x14ac:dyDescent="0.3">
      <c r="B212" s="303"/>
      <c r="C212" s="304"/>
      <c r="D212" s="155"/>
      <c r="E212" s="130"/>
      <c r="F212" s="156"/>
      <c r="G212" s="156"/>
      <c r="H212" s="156"/>
      <c r="I212" s="155"/>
      <c r="J212" s="155"/>
      <c r="K212" s="156"/>
      <c r="L212" s="156"/>
      <c r="M212" s="156"/>
      <c r="N212" s="155"/>
      <c r="O212" s="155"/>
      <c r="P212" s="156"/>
      <c r="Q212" s="156"/>
      <c r="R212" s="156"/>
      <c r="S212" s="155"/>
      <c r="T212" s="155"/>
    </row>
    <row r="213" spans="1:60" s="147" customFormat="1" x14ac:dyDescent="0.3">
      <c r="A213" s="144"/>
      <c r="B213" s="312"/>
      <c r="C213" s="313"/>
      <c r="D213" s="145"/>
      <c r="E213" s="23"/>
      <c r="I213" s="145"/>
      <c r="J213" s="145"/>
      <c r="N213" s="145"/>
      <c r="O213" s="145"/>
      <c r="S213" s="145"/>
      <c r="T213" s="145"/>
      <c r="X213" s="145"/>
      <c r="Y213" s="145"/>
      <c r="AC213" s="145"/>
      <c r="AD213" s="145"/>
      <c r="AH213" s="145"/>
      <c r="AI213" s="145"/>
      <c r="AM213" s="144"/>
      <c r="AN213" s="144"/>
      <c r="AO213" s="144"/>
      <c r="AP213" s="144"/>
      <c r="AQ213" s="144"/>
      <c r="AR213" s="144"/>
      <c r="AS213" s="144"/>
      <c r="AT213" s="144"/>
      <c r="AU213" s="144"/>
      <c r="AV213" s="144"/>
      <c r="AW213" s="144"/>
      <c r="AX213" s="144"/>
      <c r="AY213" s="144"/>
      <c r="AZ213" s="144"/>
      <c r="BA213" s="144"/>
      <c r="BB213" s="144"/>
      <c r="BC213" s="144"/>
      <c r="BD213" s="144"/>
      <c r="BE213" s="144"/>
      <c r="BF213" s="144"/>
      <c r="BG213" s="144"/>
      <c r="BH213" s="144"/>
    </row>
    <row r="214" spans="1:60" s="147" customFormat="1" x14ac:dyDescent="0.3">
      <c r="A214" s="144"/>
      <c r="B214" s="153"/>
      <c r="C214" s="145"/>
      <c r="D214" s="145"/>
      <c r="E214" s="145"/>
      <c r="I214" s="145"/>
      <c r="J214" s="145"/>
      <c r="N214" s="145"/>
      <c r="O214" s="145"/>
      <c r="S214" s="145"/>
      <c r="T214" s="145"/>
      <c r="X214" s="145"/>
      <c r="Y214" s="145"/>
      <c r="AC214" s="145"/>
      <c r="AD214" s="145"/>
      <c r="AH214" s="145"/>
      <c r="AI214" s="145"/>
      <c r="AM214" s="144"/>
      <c r="AN214" s="144"/>
      <c r="AO214" s="144"/>
      <c r="AP214" s="144"/>
      <c r="AQ214" s="144"/>
      <c r="AR214" s="144"/>
      <c r="AS214" s="144"/>
      <c r="AT214" s="144"/>
      <c r="AU214" s="144"/>
      <c r="AV214" s="144"/>
      <c r="AW214" s="144"/>
      <c r="AX214" s="144"/>
      <c r="AY214" s="144"/>
      <c r="AZ214" s="144"/>
      <c r="BA214" s="144"/>
      <c r="BB214" s="144"/>
      <c r="BC214" s="144"/>
      <c r="BD214" s="144"/>
      <c r="BE214" s="144"/>
      <c r="BF214" s="144"/>
      <c r="BG214" s="144"/>
      <c r="BH214" s="144"/>
    </row>
    <row r="215" spans="1:60" s="147" customFormat="1" ht="15.6" x14ac:dyDescent="0.3">
      <c r="A215" s="144"/>
      <c r="B215" s="118" t="s">
        <v>59</v>
      </c>
      <c r="C215" s="117"/>
      <c r="D215" s="145"/>
      <c r="E215" s="145"/>
      <c r="I215" s="145"/>
      <c r="J215" s="145"/>
      <c r="N215" s="145"/>
      <c r="O215" s="145"/>
      <c r="S215" s="145"/>
      <c r="T215" s="145"/>
      <c r="X215" s="145"/>
      <c r="Y215" s="145"/>
      <c r="AC215" s="145"/>
      <c r="AD215" s="145"/>
      <c r="AH215" s="145"/>
      <c r="AI215" s="145"/>
      <c r="AM215" s="144"/>
      <c r="AN215" s="144"/>
      <c r="AO215" s="144"/>
      <c r="AP215" s="144"/>
      <c r="AQ215" s="144"/>
      <c r="AR215" s="144"/>
      <c r="AS215" s="144"/>
      <c r="AT215" s="144"/>
      <c r="AU215" s="144"/>
      <c r="AV215" s="144"/>
      <c r="AW215" s="144"/>
      <c r="AX215" s="144"/>
      <c r="AY215" s="144"/>
      <c r="AZ215" s="144"/>
      <c r="BA215" s="144"/>
      <c r="BB215" s="144"/>
      <c r="BC215" s="144"/>
      <c r="BD215" s="144"/>
      <c r="BE215" s="144"/>
      <c r="BF215" s="144"/>
      <c r="BG215" s="144"/>
      <c r="BH215" s="144"/>
    </row>
    <row r="216" spans="1:60" s="147" customFormat="1" outlineLevel="1" x14ac:dyDescent="0.3">
      <c r="A216" s="144"/>
      <c r="B216" s="14" t="s">
        <v>68</v>
      </c>
      <c r="C216" s="62"/>
      <c r="D216" s="145"/>
      <c r="E216" s="145"/>
      <c r="I216" s="145"/>
      <c r="J216" s="145"/>
      <c r="N216" s="145"/>
      <c r="O216" s="145"/>
      <c r="S216" s="145"/>
      <c r="T216" s="145"/>
      <c r="X216" s="145"/>
      <c r="Y216" s="145"/>
      <c r="AC216" s="145"/>
      <c r="AD216" s="145"/>
      <c r="AH216" s="145"/>
      <c r="AI216" s="145"/>
      <c r="AM216" s="144"/>
      <c r="AN216" s="144"/>
      <c r="AO216" s="144"/>
      <c r="AP216" s="144"/>
      <c r="AQ216" s="144"/>
      <c r="AR216" s="144"/>
      <c r="AS216" s="144"/>
      <c r="AT216" s="144"/>
      <c r="AU216" s="144"/>
      <c r="AV216" s="144"/>
      <c r="AW216" s="144"/>
      <c r="AX216" s="144"/>
      <c r="AY216" s="144"/>
      <c r="AZ216" s="144"/>
      <c r="BA216" s="144"/>
      <c r="BB216" s="144"/>
      <c r="BC216" s="144"/>
      <c r="BD216" s="144"/>
      <c r="BE216" s="144"/>
      <c r="BF216" s="144"/>
      <c r="BG216" s="144"/>
      <c r="BH216" s="144"/>
    </row>
    <row r="217" spans="1:60" s="147" customFormat="1" outlineLevel="1" x14ac:dyDescent="0.3">
      <c r="A217" s="144"/>
      <c r="B217" s="148" t="s">
        <v>60</v>
      </c>
      <c r="C217" s="197">
        <v>74</v>
      </c>
      <c r="D217" s="145"/>
      <c r="E217" s="145"/>
      <c r="I217" s="145"/>
      <c r="J217" s="145"/>
      <c r="N217" s="145"/>
      <c r="O217" s="145"/>
      <c r="S217" s="145"/>
      <c r="T217" s="145"/>
      <c r="X217" s="145"/>
      <c r="Y217" s="145"/>
      <c r="AC217" s="145"/>
      <c r="AD217" s="145"/>
      <c r="AH217" s="145"/>
      <c r="AI217" s="145"/>
      <c r="AM217" s="144"/>
      <c r="AN217" s="144"/>
      <c r="AO217" s="144"/>
      <c r="AP217" s="144"/>
      <c r="AQ217" s="144"/>
      <c r="AR217" s="144"/>
      <c r="AS217" s="144"/>
      <c r="AT217" s="144"/>
      <c r="AU217" s="144"/>
      <c r="AV217" s="144"/>
      <c r="AW217" s="144"/>
      <c r="AX217" s="144"/>
      <c r="AY217" s="144"/>
      <c r="AZ217" s="144"/>
      <c r="BA217" s="144"/>
      <c r="BB217" s="144"/>
      <c r="BC217" s="144"/>
      <c r="BD217" s="144"/>
      <c r="BE217" s="144"/>
      <c r="BF217" s="144"/>
      <c r="BG217" s="144"/>
      <c r="BH217" s="144"/>
    </row>
    <row r="218" spans="1:60" s="147" customFormat="1" ht="16.2" outlineLevel="1" x14ac:dyDescent="0.45">
      <c r="A218" s="144"/>
      <c r="B218" s="148" t="s">
        <v>61</v>
      </c>
      <c r="C218" s="327">
        <f>P25</f>
        <v>134</v>
      </c>
      <c r="D218" s="145"/>
      <c r="E218" s="145"/>
      <c r="I218" s="145"/>
      <c r="J218" s="145"/>
      <c r="N218" s="145"/>
      <c r="O218" s="145"/>
      <c r="S218" s="145"/>
      <c r="T218" s="145"/>
      <c r="X218" s="145"/>
      <c r="Y218" s="145"/>
      <c r="AC218" s="145"/>
      <c r="AD218" s="145"/>
      <c r="AH218" s="145"/>
      <c r="AI218" s="145"/>
      <c r="AM218" s="144"/>
      <c r="AN218" s="144"/>
      <c r="AO218" s="144"/>
      <c r="AP218" s="144"/>
      <c r="AQ218" s="144"/>
      <c r="AR218" s="144"/>
      <c r="AS218" s="144"/>
      <c r="AT218" s="144"/>
      <c r="AU218" s="144"/>
      <c r="AV218" s="144"/>
      <c r="AW218" s="144"/>
      <c r="AX218" s="144"/>
      <c r="AY218" s="144"/>
      <c r="AZ218" s="144"/>
      <c r="BA218" s="144"/>
      <c r="BB218" s="144"/>
      <c r="BC218" s="144"/>
      <c r="BD218" s="144"/>
      <c r="BE218" s="144"/>
      <c r="BF218" s="144"/>
      <c r="BG218" s="144"/>
      <c r="BH218" s="144"/>
    </row>
    <row r="219" spans="1:60" s="147" customFormat="1" outlineLevel="1" x14ac:dyDescent="0.3">
      <c r="A219" s="144"/>
      <c r="B219" s="61" t="s">
        <v>62</v>
      </c>
      <c r="C219" s="5">
        <f>C218*C217</f>
        <v>9916</v>
      </c>
      <c r="D219" s="145"/>
      <c r="E219" s="145"/>
      <c r="I219" s="145"/>
      <c r="J219" s="145"/>
      <c r="N219" s="145"/>
      <c r="O219" s="145"/>
      <c r="S219" s="145"/>
      <c r="T219" s="145"/>
      <c r="X219" s="145"/>
      <c r="Y219" s="145"/>
      <c r="AC219" s="145"/>
      <c r="AD219" s="145"/>
      <c r="AH219" s="145"/>
      <c r="AI219" s="145"/>
      <c r="AM219" s="144"/>
      <c r="AN219" s="144"/>
      <c r="AO219" s="144"/>
      <c r="AP219" s="144"/>
      <c r="AQ219" s="144"/>
      <c r="AR219" s="144"/>
      <c r="AS219" s="144"/>
      <c r="AT219" s="144"/>
      <c r="AU219" s="144"/>
      <c r="AV219" s="144"/>
      <c r="AW219" s="144"/>
      <c r="AX219" s="144"/>
      <c r="AY219" s="144"/>
      <c r="AZ219" s="144"/>
      <c r="BA219" s="144"/>
      <c r="BB219" s="144"/>
      <c r="BC219" s="144"/>
      <c r="BD219" s="144"/>
      <c r="BE219" s="144"/>
      <c r="BF219" s="144"/>
      <c r="BG219" s="144"/>
      <c r="BH219" s="144"/>
    </row>
    <row r="220" spans="1:60" s="147" customFormat="1" outlineLevel="1" x14ac:dyDescent="0.3">
      <c r="A220" s="144"/>
      <c r="B220" s="7" t="s">
        <v>80</v>
      </c>
      <c r="C220" s="185">
        <v>0.75109999999999999</v>
      </c>
      <c r="D220" s="145"/>
      <c r="E220" s="145"/>
      <c r="I220" s="145"/>
      <c r="J220" s="145"/>
      <c r="N220" s="145"/>
      <c r="O220" s="145"/>
      <c r="S220" s="145"/>
      <c r="T220" s="145"/>
      <c r="X220" s="145"/>
      <c r="Y220" s="145"/>
      <c r="AC220" s="145"/>
      <c r="AD220" s="145"/>
      <c r="AH220" s="145"/>
      <c r="AI220" s="145"/>
      <c r="AM220" s="144"/>
      <c r="AN220" s="144"/>
      <c r="AO220" s="144"/>
      <c r="AP220" s="144"/>
      <c r="AQ220" s="144"/>
      <c r="AR220" s="144"/>
      <c r="AS220" s="144"/>
      <c r="AT220" s="144"/>
      <c r="AU220" s="144"/>
      <c r="AV220" s="144"/>
      <c r="AW220" s="144"/>
      <c r="AX220" s="144"/>
      <c r="AY220" s="144"/>
      <c r="AZ220" s="144"/>
      <c r="BA220" s="144"/>
      <c r="BB220" s="144"/>
      <c r="BC220" s="144"/>
      <c r="BD220" s="144"/>
      <c r="BE220" s="144"/>
      <c r="BF220" s="144"/>
      <c r="BG220" s="144"/>
      <c r="BH220" s="144"/>
    </row>
    <row r="221" spans="1:60" s="147" customFormat="1" outlineLevel="1" x14ac:dyDescent="0.3">
      <c r="A221" s="144"/>
      <c r="B221" s="7" t="s">
        <v>112</v>
      </c>
      <c r="C221" s="189">
        <v>0.3</v>
      </c>
      <c r="D221" s="145"/>
      <c r="E221" s="145"/>
      <c r="I221" s="145"/>
      <c r="J221" s="145"/>
      <c r="N221" s="145"/>
      <c r="O221" s="145"/>
      <c r="S221" s="145"/>
      <c r="T221" s="145"/>
      <c r="X221" s="145"/>
      <c r="Y221" s="145"/>
      <c r="AC221" s="145"/>
      <c r="AD221" s="145"/>
      <c r="AH221" s="145"/>
      <c r="AI221" s="145"/>
      <c r="AM221" s="144"/>
      <c r="AN221" s="144"/>
      <c r="AO221" s="144"/>
      <c r="AP221" s="144"/>
      <c r="AQ221" s="144"/>
      <c r="AR221" s="144"/>
      <c r="AS221" s="144"/>
      <c r="AT221" s="144"/>
      <c r="AU221" s="144"/>
      <c r="AV221" s="144"/>
      <c r="AW221" s="144"/>
      <c r="AX221" s="144"/>
      <c r="AY221" s="144"/>
      <c r="AZ221" s="144"/>
      <c r="BA221" s="144"/>
      <c r="BB221" s="144"/>
      <c r="BC221" s="144"/>
      <c r="BD221" s="144"/>
      <c r="BE221" s="144"/>
      <c r="BF221" s="144"/>
      <c r="BG221" s="144"/>
      <c r="BH221" s="144"/>
    </row>
    <row r="222" spans="1:60" s="147" customFormat="1" outlineLevel="1" x14ac:dyDescent="0.3">
      <c r="A222" s="144"/>
      <c r="B222" s="7" t="s">
        <v>113</v>
      </c>
      <c r="C222" s="190">
        <v>0.18690000000000001</v>
      </c>
      <c r="D222" s="145"/>
      <c r="E222" s="145"/>
      <c r="I222" s="145"/>
      <c r="J222" s="145"/>
      <c r="N222" s="145"/>
      <c r="O222" s="145"/>
      <c r="S222" s="145"/>
      <c r="T222" s="145"/>
      <c r="X222" s="145"/>
      <c r="Y222" s="145"/>
      <c r="AC222" s="145"/>
      <c r="AD222" s="145"/>
      <c r="AH222" s="145"/>
      <c r="AI222" s="145"/>
      <c r="AM222" s="144"/>
      <c r="AN222" s="144"/>
      <c r="AO222" s="144"/>
      <c r="AP222" s="144"/>
      <c r="AQ222" s="144"/>
      <c r="AR222" s="144"/>
      <c r="AS222" s="144"/>
      <c r="AT222" s="144"/>
      <c r="AU222" s="144"/>
      <c r="AV222" s="144"/>
      <c r="AW222" s="144"/>
      <c r="AX222" s="144"/>
      <c r="AY222" s="144"/>
      <c r="AZ222" s="144"/>
      <c r="BA222" s="144"/>
      <c r="BB222" s="144"/>
      <c r="BC222" s="144"/>
      <c r="BD222" s="144"/>
      <c r="BE222" s="144"/>
      <c r="BF222" s="144"/>
      <c r="BG222" s="144"/>
      <c r="BH222" s="144"/>
    </row>
    <row r="223" spans="1:60" s="147" customFormat="1" outlineLevel="1" x14ac:dyDescent="0.3">
      <c r="A223" s="144"/>
      <c r="B223" s="61" t="s">
        <v>63</v>
      </c>
      <c r="C223" s="70">
        <f>C221*C222</f>
        <v>5.6070000000000002E-2</v>
      </c>
      <c r="D223" s="145"/>
      <c r="E223" s="145"/>
      <c r="I223" s="145"/>
      <c r="J223" s="145"/>
      <c r="N223" s="145"/>
      <c r="O223" s="145"/>
      <c r="S223" s="145"/>
      <c r="T223" s="145"/>
      <c r="X223" s="145"/>
      <c r="Y223" s="145"/>
      <c r="AC223" s="145"/>
      <c r="AD223" s="145"/>
      <c r="AH223" s="145"/>
      <c r="AI223" s="145"/>
      <c r="AM223" s="144"/>
      <c r="AN223" s="144"/>
      <c r="AO223" s="144"/>
      <c r="AP223" s="144"/>
      <c r="AQ223" s="144"/>
      <c r="AR223" s="144"/>
      <c r="AS223" s="144"/>
      <c r="AT223" s="144"/>
      <c r="AU223" s="144"/>
      <c r="AV223" s="144"/>
      <c r="AW223" s="144"/>
      <c r="AX223" s="144"/>
      <c r="AY223" s="144"/>
      <c r="AZ223" s="144"/>
      <c r="BA223" s="144"/>
      <c r="BB223" s="144"/>
      <c r="BC223" s="144"/>
      <c r="BD223" s="144"/>
      <c r="BE223" s="144"/>
      <c r="BF223" s="144"/>
      <c r="BG223" s="144"/>
      <c r="BH223" s="144"/>
    </row>
    <row r="224" spans="1:60" s="147" customFormat="1" outlineLevel="1" x14ac:dyDescent="0.3">
      <c r="A224" s="144"/>
      <c r="B224" s="7" t="s">
        <v>81</v>
      </c>
      <c r="C224" s="184">
        <v>2.0199999999999999E-2</v>
      </c>
      <c r="D224" s="145"/>
      <c r="E224" s="145"/>
      <c r="I224" s="145"/>
      <c r="J224" s="145"/>
      <c r="N224" s="145"/>
      <c r="O224" s="145"/>
      <c r="S224" s="145"/>
      <c r="T224" s="145"/>
      <c r="X224" s="145"/>
      <c r="Y224" s="145"/>
      <c r="AC224" s="145"/>
      <c r="AD224" s="145"/>
      <c r="AH224" s="145"/>
      <c r="AI224" s="145"/>
      <c r="AM224" s="144"/>
      <c r="AN224" s="144"/>
      <c r="AO224" s="144"/>
      <c r="AP224" s="144"/>
      <c r="AQ224" s="144"/>
      <c r="AR224" s="144"/>
      <c r="AS224" s="144"/>
      <c r="AT224" s="144"/>
      <c r="AU224" s="144"/>
      <c r="AV224" s="144"/>
      <c r="AW224" s="144"/>
      <c r="AX224" s="144"/>
      <c r="AY224" s="144"/>
      <c r="AZ224" s="144"/>
      <c r="BA224" s="144"/>
      <c r="BB224" s="144"/>
      <c r="BC224" s="144"/>
      <c r="BD224" s="144"/>
      <c r="BE224" s="144"/>
      <c r="BF224" s="144"/>
      <c r="BG224" s="144"/>
      <c r="BH224" s="144"/>
    </row>
    <row r="225" spans="1:60" s="147" customFormat="1" outlineLevel="1" x14ac:dyDescent="0.3">
      <c r="A225" s="144"/>
      <c r="B225" s="61" t="s">
        <v>64</v>
      </c>
      <c r="C225" s="70">
        <f>C224+(C220*C223)</f>
        <v>6.2314176999999998E-2</v>
      </c>
      <c r="D225" s="145"/>
      <c r="E225" s="145"/>
      <c r="I225" s="145"/>
      <c r="J225" s="145"/>
      <c r="N225" s="145"/>
      <c r="O225" s="145"/>
      <c r="S225" s="145"/>
      <c r="T225" s="145"/>
      <c r="X225" s="145"/>
      <c r="Y225" s="145"/>
      <c r="AC225" s="145"/>
      <c r="AD225" s="145"/>
      <c r="AH225" s="145"/>
      <c r="AI225" s="145"/>
      <c r="AM225" s="144"/>
      <c r="AN225" s="144"/>
      <c r="AO225" s="144"/>
      <c r="AP225" s="144"/>
      <c r="AQ225" s="144"/>
      <c r="AR225" s="144"/>
      <c r="AS225" s="144"/>
      <c r="AT225" s="144"/>
      <c r="AU225" s="144"/>
      <c r="AV225" s="144"/>
      <c r="AW225" s="144"/>
      <c r="AX225" s="144"/>
      <c r="AY225" s="144"/>
      <c r="AZ225" s="144"/>
      <c r="BA225" s="144"/>
      <c r="BB225" s="144"/>
      <c r="BC225" s="144"/>
      <c r="BD225" s="144"/>
      <c r="BE225" s="144"/>
      <c r="BF225" s="144"/>
      <c r="BG225" s="144"/>
      <c r="BH225" s="144"/>
    </row>
    <row r="226" spans="1:60" s="147" customFormat="1" outlineLevel="1" x14ac:dyDescent="0.3">
      <c r="A226" s="144"/>
      <c r="B226" s="7" t="s">
        <v>65</v>
      </c>
      <c r="C226" s="90">
        <f>C219/(C219+P122)</f>
        <v>0.98735437618241562</v>
      </c>
      <c r="D226" s="145"/>
      <c r="E226" s="145"/>
      <c r="I226" s="145"/>
      <c r="J226" s="145"/>
      <c r="N226" s="145"/>
      <c r="O226" s="145"/>
      <c r="S226" s="145"/>
      <c r="T226" s="145"/>
      <c r="X226" s="145"/>
      <c r="Y226" s="145"/>
      <c r="AC226" s="145"/>
      <c r="AD226" s="145"/>
      <c r="AH226" s="145"/>
      <c r="AI226" s="145"/>
      <c r="AM226" s="144"/>
      <c r="AN226" s="144"/>
      <c r="AO226" s="144"/>
      <c r="AP226" s="144"/>
      <c r="AQ226" s="144"/>
      <c r="AR226" s="144"/>
      <c r="AS226" s="144"/>
      <c r="AT226" s="144"/>
      <c r="AU226" s="144"/>
      <c r="AV226" s="144"/>
      <c r="AW226" s="144"/>
      <c r="AX226" s="144"/>
      <c r="AY226" s="144"/>
      <c r="AZ226" s="144"/>
      <c r="BA226" s="144"/>
      <c r="BB226" s="144"/>
      <c r="BC226" s="144"/>
      <c r="BD226" s="144"/>
      <c r="BE226" s="144"/>
      <c r="BF226" s="144"/>
      <c r="BG226" s="144"/>
      <c r="BH226" s="144"/>
    </row>
    <row r="227" spans="1:60" s="147" customFormat="1" outlineLevel="1" x14ac:dyDescent="0.3">
      <c r="A227" s="144"/>
      <c r="B227" s="7" t="s">
        <v>66</v>
      </c>
      <c r="C227" s="179">
        <f>H20/(M122)</f>
        <v>3.875968992248062E-2</v>
      </c>
      <c r="D227" s="178"/>
      <c r="E227" s="145"/>
      <c r="I227" s="145"/>
      <c r="J227" s="145"/>
      <c r="N227" s="145"/>
      <c r="O227" s="145"/>
      <c r="S227" s="145"/>
      <c r="T227" s="145"/>
      <c r="X227" s="145"/>
      <c r="Y227" s="145"/>
      <c r="AC227" s="145"/>
      <c r="AD227" s="145"/>
      <c r="AH227" s="145"/>
      <c r="AI227" s="145"/>
      <c r="AM227" s="144"/>
      <c r="AN227" s="144"/>
      <c r="AO227" s="144"/>
      <c r="AP227" s="144"/>
      <c r="AQ227" s="144"/>
      <c r="AR227" s="144"/>
      <c r="AS227" s="144"/>
      <c r="AT227" s="144"/>
      <c r="AU227" s="144"/>
      <c r="AV227" s="144"/>
      <c r="AW227" s="144"/>
      <c r="AX227" s="144"/>
      <c r="AY227" s="144"/>
      <c r="AZ227" s="144"/>
      <c r="BA227" s="144"/>
      <c r="BB227" s="144"/>
      <c r="BC227" s="144"/>
      <c r="BD227" s="144"/>
      <c r="BE227" s="144"/>
      <c r="BF227" s="144"/>
      <c r="BG227" s="144"/>
      <c r="BH227" s="144"/>
    </row>
    <row r="228" spans="1:60" s="147" customFormat="1" outlineLevel="1" x14ac:dyDescent="0.3">
      <c r="A228" s="144"/>
      <c r="B228" s="7" t="s">
        <v>3</v>
      </c>
      <c r="C228" s="90">
        <f>M94</f>
        <v>0.35364396654719238</v>
      </c>
      <c r="D228" s="145"/>
      <c r="E228" s="145"/>
      <c r="I228" s="145"/>
      <c r="J228" s="145"/>
      <c r="N228" s="145"/>
      <c r="O228" s="145"/>
      <c r="S228" s="145"/>
      <c r="T228" s="145"/>
      <c r="X228" s="145"/>
      <c r="Y228" s="145"/>
      <c r="AC228" s="145"/>
      <c r="AD228" s="145"/>
      <c r="AH228" s="145"/>
      <c r="AI228" s="145"/>
      <c r="AM228" s="144"/>
      <c r="AN228" s="144"/>
      <c r="AO228" s="144"/>
      <c r="AP228" s="144"/>
      <c r="AQ228" s="144"/>
      <c r="AR228" s="144"/>
      <c r="AS228" s="144"/>
      <c r="AT228" s="144"/>
      <c r="AU228" s="144"/>
      <c r="AV228" s="144"/>
      <c r="AW228" s="144"/>
      <c r="AX228" s="144"/>
      <c r="AY228" s="144"/>
      <c r="AZ228" s="144"/>
      <c r="BA228" s="144"/>
      <c r="BB228" s="144"/>
      <c r="BC228" s="144"/>
      <c r="BD228" s="144"/>
      <c r="BE228" s="144"/>
      <c r="BF228" s="144"/>
      <c r="BG228" s="144"/>
      <c r="BH228" s="144"/>
    </row>
    <row r="229" spans="1:60" outlineLevel="1" x14ac:dyDescent="0.3">
      <c r="B229" s="7" t="s">
        <v>67</v>
      </c>
      <c r="C229" s="69">
        <f>C227*(1-C228)</f>
        <v>2.5052559436155333E-2</v>
      </c>
    </row>
    <row r="230" spans="1:60" outlineLevel="1" x14ac:dyDescent="0.3">
      <c r="B230" s="61" t="s">
        <v>82</v>
      </c>
      <c r="C230" s="70">
        <f>(C226*C225)+((1-C226)*C229)</f>
        <v>6.1842980601452928E-2</v>
      </c>
    </row>
    <row r="231" spans="1:60" ht="7.5" customHeight="1" outlineLevel="1" x14ac:dyDescent="0.3">
      <c r="B231" s="148"/>
      <c r="C231" s="62"/>
    </row>
    <row r="232" spans="1:60" outlineLevel="1" x14ac:dyDescent="0.3">
      <c r="B232" s="14" t="s">
        <v>128</v>
      </c>
      <c r="C232" s="62"/>
    </row>
    <row r="233" spans="1:60" outlineLevel="1" x14ac:dyDescent="0.3">
      <c r="B233" s="148" t="s">
        <v>83</v>
      </c>
      <c r="C233" s="184">
        <v>0.02</v>
      </c>
    </row>
    <row r="234" spans="1:60" outlineLevel="1" x14ac:dyDescent="0.3">
      <c r="B234" s="148" t="s">
        <v>85</v>
      </c>
      <c r="C234" s="184">
        <v>0.02</v>
      </c>
    </row>
    <row r="235" spans="1:60" outlineLevel="1" x14ac:dyDescent="0.3">
      <c r="B235" s="148" t="s">
        <v>86</v>
      </c>
      <c r="C235" s="184">
        <v>3.5000000000000003E-2</v>
      </c>
    </row>
    <row r="236" spans="1:60" outlineLevel="1" x14ac:dyDescent="0.3">
      <c r="B236" s="148"/>
      <c r="C236" s="22"/>
    </row>
    <row r="237" spans="1:60" outlineLevel="1" x14ac:dyDescent="0.3">
      <c r="B237" s="14" t="s">
        <v>88</v>
      </c>
      <c r="C237" s="62"/>
    </row>
    <row r="238" spans="1:60" outlineLevel="1" x14ac:dyDescent="0.3">
      <c r="B238" s="148" t="s">
        <v>89</v>
      </c>
      <c r="C238" s="80">
        <f>((((AL167*(1+C234))-(C235*AL12*(1+C233))+(C229*AL122)))/(C230-C233))/(1+$C$230)^5</f>
        <v>8341.7242442111656</v>
      </c>
    </row>
    <row r="239" spans="1:60" outlineLevel="1" x14ac:dyDescent="0.3">
      <c r="B239" s="148" t="s">
        <v>84</v>
      </c>
      <c r="C239" s="21">
        <f>R191+W191+AB191+AG191+AL191</f>
        <v>2310.1436777576969</v>
      </c>
    </row>
    <row r="240" spans="1:60" outlineLevel="1" x14ac:dyDescent="0.3">
      <c r="B240" s="148" t="s">
        <v>107</v>
      </c>
      <c r="C240" s="68">
        <f>C207</f>
        <v>5.5074626865671643</v>
      </c>
    </row>
    <row r="241" spans="1:60" outlineLevel="1" x14ac:dyDescent="0.3">
      <c r="B241" s="61" t="s">
        <v>130</v>
      </c>
      <c r="C241" s="203">
        <f>(C238+C239)/C218+C240</f>
        <v>84.999014343051215</v>
      </c>
    </row>
    <row r="242" spans="1:60" ht="142.19999999999999" customHeight="1" outlineLevel="1" x14ac:dyDescent="0.3">
      <c r="B242" s="314" t="s">
        <v>268</v>
      </c>
      <c r="C242" s="315"/>
    </row>
    <row r="243" spans="1:60" ht="84" customHeight="1" outlineLevel="1" x14ac:dyDescent="0.3">
      <c r="B243" s="301" t="s">
        <v>125</v>
      </c>
      <c r="C243" s="302"/>
    </row>
    <row r="244" spans="1:60" ht="78" customHeight="1" outlineLevel="1" x14ac:dyDescent="0.3">
      <c r="B244" s="303" t="s">
        <v>126</v>
      </c>
      <c r="C244" s="304"/>
    </row>
    <row r="245" spans="1:60" s="145" customFormat="1" ht="66.599999999999994" customHeight="1" outlineLevel="1" x14ac:dyDescent="0.3">
      <c r="A245" s="144"/>
      <c r="B245" s="305" t="s">
        <v>127</v>
      </c>
      <c r="C245" s="306"/>
      <c r="F245" s="147"/>
      <c r="G245" s="147"/>
      <c r="H245" s="147"/>
      <c r="K245" s="147"/>
      <c r="L245" s="147"/>
      <c r="M245" s="147"/>
      <c r="P245" s="147"/>
      <c r="Q245" s="147"/>
      <c r="R245" s="147"/>
      <c r="U245" s="147"/>
      <c r="V245" s="147"/>
      <c r="W245" s="147"/>
      <c r="Z245" s="147"/>
      <c r="AA245" s="147"/>
      <c r="AB245" s="147"/>
      <c r="AE245" s="147"/>
      <c r="AF245" s="147"/>
      <c r="AG245" s="147"/>
      <c r="AJ245" s="147"/>
      <c r="AK245" s="147"/>
      <c r="AL245" s="147"/>
      <c r="AM245" s="144"/>
      <c r="AN245" s="144"/>
      <c r="AO245" s="144"/>
      <c r="AP245" s="144"/>
      <c r="AQ245" s="144"/>
      <c r="AR245" s="144"/>
      <c r="AS245" s="144"/>
      <c r="AT245" s="144"/>
      <c r="AU245" s="144"/>
      <c r="AV245" s="144"/>
      <c r="AW245" s="144"/>
      <c r="AX245" s="144"/>
      <c r="AY245" s="144"/>
      <c r="AZ245" s="144"/>
      <c r="BA245" s="144"/>
      <c r="BB245" s="144"/>
      <c r="BC245" s="144"/>
      <c r="BD245" s="144"/>
      <c r="BE245" s="144"/>
      <c r="BF245" s="144"/>
      <c r="BG245" s="144"/>
      <c r="BH245" s="144"/>
    </row>
    <row r="246" spans="1:60" s="145" customFormat="1" x14ac:dyDescent="0.3">
      <c r="A246" s="144"/>
      <c r="B246" s="144"/>
      <c r="C246" s="19"/>
      <c r="F246" s="147"/>
      <c r="G246" s="147"/>
      <c r="H246" s="147"/>
      <c r="K246" s="147"/>
      <c r="L246" s="147"/>
      <c r="M246" s="147"/>
      <c r="P246" s="147"/>
      <c r="Q246" s="147"/>
      <c r="R246" s="147"/>
      <c r="U246" s="147"/>
      <c r="V246" s="147"/>
      <c r="W246" s="147"/>
      <c r="Z246" s="147"/>
      <c r="AA246" s="147"/>
      <c r="AB246" s="147"/>
      <c r="AE246" s="147"/>
      <c r="AF246" s="147"/>
      <c r="AG246" s="147"/>
      <c r="AJ246" s="147"/>
      <c r="AK246" s="147"/>
      <c r="AL246" s="147"/>
      <c r="AM246" s="144"/>
      <c r="AN246" s="144"/>
      <c r="AO246" s="144"/>
      <c r="AP246" s="144"/>
      <c r="AQ246" s="144"/>
      <c r="AR246" s="144"/>
      <c r="AS246" s="144"/>
      <c r="AT246" s="144"/>
      <c r="AU246" s="144"/>
      <c r="AV246" s="144"/>
      <c r="AW246" s="144"/>
      <c r="AX246" s="144"/>
      <c r="AY246" s="144"/>
      <c r="AZ246" s="144"/>
      <c r="BA246" s="144"/>
      <c r="BB246" s="144"/>
      <c r="BC246" s="144"/>
      <c r="BD246" s="144"/>
      <c r="BE246" s="144"/>
      <c r="BF246" s="144"/>
      <c r="BG246" s="144"/>
      <c r="BH246" s="144"/>
    </row>
    <row r="247" spans="1:60" s="145" customFormat="1" x14ac:dyDescent="0.3">
      <c r="A247" s="144"/>
      <c r="B247" s="144"/>
      <c r="C247" s="63"/>
      <c r="F247" s="147"/>
      <c r="G247" s="147"/>
      <c r="H247" s="147"/>
      <c r="K247" s="147"/>
      <c r="L247" s="147"/>
      <c r="M247" s="147"/>
      <c r="P247" s="147"/>
      <c r="Q247" s="147"/>
      <c r="R247" s="147"/>
      <c r="U247" s="147"/>
      <c r="V247" s="147"/>
      <c r="W247" s="147"/>
      <c r="Z247" s="147"/>
      <c r="AA247" s="147"/>
      <c r="AB247" s="147"/>
      <c r="AE247" s="147"/>
      <c r="AF247" s="147"/>
      <c r="AG247" s="147"/>
      <c r="AJ247" s="147"/>
      <c r="AK247" s="147"/>
      <c r="AL247" s="147"/>
      <c r="AM247" s="144"/>
      <c r="AN247" s="144"/>
      <c r="AO247" s="144"/>
      <c r="AP247" s="144"/>
      <c r="AQ247" s="144"/>
      <c r="AR247" s="144"/>
      <c r="AS247" s="144"/>
      <c r="AT247" s="144"/>
      <c r="AU247" s="144"/>
      <c r="AV247" s="144"/>
      <c r="AW247" s="144"/>
      <c r="AX247" s="144"/>
      <c r="AY247" s="144"/>
      <c r="AZ247" s="144"/>
      <c r="BA247" s="144"/>
      <c r="BB247" s="144"/>
      <c r="BC247" s="144"/>
      <c r="BD247" s="144"/>
      <c r="BE247" s="144"/>
      <c r="BF247" s="144"/>
      <c r="BG247" s="144"/>
      <c r="BH247" s="144"/>
    </row>
    <row r="248" spans="1:60" s="145" customFormat="1" x14ac:dyDescent="0.3">
      <c r="A248" s="144"/>
      <c r="B248" s="144"/>
      <c r="C248" s="63"/>
      <c r="F248" s="147"/>
      <c r="G248" s="147"/>
      <c r="H248" s="147"/>
      <c r="K248" s="147"/>
      <c r="L248" s="147"/>
      <c r="M248" s="147"/>
      <c r="P248" s="147"/>
      <c r="Q248" s="147"/>
      <c r="R248" s="147"/>
      <c r="U248" s="147"/>
      <c r="V248" s="147"/>
      <c r="W248" s="147"/>
      <c r="Z248" s="147"/>
      <c r="AA248" s="147"/>
      <c r="AB248" s="147"/>
      <c r="AE248" s="147"/>
      <c r="AF248" s="147"/>
      <c r="AG248" s="147"/>
      <c r="AJ248" s="147"/>
      <c r="AK248" s="147"/>
      <c r="AL248" s="147"/>
      <c r="AM248" s="144"/>
      <c r="AN248" s="144"/>
      <c r="AO248" s="144"/>
      <c r="AP248" s="144"/>
      <c r="AQ248" s="144"/>
      <c r="AR248" s="144"/>
      <c r="AS248" s="144"/>
      <c r="AT248" s="144"/>
      <c r="AU248" s="144"/>
      <c r="AV248" s="144"/>
      <c r="AW248" s="144"/>
      <c r="AX248" s="144"/>
      <c r="AY248" s="144"/>
      <c r="AZ248" s="144"/>
      <c r="BA248" s="144"/>
      <c r="BB248" s="144"/>
      <c r="BC248" s="144"/>
      <c r="BD248" s="144"/>
      <c r="BE248" s="144"/>
      <c r="BF248" s="144"/>
      <c r="BG248" s="144"/>
      <c r="BH248" s="144"/>
    </row>
    <row r="251" spans="1:60" s="145" customFormat="1" x14ac:dyDescent="0.3">
      <c r="A251" s="144"/>
      <c r="B251" s="144"/>
      <c r="C251" s="210" t="s">
        <v>134</v>
      </c>
      <c r="F251" s="147"/>
      <c r="G251" s="147"/>
      <c r="H251" s="147"/>
      <c r="K251" s="147"/>
      <c r="L251" s="147"/>
      <c r="M251" s="147"/>
      <c r="P251" s="147"/>
      <c r="Q251" s="147"/>
      <c r="R251" s="147"/>
      <c r="U251" s="147"/>
      <c r="V251" s="147"/>
      <c r="W251" s="147"/>
      <c r="Z251" s="147"/>
      <c r="AA251" s="147"/>
      <c r="AB251" s="147"/>
      <c r="AE251" s="147"/>
      <c r="AF251" s="147"/>
      <c r="AG251" s="147"/>
      <c r="AJ251" s="147"/>
      <c r="AK251" s="147"/>
      <c r="AL251" s="147"/>
      <c r="AM251" s="144"/>
      <c r="AN251" s="144"/>
      <c r="AO251" s="144"/>
      <c r="AP251" s="144"/>
      <c r="AQ251" s="144"/>
      <c r="AR251" s="144"/>
      <c r="AS251" s="144"/>
      <c r="AT251" s="144"/>
      <c r="AU251" s="144"/>
      <c r="AV251" s="144"/>
      <c r="AW251" s="144"/>
      <c r="AX251" s="144"/>
      <c r="AY251" s="144"/>
      <c r="AZ251" s="144"/>
      <c r="BA251" s="144"/>
      <c r="BB251" s="144"/>
      <c r="BC251" s="144"/>
      <c r="BD251" s="144"/>
      <c r="BE251" s="144"/>
      <c r="BF251" s="144"/>
      <c r="BG251" s="144"/>
      <c r="BH251" s="144"/>
    </row>
  </sheetData>
  <dataConsolidate/>
  <mergeCells count="143">
    <mergeCell ref="B172:C172"/>
    <mergeCell ref="B185:C185"/>
    <mergeCell ref="B186:C186"/>
    <mergeCell ref="B173:C173"/>
    <mergeCell ref="B174:C174"/>
    <mergeCell ref="B141:C141"/>
    <mergeCell ref="B142:C142"/>
    <mergeCell ref="B132:C132"/>
    <mergeCell ref="B133:C133"/>
    <mergeCell ref="B135:C135"/>
    <mergeCell ref="B136:C136"/>
    <mergeCell ref="B137:C137"/>
    <mergeCell ref="B138:C138"/>
    <mergeCell ref="B187:C187"/>
    <mergeCell ref="B188:C188"/>
    <mergeCell ref="B190:C190"/>
    <mergeCell ref="B191:C191"/>
    <mergeCell ref="B183:C183"/>
    <mergeCell ref="B184:C184"/>
    <mergeCell ref="B175:C175"/>
    <mergeCell ref="B176:C176"/>
    <mergeCell ref="B178:C178"/>
    <mergeCell ref="B179:C179"/>
    <mergeCell ref="B180:C180"/>
    <mergeCell ref="B181:C181"/>
    <mergeCell ref="B243:C243"/>
    <mergeCell ref="B244:C244"/>
    <mergeCell ref="B245:C245"/>
    <mergeCell ref="B193:C193"/>
    <mergeCell ref="B194:C194"/>
    <mergeCell ref="B195:C195"/>
    <mergeCell ref="B196:C196"/>
    <mergeCell ref="B197:C197"/>
    <mergeCell ref="B199:C199"/>
    <mergeCell ref="B209:C209"/>
    <mergeCell ref="B210:C213"/>
    <mergeCell ref="B242:C242"/>
    <mergeCell ref="B36:C36"/>
    <mergeCell ref="B35:C35"/>
    <mergeCell ref="B40:C40"/>
    <mergeCell ref="B168:C168"/>
    <mergeCell ref="B169:C169"/>
    <mergeCell ref="B171:C171"/>
    <mergeCell ref="B161:C161"/>
    <mergeCell ref="B162:C162"/>
    <mergeCell ref="B164:C164"/>
    <mergeCell ref="B166:C166"/>
    <mergeCell ref="B167:C167"/>
    <mergeCell ref="B151:C151"/>
    <mergeCell ref="B152:C152"/>
    <mergeCell ref="B154:C154"/>
    <mergeCell ref="B156:C156"/>
    <mergeCell ref="B160:C160"/>
    <mergeCell ref="B143:C143"/>
    <mergeCell ref="B144:C144"/>
    <mergeCell ref="B145:C145"/>
    <mergeCell ref="B148:C148"/>
    <mergeCell ref="B149:C149"/>
    <mergeCell ref="B150:C150"/>
    <mergeCell ref="B139:C139"/>
    <mergeCell ref="B140:C140"/>
    <mergeCell ref="B130:C130"/>
    <mergeCell ref="B120:C120"/>
    <mergeCell ref="B121:C121"/>
    <mergeCell ref="B122:C122"/>
    <mergeCell ref="B124:C124"/>
    <mergeCell ref="B110:C110"/>
    <mergeCell ref="B114:C114"/>
    <mergeCell ref="B115:C115"/>
    <mergeCell ref="B116:C116"/>
    <mergeCell ref="B117:C117"/>
    <mergeCell ref="B118:C118"/>
    <mergeCell ref="B125:C125"/>
    <mergeCell ref="B126:C126"/>
    <mergeCell ref="B127:C127"/>
    <mergeCell ref="B128:C128"/>
    <mergeCell ref="B129:C129"/>
    <mergeCell ref="B107:C107"/>
    <mergeCell ref="B108:C108"/>
    <mergeCell ref="B109:C109"/>
    <mergeCell ref="B111:C111"/>
    <mergeCell ref="B99:C99"/>
    <mergeCell ref="B101:C101"/>
    <mergeCell ref="B102:C102"/>
    <mergeCell ref="B103:C103"/>
    <mergeCell ref="B104:C104"/>
    <mergeCell ref="B105:C105"/>
    <mergeCell ref="B93:C93"/>
    <mergeCell ref="B94:C94"/>
    <mergeCell ref="B95:C95"/>
    <mergeCell ref="B96:C96"/>
    <mergeCell ref="B97:C97"/>
    <mergeCell ref="B98:C98"/>
    <mergeCell ref="B87:C87"/>
    <mergeCell ref="B90:C90"/>
    <mergeCell ref="B91:C91"/>
    <mergeCell ref="B39:C39"/>
    <mergeCell ref="B43:C43"/>
    <mergeCell ref="B48:C48"/>
    <mergeCell ref="B52:C52"/>
    <mergeCell ref="B47:C47"/>
    <mergeCell ref="B76:C76"/>
    <mergeCell ref="B64:C64"/>
    <mergeCell ref="B68:C68"/>
    <mergeCell ref="B72:C72"/>
    <mergeCell ref="B85:C85"/>
    <mergeCell ref="B44:C44"/>
    <mergeCell ref="B54:C54"/>
    <mergeCell ref="B55:C55"/>
    <mergeCell ref="B56:C56"/>
    <mergeCell ref="B74:C74"/>
    <mergeCell ref="B75:C75"/>
    <mergeCell ref="B62:C62"/>
    <mergeCell ref="B63:C63"/>
    <mergeCell ref="B66:C66"/>
    <mergeCell ref="B67:C67"/>
    <mergeCell ref="B70:C70"/>
    <mergeCell ref="B71:C71"/>
    <mergeCell ref="B27:C27"/>
    <mergeCell ref="B28:C28"/>
    <mergeCell ref="B29:C29"/>
    <mergeCell ref="B31:C31"/>
    <mergeCell ref="B32:C32"/>
    <mergeCell ref="B33:C33"/>
    <mergeCell ref="B21:C21"/>
    <mergeCell ref="B22:C22"/>
    <mergeCell ref="B23:C23"/>
    <mergeCell ref="B24:C24"/>
    <mergeCell ref="B25:C25"/>
    <mergeCell ref="B26:C26"/>
    <mergeCell ref="B12:C12"/>
    <mergeCell ref="B13:C13"/>
    <mergeCell ref="B14:C14"/>
    <mergeCell ref="B15:C15"/>
    <mergeCell ref="B17:C17"/>
    <mergeCell ref="B19:C19"/>
    <mergeCell ref="B16:C16"/>
    <mergeCell ref="B2:C2"/>
    <mergeCell ref="B3:C3"/>
    <mergeCell ref="B4:C4"/>
    <mergeCell ref="B5:C5"/>
    <mergeCell ref="B10:C10"/>
    <mergeCell ref="B11:C11"/>
  </mergeCells>
  <pageMargins left="0.7" right="0.7" top="0.75" bottom="0.75" header="0.3" footer="0.3"/>
  <pageSetup scale="40" orientation="landscape" r:id="rId1"/>
  <headerFooter>
    <oddFooter>&amp;CGutenberg Research LLC prohibits the redistribution of this document in whole or part without the written permission. 
© Gutenberg Research LLC 2016.</oddFooter>
  </headerFooter>
  <rowBreaks count="2" manualBreakCount="2">
    <brk id="99" max="16383" man="1"/>
    <brk id="199" max="16383" man="1"/>
  </rowBreaks>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2015-01-01T15:37:44Z</cp:lastPrinted>
  <dcterms:created xsi:type="dcterms:W3CDTF">2014-10-18T18:34:10Z</dcterms:created>
  <dcterms:modified xsi:type="dcterms:W3CDTF">2016-11-26T03:40:24Z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