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defaultThemeVersion="124226"/>
  <mc:AlternateContent xmlns:mc="http://schemas.openxmlformats.org/markup-compatibility/2006">
    <mc:Choice Requires="x15">
      <x15ac:absPath xmlns:x15ac="http://schemas.microsoft.com/office/spreadsheetml/2010/11/ac" url="C:\Users\Admin\Documents\Articles (2-15-2016)\JAZZ (Jazz Pharma)\"/>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Model'!$A$1:$W$257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95" i="3" l="1"/>
  <c r="P95" i="3" s="1"/>
  <c r="Q95" i="3" s="1"/>
  <c r="S95" i="3" s="1"/>
  <c r="T95" i="3" s="1"/>
  <c r="U95" i="3" s="1"/>
  <c r="V95" i="3" s="1"/>
  <c r="M123" i="3"/>
  <c r="E223" i="3" l="1"/>
  <c r="F223" i="3"/>
  <c r="G223" i="3"/>
  <c r="I223" i="3"/>
  <c r="J223" i="3"/>
  <c r="K223" i="3"/>
  <c r="L223" i="3"/>
  <c r="N223" i="3"/>
  <c r="C230" i="3" s="1"/>
  <c r="D223" i="3"/>
  <c r="M164" i="3"/>
  <c r="M162" i="3"/>
  <c r="M161" i="3"/>
  <c r="M160" i="3"/>
  <c r="M159" i="3"/>
  <c r="M158" i="3"/>
  <c r="M157" i="3"/>
  <c r="M151" i="3"/>
  <c r="M150" i="3"/>
  <c r="M149" i="3"/>
  <c r="M148" i="3"/>
  <c r="M146" i="3"/>
  <c r="M145" i="3"/>
  <c r="M144" i="3"/>
  <c r="M143" i="3"/>
  <c r="M142" i="3"/>
  <c r="M141" i="3"/>
  <c r="M137" i="3"/>
  <c r="M136" i="3"/>
  <c r="M135" i="3"/>
  <c r="M134" i="3"/>
  <c r="M133" i="3"/>
  <c r="M132" i="3"/>
  <c r="M130" i="3"/>
  <c r="M129" i="3"/>
  <c r="M128" i="3"/>
  <c r="M127" i="3"/>
  <c r="M126" i="3"/>
  <c r="M125" i="3"/>
  <c r="M124" i="3"/>
  <c r="H164" i="3"/>
  <c r="H162" i="3"/>
  <c r="H161" i="3"/>
  <c r="H160" i="3"/>
  <c r="H159" i="3"/>
  <c r="H158" i="3"/>
  <c r="H157" i="3"/>
  <c r="H151" i="3"/>
  <c r="H150" i="3"/>
  <c r="H149" i="3"/>
  <c r="H148" i="3"/>
  <c r="H146" i="3"/>
  <c r="H145" i="3"/>
  <c r="H144" i="3"/>
  <c r="H143" i="3"/>
  <c r="H142" i="3"/>
  <c r="H141" i="3"/>
  <c r="H137" i="3"/>
  <c r="H136" i="3"/>
  <c r="H135" i="3"/>
  <c r="H134" i="3"/>
  <c r="H133" i="3"/>
  <c r="H132" i="3"/>
  <c r="H130" i="3"/>
  <c r="H129" i="3"/>
  <c r="H128" i="3"/>
  <c r="H127" i="3"/>
  <c r="H126" i="3"/>
  <c r="H125" i="3"/>
  <c r="H124" i="3"/>
  <c r="H123" i="3"/>
  <c r="E172" i="3"/>
  <c r="E173" i="3"/>
  <c r="E177" i="3"/>
  <c r="D131" i="3"/>
  <c r="N93" i="3"/>
  <c r="O50" i="3"/>
  <c r="O63" i="3"/>
  <c r="J116" i="3"/>
  <c r="K116" i="3" s="1"/>
  <c r="N117" i="3"/>
  <c r="L117" i="3"/>
  <c r="O82" i="3"/>
  <c r="P82" i="3" s="1"/>
  <c r="N83" i="3"/>
  <c r="I83" i="3"/>
  <c r="L83" i="3"/>
  <c r="K83" i="3"/>
  <c r="J83" i="3"/>
  <c r="F83" i="3"/>
  <c r="G83" i="3"/>
  <c r="E83" i="3"/>
  <c r="N89" i="3"/>
  <c r="O89" i="3" s="1"/>
  <c r="P89" i="3" s="1"/>
  <c r="I89" i="3"/>
  <c r="L89" i="3"/>
  <c r="K89" i="3"/>
  <c r="J89" i="3"/>
  <c r="G89" i="3"/>
  <c r="F89" i="3"/>
  <c r="E89" i="3"/>
  <c r="N88" i="3"/>
  <c r="N87" i="3"/>
  <c r="I87" i="3"/>
  <c r="L87" i="3"/>
  <c r="K87" i="3"/>
  <c r="J87" i="3"/>
  <c r="F87" i="3"/>
  <c r="G87" i="3"/>
  <c r="E87" i="3"/>
  <c r="N85" i="3"/>
  <c r="N43" i="3"/>
  <c r="G29" i="3"/>
  <c r="D35" i="3"/>
  <c r="F29" i="3"/>
  <c r="E29" i="3"/>
  <c r="D29" i="3"/>
  <c r="G16" i="3"/>
  <c r="F16" i="3"/>
  <c r="E16" i="3"/>
  <c r="D16" i="3"/>
  <c r="I29" i="3"/>
  <c r="N35" i="3"/>
  <c r="L35" i="3"/>
  <c r="K35" i="3"/>
  <c r="J35" i="3"/>
  <c r="I35" i="3"/>
  <c r="G35" i="3"/>
  <c r="F35" i="3"/>
  <c r="E35" i="3"/>
  <c r="N29" i="3"/>
  <c r="L29" i="3"/>
  <c r="K29" i="3"/>
  <c r="J29" i="3"/>
  <c r="N16" i="3"/>
  <c r="L16" i="3"/>
  <c r="K16" i="3"/>
  <c r="J16" i="3"/>
  <c r="I16" i="3"/>
  <c r="O102" i="3"/>
  <c r="P102" i="3" s="1"/>
  <c r="Q102" i="3" s="1"/>
  <c r="S102" i="3" s="1"/>
  <c r="T102" i="3" s="1"/>
  <c r="U102" i="3" s="1"/>
  <c r="V102" i="3" s="1"/>
  <c r="O101" i="3"/>
  <c r="P101" i="3" s="1"/>
  <c r="Q101" i="3" s="1"/>
  <c r="S101" i="3" s="1"/>
  <c r="T101" i="3" s="1"/>
  <c r="U101" i="3" s="1"/>
  <c r="V101" i="3" s="1"/>
  <c r="O33" i="3"/>
  <c r="H223" i="3" l="1"/>
  <c r="M163" i="3"/>
  <c r="M165" i="3" s="1"/>
  <c r="M147" i="3"/>
  <c r="M152" i="3" s="1"/>
  <c r="F172" i="3"/>
  <c r="G172" i="3" s="1"/>
  <c r="M131" i="3"/>
  <c r="M138" i="3" s="1"/>
  <c r="Q82" i="3"/>
  <c r="P12" i="3"/>
  <c r="O12" i="3"/>
  <c r="P26" i="3"/>
  <c r="Q89" i="3"/>
  <c r="O26" i="3"/>
  <c r="O21" i="3"/>
  <c r="P87" i="3"/>
  <c r="M16" i="3"/>
  <c r="H29" i="3"/>
  <c r="H35" i="3"/>
  <c r="M35" i="3"/>
  <c r="M29" i="3"/>
  <c r="M69" i="3"/>
  <c r="M71" i="3" s="1"/>
  <c r="H69" i="3"/>
  <c r="P65" i="3"/>
  <c r="R65" i="3" s="1"/>
  <c r="Q63" i="3"/>
  <c r="O64" i="3"/>
  <c r="R66" i="3"/>
  <c r="H65" i="3"/>
  <c r="M65" i="3"/>
  <c r="R75" i="3"/>
  <c r="Q76" i="3"/>
  <c r="P76" i="3"/>
  <c r="O76" i="3"/>
  <c r="J63" i="3"/>
  <c r="K63" i="3"/>
  <c r="L63" i="3"/>
  <c r="I63" i="3"/>
  <c r="E63" i="3"/>
  <c r="F63" i="3"/>
  <c r="G63" i="3"/>
  <c r="D63" i="3"/>
  <c r="H66" i="3"/>
  <c r="M66" i="3"/>
  <c r="M166" i="3" l="1"/>
  <c r="H172" i="3"/>
  <c r="Q12" i="3"/>
  <c r="S82" i="3"/>
  <c r="Q26" i="3"/>
  <c r="S89" i="3"/>
  <c r="Q87" i="3"/>
  <c r="P21" i="3"/>
  <c r="P63" i="3"/>
  <c r="R63" i="3" s="1"/>
  <c r="M75" i="3"/>
  <c r="R76" i="3" s="1"/>
  <c r="H59" i="3"/>
  <c r="M59" i="3"/>
  <c r="H63" i="3"/>
  <c r="H75" i="3"/>
  <c r="M78" i="3"/>
  <c r="H78" i="3"/>
  <c r="R53" i="3"/>
  <c r="T82" i="3" l="1"/>
  <c r="S12" i="3"/>
  <c r="T89" i="3"/>
  <c r="S26" i="3"/>
  <c r="Q21" i="3"/>
  <c r="S87" i="3"/>
  <c r="M76" i="3"/>
  <c r="T76" i="3" s="1"/>
  <c r="V76" i="3" s="1"/>
  <c r="O78" i="3"/>
  <c r="P78" i="3" s="1"/>
  <c r="Q78" i="3" s="1"/>
  <c r="S78" i="3" s="1"/>
  <c r="O80" i="3"/>
  <c r="P80" i="3" s="1"/>
  <c r="Q80" i="3" s="1"/>
  <c r="S80" i="3" s="1"/>
  <c r="T80" i="3" s="1"/>
  <c r="M80" i="3"/>
  <c r="H80" i="3"/>
  <c r="U82" i="3" l="1"/>
  <c r="T12" i="3"/>
  <c r="U89" i="3"/>
  <c r="T26" i="3"/>
  <c r="S21" i="3"/>
  <c r="T87" i="3"/>
  <c r="T78" i="3"/>
  <c r="U78" i="3" s="1"/>
  <c r="V78" i="3" s="1"/>
  <c r="R78" i="3"/>
  <c r="R80" i="3"/>
  <c r="U80" i="3"/>
  <c r="V80" i="3" s="1"/>
  <c r="V82" i="3" l="1"/>
  <c r="V12" i="3" s="1"/>
  <c r="U12" i="3"/>
  <c r="U26" i="3"/>
  <c r="V89" i="3"/>
  <c r="V26" i="3" s="1"/>
  <c r="U87" i="3"/>
  <c r="T21" i="3"/>
  <c r="W78" i="3"/>
  <c r="W80" i="3"/>
  <c r="V87" i="3" l="1"/>
  <c r="V21" i="3" s="1"/>
  <c r="U21" i="3"/>
  <c r="W103" i="3"/>
  <c r="W106" i="3"/>
  <c r="W105" i="3"/>
  <c r="W104" i="3"/>
  <c r="O106" i="3"/>
  <c r="P106" i="3" s="1"/>
  <c r="O105" i="3"/>
  <c r="P105" i="3" s="1"/>
  <c r="O104" i="3"/>
  <c r="P104" i="3" s="1"/>
  <c r="R103" i="3"/>
  <c r="O107" i="3"/>
  <c r="P107" i="3" s="1"/>
  <c r="O109" i="3"/>
  <c r="O108" i="3"/>
  <c r="O110" i="3"/>
  <c r="O111" i="3"/>
  <c r="P111" i="3" s="1"/>
  <c r="N99" i="3"/>
  <c r="E221" i="3"/>
  <c r="E209" i="3"/>
  <c r="E210" i="3"/>
  <c r="F210" i="3" s="1"/>
  <c r="G210" i="3" s="1"/>
  <c r="H210" i="3" s="1"/>
  <c r="E212" i="3"/>
  <c r="E214" i="3"/>
  <c r="F214" i="3" s="1"/>
  <c r="G214" i="3" s="1"/>
  <c r="E216" i="3"/>
  <c r="F216" i="3" s="1"/>
  <c r="G216" i="3" s="1"/>
  <c r="E201" i="3"/>
  <c r="E206" i="3" s="1"/>
  <c r="E174" i="3"/>
  <c r="F174" i="3" s="1"/>
  <c r="E176" i="3"/>
  <c r="E179" i="3"/>
  <c r="F179" i="3" s="1"/>
  <c r="G179" i="3" s="1"/>
  <c r="H179" i="3" s="1"/>
  <c r="E180" i="3"/>
  <c r="H180" i="3" s="1"/>
  <c r="E181" i="3"/>
  <c r="F181" i="3" s="1"/>
  <c r="E182" i="3"/>
  <c r="F182" i="3" s="1"/>
  <c r="G182" i="3" s="1"/>
  <c r="E185" i="3"/>
  <c r="F185" i="3" s="1"/>
  <c r="G185" i="3" s="1"/>
  <c r="E188" i="3"/>
  <c r="F188" i="3" s="1"/>
  <c r="G188" i="3" s="1"/>
  <c r="E189" i="3"/>
  <c r="F189" i="3" s="1"/>
  <c r="G189" i="3" s="1"/>
  <c r="E190" i="3"/>
  <c r="E191" i="3"/>
  <c r="F191" i="3" s="1"/>
  <c r="G191" i="3" s="1"/>
  <c r="E192" i="3"/>
  <c r="F192" i="3" s="1"/>
  <c r="G192" i="3" s="1"/>
  <c r="H192" i="3" s="1"/>
  <c r="E193" i="3"/>
  <c r="F193" i="3" s="1"/>
  <c r="G193" i="3" s="1"/>
  <c r="E194" i="3"/>
  <c r="E195" i="3"/>
  <c r="F195" i="3" s="1"/>
  <c r="G195" i="3" s="1"/>
  <c r="E197" i="3"/>
  <c r="F197" i="3" s="1"/>
  <c r="E99" i="3"/>
  <c r="E219" i="3"/>
  <c r="F219" i="3" s="1"/>
  <c r="G219" i="3" s="1"/>
  <c r="F213" i="3"/>
  <c r="G213" i="3" s="1"/>
  <c r="H213" i="3" s="1"/>
  <c r="F215" i="3"/>
  <c r="G215" i="3" s="1"/>
  <c r="F202" i="3"/>
  <c r="G202" i="3" s="1"/>
  <c r="F194" i="3"/>
  <c r="G194" i="3" s="1"/>
  <c r="F99" i="3"/>
  <c r="F100" i="3" s="1"/>
  <c r="G175" i="3"/>
  <c r="H175" i="3" s="1"/>
  <c r="G178" i="3"/>
  <c r="H178" i="3" s="1"/>
  <c r="G99" i="3"/>
  <c r="I218" i="3"/>
  <c r="I206" i="3"/>
  <c r="I99" i="3"/>
  <c r="J209" i="3"/>
  <c r="K209" i="3" s="1"/>
  <c r="J210" i="3"/>
  <c r="J212" i="3"/>
  <c r="K212" i="3" s="1"/>
  <c r="J213" i="3"/>
  <c r="K213" i="3" s="1"/>
  <c r="L213" i="3" s="1"/>
  <c r="J201" i="3"/>
  <c r="K201" i="3" s="1"/>
  <c r="J204" i="3"/>
  <c r="M204" i="3" s="1"/>
  <c r="J174" i="3"/>
  <c r="K174" i="3" s="1"/>
  <c r="L174" i="3" s="1"/>
  <c r="J176" i="3"/>
  <c r="J178" i="3"/>
  <c r="K178" i="3" s="1"/>
  <c r="L178" i="3" s="1"/>
  <c r="M178" i="3" s="1"/>
  <c r="J181" i="3"/>
  <c r="J182" i="3"/>
  <c r="K182" i="3" s="1"/>
  <c r="L182" i="3" s="1"/>
  <c r="J185" i="3"/>
  <c r="K185" i="3" s="1"/>
  <c r="L185" i="3" s="1"/>
  <c r="J188" i="3"/>
  <c r="J189" i="3"/>
  <c r="J190" i="3"/>
  <c r="K190" i="3" s="1"/>
  <c r="L190" i="3" s="1"/>
  <c r="J191" i="3"/>
  <c r="K191" i="3" s="1"/>
  <c r="L191" i="3" s="1"/>
  <c r="J192" i="3"/>
  <c r="K192" i="3" s="1"/>
  <c r="L192" i="3" s="1"/>
  <c r="J193" i="3"/>
  <c r="K193" i="3" s="1"/>
  <c r="L193" i="3" s="1"/>
  <c r="J194" i="3"/>
  <c r="K194" i="3" s="1"/>
  <c r="L194" i="3" s="1"/>
  <c r="J195" i="3"/>
  <c r="K195" i="3" s="1"/>
  <c r="L195" i="3" s="1"/>
  <c r="J197" i="3"/>
  <c r="K197" i="3" s="1"/>
  <c r="L197" i="3" s="1"/>
  <c r="J99" i="3"/>
  <c r="J100" i="3" s="1"/>
  <c r="J219" i="3"/>
  <c r="K215" i="3"/>
  <c r="L215" i="3" s="1"/>
  <c r="K99" i="3"/>
  <c r="L216" i="3"/>
  <c r="M216" i="3" s="1"/>
  <c r="L183" i="3"/>
  <c r="M183" i="3" s="1"/>
  <c r="L99" i="3"/>
  <c r="L100" i="3" s="1"/>
  <c r="P33" i="3"/>
  <c r="Q33" i="3" s="1"/>
  <c r="S33" i="3" s="1"/>
  <c r="J88" i="3"/>
  <c r="D99" i="3"/>
  <c r="D100" i="3" s="1"/>
  <c r="H103" i="3"/>
  <c r="H104" i="3"/>
  <c r="H106" i="3"/>
  <c r="H107" i="3"/>
  <c r="H108" i="3"/>
  <c r="H109" i="3"/>
  <c r="H110" i="3"/>
  <c r="H111" i="3"/>
  <c r="M102" i="3"/>
  <c r="H11" i="3"/>
  <c r="G12" i="3"/>
  <c r="H12" i="3" s="1"/>
  <c r="H18" i="3"/>
  <c r="H19" i="3"/>
  <c r="H20" i="3"/>
  <c r="H21" i="3"/>
  <c r="H22" i="3"/>
  <c r="H14" i="3"/>
  <c r="H26" i="3"/>
  <c r="H25" i="3"/>
  <c r="H27" i="3"/>
  <c r="D13" i="3"/>
  <c r="D15" i="3" s="1"/>
  <c r="D23" i="3"/>
  <c r="E13" i="3"/>
  <c r="E23" i="3"/>
  <c r="F13" i="3"/>
  <c r="F23" i="3"/>
  <c r="G23" i="3"/>
  <c r="G24" i="3" s="1"/>
  <c r="M11" i="3"/>
  <c r="M12" i="3"/>
  <c r="M18" i="3"/>
  <c r="M19" i="3"/>
  <c r="M20" i="3"/>
  <c r="M21" i="3"/>
  <c r="M173" i="3" s="1"/>
  <c r="M22" i="3"/>
  <c r="M14" i="3"/>
  <c r="M26" i="3"/>
  <c r="M25" i="3"/>
  <c r="M27" i="3"/>
  <c r="M31" i="3"/>
  <c r="M33" i="3"/>
  <c r="H31" i="3"/>
  <c r="H33" i="3"/>
  <c r="D59" i="3"/>
  <c r="E59" i="3"/>
  <c r="F59" i="3"/>
  <c r="G59" i="3"/>
  <c r="I59" i="3"/>
  <c r="J59" i="3"/>
  <c r="K59" i="3"/>
  <c r="L59" i="3"/>
  <c r="H71" i="3"/>
  <c r="N13" i="3"/>
  <c r="N23" i="3"/>
  <c r="L13" i="3"/>
  <c r="L15" i="3" s="1"/>
  <c r="L91" i="3" s="1"/>
  <c r="L23" i="3"/>
  <c r="K13" i="3"/>
  <c r="K15" i="3" s="1"/>
  <c r="K17" i="3" s="1"/>
  <c r="K23" i="3"/>
  <c r="J13" i="3"/>
  <c r="J23" i="3"/>
  <c r="I13" i="3"/>
  <c r="I23" i="3"/>
  <c r="M106" i="3"/>
  <c r="M109" i="3"/>
  <c r="M107" i="3"/>
  <c r="M105" i="3"/>
  <c r="M104" i="3"/>
  <c r="M103" i="3"/>
  <c r="N52" i="3"/>
  <c r="O52" i="3" s="1"/>
  <c r="O47" i="3" s="1"/>
  <c r="T50" i="3"/>
  <c r="N60" i="3"/>
  <c r="O60" i="3" s="1"/>
  <c r="T58" i="3"/>
  <c r="U50" i="3"/>
  <c r="U58" i="3"/>
  <c r="V50" i="3"/>
  <c r="V58" i="3"/>
  <c r="S50" i="3"/>
  <c r="S58" i="3"/>
  <c r="O58" i="3"/>
  <c r="P50" i="3"/>
  <c r="P58" i="3"/>
  <c r="Q50" i="3"/>
  <c r="Q58" i="3"/>
  <c r="H102" i="3"/>
  <c r="P64" i="3"/>
  <c r="Q64" i="3"/>
  <c r="H95" i="3"/>
  <c r="M95" i="3"/>
  <c r="H101" i="3"/>
  <c r="M101" i="3"/>
  <c r="O88" i="3"/>
  <c r="O25" i="3" s="1"/>
  <c r="N86" i="3"/>
  <c r="M63" i="3"/>
  <c r="M55" i="3"/>
  <c r="M60" i="3" s="1"/>
  <c r="R60" i="3" s="1"/>
  <c r="W60" i="3" s="1"/>
  <c r="W58" i="3"/>
  <c r="R58" i="3"/>
  <c r="H55" i="3"/>
  <c r="H60" i="3" s="1"/>
  <c r="M47" i="3"/>
  <c r="L52" i="3"/>
  <c r="K52" i="3"/>
  <c r="J52" i="3"/>
  <c r="I52" i="3"/>
  <c r="H47" i="3"/>
  <c r="H52" i="3" s="1"/>
  <c r="E52" i="3"/>
  <c r="F52" i="3"/>
  <c r="G52" i="3"/>
  <c r="D52" i="3"/>
  <c r="J60" i="3"/>
  <c r="K60" i="3"/>
  <c r="L60" i="3"/>
  <c r="I60" i="3"/>
  <c r="E60" i="3"/>
  <c r="F60" i="3"/>
  <c r="G60" i="3"/>
  <c r="D60" i="3"/>
  <c r="N59" i="3"/>
  <c r="R50" i="3"/>
  <c r="N51" i="3"/>
  <c r="W50" i="3"/>
  <c r="M51" i="3"/>
  <c r="J51" i="3"/>
  <c r="K51" i="3"/>
  <c r="L51" i="3"/>
  <c r="I51" i="3"/>
  <c r="H51" i="3"/>
  <c r="E51" i="3"/>
  <c r="F51" i="3"/>
  <c r="G51" i="3"/>
  <c r="D51" i="3"/>
  <c r="J85" i="3"/>
  <c r="I85" i="3"/>
  <c r="K85" i="3"/>
  <c r="L85" i="3"/>
  <c r="G15" i="3"/>
  <c r="I88" i="3"/>
  <c r="K88" i="3"/>
  <c r="L88" i="3"/>
  <c r="E88" i="3"/>
  <c r="F88" i="3"/>
  <c r="G88" i="3"/>
  <c r="E85" i="3"/>
  <c r="F85" i="3"/>
  <c r="G85" i="3"/>
  <c r="D85" i="3"/>
  <c r="J86" i="3"/>
  <c r="K86" i="3"/>
  <c r="L86" i="3"/>
  <c r="I86" i="3"/>
  <c r="E86" i="3"/>
  <c r="F86" i="3"/>
  <c r="G86" i="3"/>
  <c r="D86" i="3"/>
  <c r="N81" i="3"/>
  <c r="N79" i="3"/>
  <c r="N76" i="3"/>
  <c r="N64" i="3"/>
  <c r="N56" i="3"/>
  <c r="N48" i="3"/>
  <c r="L81" i="3"/>
  <c r="K81" i="3"/>
  <c r="J81" i="3"/>
  <c r="I81" i="3"/>
  <c r="L79" i="3"/>
  <c r="K79" i="3"/>
  <c r="J79" i="3"/>
  <c r="I79" i="3"/>
  <c r="L76" i="3"/>
  <c r="K76" i="3"/>
  <c r="J76" i="3"/>
  <c r="I76" i="3"/>
  <c r="L64" i="3"/>
  <c r="K64" i="3"/>
  <c r="J64" i="3"/>
  <c r="I64" i="3"/>
  <c r="L56" i="3"/>
  <c r="K56" i="3"/>
  <c r="J56" i="3"/>
  <c r="I56" i="3"/>
  <c r="L48" i="3"/>
  <c r="K48" i="3"/>
  <c r="J48" i="3"/>
  <c r="J43" i="3"/>
  <c r="K43" i="3"/>
  <c r="L43" i="3"/>
  <c r="I43" i="3"/>
  <c r="G81" i="3"/>
  <c r="G79" i="3"/>
  <c r="G76" i="3"/>
  <c r="G64" i="3"/>
  <c r="G56" i="3"/>
  <c r="F81" i="3"/>
  <c r="F79" i="3"/>
  <c r="F76" i="3"/>
  <c r="F64" i="3"/>
  <c r="F56" i="3"/>
  <c r="E81" i="3"/>
  <c r="E79" i="3"/>
  <c r="E76" i="3"/>
  <c r="E64" i="3"/>
  <c r="E56" i="3"/>
  <c r="F48" i="3"/>
  <c r="G48" i="3"/>
  <c r="I48" i="3"/>
  <c r="E48" i="3"/>
  <c r="E43" i="3"/>
  <c r="F43" i="3"/>
  <c r="G43" i="3"/>
  <c r="D43" i="3"/>
  <c r="F173" i="3"/>
  <c r="F177" i="3"/>
  <c r="G173" i="3"/>
  <c r="G177" i="3"/>
  <c r="I173" i="3"/>
  <c r="I177" i="3"/>
  <c r="J173" i="3"/>
  <c r="J177" i="3"/>
  <c r="K173" i="3"/>
  <c r="K177" i="3"/>
  <c r="L173" i="3"/>
  <c r="L177" i="3"/>
  <c r="M211" i="3"/>
  <c r="M214" i="3"/>
  <c r="M217" i="3"/>
  <c r="M202" i="3"/>
  <c r="M203" i="3"/>
  <c r="M205" i="3"/>
  <c r="M175" i="3"/>
  <c r="M184" i="3"/>
  <c r="M179" i="3"/>
  <c r="M180" i="3"/>
  <c r="M186" i="3"/>
  <c r="M196" i="3"/>
  <c r="H211" i="3"/>
  <c r="D224" i="3"/>
  <c r="H196" i="3"/>
  <c r="H217" i="3"/>
  <c r="D173" i="3"/>
  <c r="D177" i="3"/>
  <c r="D218" i="3"/>
  <c r="N224" i="3"/>
  <c r="D206" i="3"/>
  <c r="H203" i="3"/>
  <c r="H204" i="3"/>
  <c r="H205" i="3"/>
  <c r="N218" i="3"/>
  <c r="N206" i="3"/>
  <c r="N173" i="3"/>
  <c r="N177" i="3"/>
  <c r="N147" i="3"/>
  <c r="N152" i="3" s="1"/>
  <c r="N163" i="3"/>
  <c r="N165" i="3" s="1"/>
  <c r="L163" i="3"/>
  <c r="L165" i="3" s="1"/>
  <c r="L147" i="3"/>
  <c r="L152" i="3" s="1"/>
  <c r="I163" i="3"/>
  <c r="I165" i="3" s="1"/>
  <c r="G147" i="3"/>
  <c r="G152" i="3" s="1"/>
  <c r="G131" i="3"/>
  <c r="G138" i="3" s="1"/>
  <c r="D163" i="3"/>
  <c r="D165" i="3" s="1"/>
  <c r="D147" i="3"/>
  <c r="D152" i="3" s="1"/>
  <c r="D138" i="3"/>
  <c r="E163" i="3"/>
  <c r="E165" i="3" s="1"/>
  <c r="G163" i="3"/>
  <c r="G165" i="3" s="1"/>
  <c r="E147" i="3"/>
  <c r="E152" i="3" s="1"/>
  <c r="E131" i="3"/>
  <c r="E138" i="3" s="1"/>
  <c r="J147" i="3"/>
  <c r="J152" i="3" s="1"/>
  <c r="F163" i="3"/>
  <c r="F165" i="3" s="1"/>
  <c r="F147" i="3"/>
  <c r="F152" i="3" s="1"/>
  <c r="F131" i="3"/>
  <c r="F138" i="3" s="1"/>
  <c r="J163" i="3"/>
  <c r="J165" i="3" s="1"/>
  <c r="K163" i="3"/>
  <c r="K165" i="3" s="1"/>
  <c r="K147" i="3"/>
  <c r="K152" i="3" s="1"/>
  <c r="N131" i="3"/>
  <c r="N138" i="3" s="1"/>
  <c r="K131" i="3"/>
  <c r="K138" i="3" s="1"/>
  <c r="J131" i="3"/>
  <c r="J138" i="3" s="1"/>
  <c r="L131" i="3"/>
  <c r="L138" i="3" s="1"/>
  <c r="I131" i="3"/>
  <c r="I138" i="3" s="1"/>
  <c r="I147" i="3"/>
  <c r="I152" i="3" s="1"/>
  <c r="O117" i="3"/>
  <c r="O37" i="3" s="1"/>
  <c r="P117" i="3"/>
  <c r="Q117" i="3"/>
  <c r="S113" i="3"/>
  <c r="T113" i="3" s="1"/>
  <c r="S117" i="3"/>
  <c r="T117" i="3"/>
  <c r="U117" i="3"/>
  <c r="V117" i="3"/>
  <c r="S114" i="3"/>
  <c r="T114" i="3" s="1"/>
  <c r="L113" i="3"/>
  <c r="K117" i="3"/>
  <c r="K113" i="3" s="1"/>
  <c r="J117" i="3"/>
  <c r="I117" i="3"/>
  <c r="I113" i="3" s="1"/>
  <c r="E117" i="3"/>
  <c r="F117" i="3"/>
  <c r="G117" i="3"/>
  <c r="D117" i="3"/>
  <c r="H221" i="3"/>
  <c r="M200" i="3"/>
  <c r="M199" i="3"/>
  <c r="M111" i="3"/>
  <c r="M110" i="3"/>
  <c r="M108" i="3"/>
  <c r="H97" i="3"/>
  <c r="M97" i="3"/>
  <c r="T42" i="3"/>
  <c r="U42" i="3"/>
  <c r="V42" i="3"/>
  <c r="S42" i="3"/>
  <c r="R42" i="3"/>
  <c r="M42" i="3"/>
  <c r="H42" i="3"/>
  <c r="M96" i="3"/>
  <c r="M98" i="3"/>
  <c r="H96" i="3"/>
  <c r="H98" i="3"/>
  <c r="D17" i="3" l="1"/>
  <c r="D91" i="3"/>
  <c r="F209" i="3"/>
  <c r="G209" i="3" s="1"/>
  <c r="E218" i="3"/>
  <c r="N114" i="3"/>
  <c r="N113" i="3"/>
  <c r="M174" i="3"/>
  <c r="M194" i="3"/>
  <c r="M190" i="3"/>
  <c r="M182" i="3"/>
  <c r="O38" i="3"/>
  <c r="P38" i="3" s="1"/>
  <c r="H185" i="3"/>
  <c r="L17" i="3"/>
  <c r="G91" i="3"/>
  <c r="G17" i="3"/>
  <c r="P110" i="3"/>
  <c r="P35" i="3" s="1"/>
  <c r="O35" i="3"/>
  <c r="H177" i="3"/>
  <c r="J15" i="3"/>
  <c r="F201" i="3"/>
  <c r="G201" i="3" s="1"/>
  <c r="G206" i="3" s="1"/>
  <c r="K166" i="3"/>
  <c r="K167" i="3" s="1"/>
  <c r="M177" i="3"/>
  <c r="I15" i="3"/>
  <c r="M85" i="3"/>
  <c r="K100" i="3"/>
  <c r="H86" i="3"/>
  <c r="E100" i="3"/>
  <c r="F15" i="3"/>
  <c r="F17" i="3" s="1"/>
  <c r="M99" i="3"/>
  <c r="S76" i="3"/>
  <c r="S75" i="3" s="1"/>
  <c r="M88" i="3"/>
  <c r="K176" i="3"/>
  <c r="H214" i="3"/>
  <c r="H193" i="3"/>
  <c r="D166" i="3"/>
  <c r="D167" i="3" s="1"/>
  <c r="M195" i="3"/>
  <c r="N100" i="3"/>
  <c r="S100" i="3" s="1"/>
  <c r="T100" i="3" s="1"/>
  <c r="U100" i="3" s="1"/>
  <c r="V100" i="3" s="1"/>
  <c r="M64" i="3"/>
  <c r="R64" i="3"/>
  <c r="S86" i="3"/>
  <c r="T86" i="3" s="1"/>
  <c r="U86" i="3" s="1"/>
  <c r="V86" i="3" s="1"/>
  <c r="E15" i="3"/>
  <c r="W42" i="3"/>
  <c r="M215" i="3"/>
  <c r="M56" i="3"/>
  <c r="M13" i="3"/>
  <c r="I114" i="3"/>
  <c r="H202" i="3"/>
  <c r="L212" i="3"/>
  <c r="M212" i="3" s="1"/>
  <c r="G181" i="3"/>
  <c r="H181" i="3" s="1"/>
  <c r="G28" i="3"/>
  <c r="G93" i="3"/>
  <c r="H194" i="3"/>
  <c r="M197" i="3"/>
  <c r="I100" i="3"/>
  <c r="H216" i="3"/>
  <c r="H189" i="3"/>
  <c r="I24" i="3"/>
  <c r="M86" i="3"/>
  <c r="E24" i="3"/>
  <c r="E28" i="3" s="1"/>
  <c r="E32" i="3" s="1"/>
  <c r="H85" i="3"/>
  <c r="K188" i="3"/>
  <c r="L188" i="3" s="1"/>
  <c r="F190" i="3"/>
  <c r="G190" i="3" s="1"/>
  <c r="F166" i="3"/>
  <c r="F167" i="3" s="1"/>
  <c r="H219" i="3"/>
  <c r="H173" i="3"/>
  <c r="M48" i="3"/>
  <c r="F24" i="3"/>
  <c r="F28" i="3" s="1"/>
  <c r="D24" i="3"/>
  <c r="M191" i="3"/>
  <c r="M213" i="3"/>
  <c r="H188" i="3"/>
  <c r="G197" i="3"/>
  <c r="H197" i="3" s="1"/>
  <c r="K189" i="3"/>
  <c r="L189" i="3" s="1"/>
  <c r="H99" i="3"/>
  <c r="H100" i="3" s="1"/>
  <c r="H88" i="3"/>
  <c r="K206" i="3"/>
  <c r="L201" i="3"/>
  <c r="L206" i="3" s="1"/>
  <c r="F212" i="3"/>
  <c r="G212" i="3" s="1"/>
  <c r="L166" i="3"/>
  <c r="L167" i="3" s="1"/>
  <c r="M192" i="3"/>
  <c r="I166" i="3"/>
  <c r="I167" i="3" s="1"/>
  <c r="N166" i="3"/>
  <c r="N167" i="3" s="1"/>
  <c r="M185" i="3"/>
  <c r="K24" i="3"/>
  <c r="L24" i="3"/>
  <c r="K219" i="3"/>
  <c r="L219" i="3" s="1"/>
  <c r="K181" i="3"/>
  <c r="L181" i="3" s="1"/>
  <c r="G174" i="3"/>
  <c r="H174" i="3" s="1"/>
  <c r="H215" i="3"/>
  <c r="H182" i="3"/>
  <c r="F176" i="3"/>
  <c r="Q107" i="3"/>
  <c r="S107" i="3" s="1"/>
  <c r="T107" i="3" s="1"/>
  <c r="U107" i="3" s="1"/>
  <c r="V107" i="3" s="1"/>
  <c r="W107" i="3" s="1"/>
  <c r="K114" i="3"/>
  <c r="M193" i="3"/>
  <c r="K210" i="3"/>
  <c r="L210" i="3" s="1"/>
  <c r="G100" i="3"/>
  <c r="J166" i="3"/>
  <c r="J167" i="3" s="1"/>
  <c r="K91" i="3"/>
  <c r="N15" i="3"/>
  <c r="H195" i="3"/>
  <c r="H191" i="3"/>
  <c r="J24" i="3"/>
  <c r="M23" i="3"/>
  <c r="H23" i="3"/>
  <c r="J218" i="3"/>
  <c r="J206" i="3"/>
  <c r="H147" i="3"/>
  <c r="H152" i="3" s="1"/>
  <c r="E166" i="3"/>
  <c r="E167" i="3" s="1"/>
  <c r="H131" i="3"/>
  <c r="H138" i="3" s="1"/>
  <c r="H163" i="3"/>
  <c r="H165" i="3" s="1"/>
  <c r="J114" i="3"/>
  <c r="J113" i="3"/>
  <c r="G166" i="3"/>
  <c r="G167" i="3" s="1"/>
  <c r="M52" i="3"/>
  <c r="R52" i="3" s="1"/>
  <c r="W52" i="3" s="1"/>
  <c r="H13" i="3"/>
  <c r="T33" i="3"/>
  <c r="U33" i="3" s="1"/>
  <c r="V33" i="3" s="1"/>
  <c r="W33" i="3" s="1"/>
  <c r="Q105" i="3"/>
  <c r="R105" i="3" s="1"/>
  <c r="P52" i="3"/>
  <c r="Q111" i="3"/>
  <c r="R111" i="3" s="1"/>
  <c r="Q106" i="3"/>
  <c r="R106" i="3" s="1"/>
  <c r="L114" i="3"/>
  <c r="P88" i="3"/>
  <c r="P60" i="3"/>
  <c r="O55" i="3"/>
  <c r="L209" i="3"/>
  <c r="Q104" i="3"/>
  <c r="R104" i="3" s="1"/>
  <c r="P108" i="3"/>
  <c r="P109" i="3"/>
  <c r="Q109" i="3" s="1"/>
  <c r="S109" i="3" s="1"/>
  <c r="R33" i="3"/>
  <c r="N24" i="3"/>
  <c r="U114" i="3"/>
  <c r="V114" i="3" s="1"/>
  <c r="U113" i="3"/>
  <c r="V113" i="3" s="1"/>
  <c r="P37" i="3"/>
  <c r="G218" i="3" l="1"/>
  <c r="H209" i="3"/>
  <c r="N91" i="3"/>
  <c r="N17" i="3"/>
  <c r="N92" i="3" s="1"/>
  <c r="D30" i="3"/>
  <c r="D92" i="3"/>
  <c r="H166" i="3"/>
  <c r="H167" i="3" s="1"/>
  <c r="Q110" i="3"/>
  <c r="R110" i="3" s="1"/>
  <c r="F91" i="3"/>
  <c r="F206" i="3"/>
  <c r="H201" i="3"/>
  <c r="H206" i="3" s="1"/>
  <c r="J91" i="3"/>
  <c r="J17" i="3"/>
  <c r="J30" i="3" s="1"/>
  <c r="J36" i="3" s="1"/>
  <c r="E91" i="3"/>
  <c r="E17" i="3"/>
  <c r="I91" i="3"/>
  <c r="I17" i="3"/>
  <c r="I30" i="3" s="1"/>
  <c r="K92" i="3"/>
  <c r="K30" i="3"/>
  <c r="K36" i="3" s="1"/>
  <c r="L92" i="3"/>
  <c r="L30" i="3"/>
  <c r="L36" i="3" s="1"/>
  <c r="G92" i="3"/>
  <c r="G30" i="3"/>
  <c r="G36" i="3" s="1"/>
  <c r="F93" i="3"/>
  <c r="M24" i="3"/>
  <c r="M93" i="3" s="1"/>
  <c r="U76" i="3"/>
  <c r="K218" i="3"/>
  <c r="M15" i="3"/>
  <c r="M91" i="3" s="1"/>
  <c r="M210" i="3"/>
  <c r="S85" i="3"/>
  <c r="T85" i="3" s="1"/>
  <c r="U85" i="3" s="1"/>
  <c r="V85" i="3" s="1"/>
  <c r="M100" i="3"/>
  <c r="M167" i="3"/>
  <c r="M201" i="3"/>
  <c r="M206" i="3" s="1"/>
  <c r="E90" i="3"/>
  <c r="L176" i="3"/>
  <c r="H15" i="3"/>
  <c r="H91" i="3" s="1"/>
  <c r="Q38" i="3"/>
  <c r="R107" i="3"/>
  <c r="M189" i="3"/>
  <c r="T75" i="3"/>
  <c r="M181" i="3"/>
  <c r="D28" i="3"/>
  <c r="D93" i="3"/>
  <c r="I28" i="3"/>
  <c r="I93" i="3"/>
  <c r="H190" i="3"/>
  <c r="M188" i="3"/>
  <c r="F218" i="3"/>
  <c r="E93" i="3"/>
  <c r="E34" i="3"/>
  <c r="G32" i="3"/>
  <c r="G90" i="3"/>
  <c r="S111" i="3"/>
  <c r="T111" i="3" s="1"/>
  <c r="U111" i="3" s="1"/>
  <c r="V111" i="3" s="1"/>
  <c r="H16" i="3"/>
  <c r="L28" i="3"/>
  <c r="L93" i="3"/>
  <c r="K28" i="3"/>
  <c r="K93" i="3"/>
  <c r="J28" i="3"/>
  <c r="J93" i="3"/>
  <c r="G176" i="3"/>
  <c r="F32" i="3"/>
  <c r="F90" i="3"/>
  <c r="H24" i="3"/>
  <c r="H28" i="3" s="1"/>
  <c r="R109" i="3"/>
  <c r="H212" i="3"/>
  <c r="H218" i="3" s="1"/>
  <c r="M219" i="3"/>
  <c r="N30" i="3"/>
  <c r="N36" i="3" s="1"/>
  <c r="N41" i="3" s="1"/>
  <c r="O11" i="3"/>
  <c r="O48" i="3"/>
  <c r="L218" i="3"/>
  <c r="M209" i="3"/>
  <c r="O56" i="3"/>
  <c r="N28" i="3"/>
  <c r="T109" i="3"/>
  <c r="U109" i="3" s="1"/>
  <c r="V109" i="3" s="1"/>
  <c r="Q60" i="3"/>
  <c r="P55" i="3"/>
  <c r="P56" i="3" s="1"/>
  <c r="Q108" i="3"/>
  <c r="R108" i="3" s="1"/>
  <c r="P25" i="3"/>
  <c r="Q88" i="3"/>
  <c r="P47" i="3"/>
  <c r="Q52" i="3"/>
  <c r="Q37" i="3"/>
  <c r="S110" i="3" l="1"/>
  <c r="S35" i="3" s="1"/>
  <c r="Q35" i="3"/>
  <c r="R35" i="3" s="1"/>
  <c r="O18" i="3"/>
  <c r="O99" i="3"/>
  <c r="O96" i="3" s="1"/>
  <c r="J92" i="3"/>
  <c r="H17" i="3"/>
  <c r="M17" i="3"/>
  <c r="M28" i="3"/>
  <c r="M90" i="3" s="1"/>
  <c r="D36" i="3"/>
  <c r="D41" i="3" s="1"/>
  <c r="F92" i="3"/>
  <c r="F30" i="3"/>
  <c r="F36" i="3" s="1"/>
  <c r="E92" i="3"/>
  <c r="E30" i="3"/>
  <c r="E36" i="3" s="1"/>
  <c r="E41" i="3" s="1"/>
  <c r="I92" i="3"/>
  <c r="I36" i="3"/>
  <c r="U75" i="3"/>
  <c r="V75" i="3" s="1"/>
  <c r="W75" i="3" s="1"/>
  <c r="W76" i="3" s="1"/>
  <c r="M218" i="3"/>
  <c r="H93" i="3"/>
  <c r="M176" i="3"/>
  <c r="E40" i="3"/>
  <c r="E39" i="3"/>
  <c r="S38" i="3"/>
  <c r="I32" i="3"/>
  <c r="I90" i="3"/>
  <c r="W109" i="3"/>
  <c r="G34" i="3"/>
  <c r="D32" i="3"/>
  <c r="D90" i="3"/>
  <c r="F34" i="3"/>
  <c r="L32" i="3"/>
  <c r="L90" i="3"/>
  <c r="H176" i="3"/>
  <c r="J32" i="3"/>
  <c r="J90" i="3"/>
  <c r="K32" i="3"/>
  <c r="K90" i="3"/>
  <c r="H32" i="3"/>
  <c r="H90" i="3"/>
  <c r="T110" i="3"/>
  <c r="Q47" i="3"/>
  <c r="S52" i="3"/>
  <c r="Q25" i="3"/>
  <c r="R25" i="3" s="1"/>
  <c r="S88" i="3"/>
  <c r="S108" i="3"/>
  <c r="O13" i="3"/>
  <c r="O14" i="3" s="1"/>
  <c r="O19" i="3"/>
  <c r="P11" i="3"/>
  <c r="P48" i="3"/>
  <c r="Q55" i="3"/>
  <c r="Q56" i="3" s="1"/>
  <c r="S60" i="3"/>
  <c r="N32" i="3"/>
  <c r="N90" i="3"/>
  <c r="W111" i="3"/>
  <c r="S37" i="3"/>
  <c r="O98" i="3" l="1"/>
  <c r="O16" i="3" s="1"/>
  <c r="O97" i="3"/>
  <c r="M32" i="3"/>
  <c r="U110" i="3"/>
  <c r="T35" i="3"/>
  <c r="H92" i="3"/>
  <c r="H30" i="3"/>
  <c r="H36" i="3" s="1"/>
  <c r="M92" i="3"/>
  <c r="M30" i="3"/>
  <c r="M36" i="3" s="1"/>
  <c r="R55" i="3"/>
  <c r="R56" i="3" s="1"/>
  <c r="G41" i="3"/>
  <c r="G40" i="3"/>
  <c r="G39" i="3"/>
  <c r="E198" i="3"/>
  <c r="E220" i="3" s="1"/>
  <c r="E222" i="3" s="1"/>
  <c r="E224" i="3" s="1"/>
  <c r="F40" i="3"/>
  <c r="F39" i="3"/>
  <c r="T38" i="3"/>
  <c r="R101" i="3"/>
  <c r="I34" i="3"/>
  <c r="I172" i="3" s="1"/>
  <c r="J172" i="3" s="1"/>
  <c r="D34" i="3"/>
  <c r="G198" i="3"/>
  <c r="G220" i="3" s="1"/>
  <c r="J34" i="3"/>
  <c r="K34" i="3"/>
  <c r="K172" i="3" s="1"/>
  <c r="M34" i="3"/>
  <c r="M172" i="3" s="1"/>
  <c r="L34" i="3"/>
  <c r="L172" i="3" s="1"/>
  <c r="T108" i="3"/>
  <c r="Q11" i="3"/>
  <c r="R11" i="3" s="1"/>
  <c r="Q48" i="3"/>
  <c r="H34" i="3"/>
  <c r="N34" i="3"/>
  <c r="N172" i="3" s="1"/>
  <c r="P99" i="3"/>
  <c r="P19" i="3"/>
  <c r="P18" i="3"/>
  <c r="S25" i="3"/>
  <c r="T88" i="3"/>
  <c r="R47" i="3"/>
  <c r="R48" i="3" s="1"/>
  <c r="T60" i="3"/>
  <c r="S55" i="3"/>
  <c r="O23" i="3"/>
  <c r="O24" i="3" s="1"/>
  <c r="T52" i="3"/>
  <c r="S47" i="3"/>
  <c r="T37" i="3"/>
  <c r="P96" i="3" l="1"/>
  <c r="P97" i="3"/>
  <c r="P98" i="3"/>
  <c r="O29" i="3"/>
  <c r="V110" i="3"/>
  <c r="U35" i="3"/>
  <c r="F198" i="3"/>
  <c r="F220" i="3" s="1"/>
  <c r="F41" i="3"/>
  <c r="L41" i="3"/>
  <c r="L39" i="3"/>
  <c r="L40" i="3"/>
  <c r="J40" i="3"/>
  <c r="J39" i="3"/>
  <c r="H40" i="3"/>
  <c r="D40" i="3"/>
  <c r="D39" i="3"/>
  <c r="H37" i="3"/>
  <c r="H39" i="3" s="1"/>
  <c r="N198" i="3"/>
  <c r="N220" i="3" s="1"/>
  <c r="N39" i="3"/>
  <c r="N40" i="3"/>
  <c r="K41" i="3"/>
  <c r="K39" i="3"/>
  <c r="K40" i="3"/>
  <c r="M38" i="3"/>
  <c r="M37" i="3"/>
  <c r="M39" i="3" s="1"/>
  <c r="I40" i="3"/>
  <c r="I39" i="3"/>
  <c r="F221" i="3"/>
  <c r="U38" i="3"/>
  <c r="L198" i="3"/>
  <c r="L220" i="3" s="1"/>
  <c r="O15" i="3"/>
  <c r="O17" i="3" s="1"/>
  <c r="O92" i="3" s="1"/>
  <c r="O28" i="3"/>
  <c r="O31" i="3" s="1"/>
  <c r="O93" i="3"/>
  <c r="T55" i="3"/>
  <c r="T56" i="3" s="1"/>
  <c r="U60" i="3"/>
  <c r="P13" i="3"/>
  <c r="Q18" i="3"/>
  <c r="R18" i="3" s="1"/>
  <c r="R22" i="3"/>
  <c r="R20" i="3"/>
  <c r="Q19" i="3"/>
  <c r="R19" i="3" s="1"/>
  <c r="Q99" i="3"/>
  <c r="R27" i="3"/>
  <c r="S11" i="3"/>
  <c r="S48" i="3"/>
  <c r="U52" i="3"/>
  <c r="T47" i="3"/>
  <c r="S56" i="3"/>
  <c r="T25" i="3"/>
  <c r="U88" i="3"/>
  <c r="H198" i="3"/>
  <c r="H220" i="3" s="1"/>
  <c r="U108" i="3"/>
  <c r="U37" i="3"/>
  <c r="M40" i="3" l="1"/>
  <c r="M223" i="3"/>
  <c r="Q96" i="3"/>
  <c r="Q98" i="3"/>
  <c r="R85" i="3"/>
  <c r="P16" i="3"/>
  <c r="Q97" i="3"/>
  <c r="P29" i="3"/>
  <c r="H41" i="3"/>
  <c r="F222" i="3"/>
  <c r="F224" i="3" s="1"/>
  <c r="V35" i="3"/>
  <c r="W35" i="3" s="1"/>
  <c r="W110" i="3"/>
  <c r="I198" i="3"/>
  <c r="I220" i="3" s="1"/>
  <c r="I41" i="3"/>
  <c r="J198" i="3"/>
  <c r="J41" i="3"/>
  <c r="D198" i="3"/>
  <c r="D220" i="3" s="1"/>
  <c r="M41" i="3"/>
  <c r="K198" i="3"/>
  <c r="K220" i="3" s="1"/>
  <c r="W101" i="3"/>
  <c r="V38" i="3"/>
  <c r="R21" i="3"/>
  <c r="R26" i="3"/>
  <c r="R86" i="3"/>
  <c r="V108" i="3"/>
  <c r="U47" i="3"/>
  <c r="V52" i="3"/>
  <c r="V47" i="3" s="1"/>
  <c r="R102" i="3"/>
  <c r="S18" i="3"/>
  <c r="S99" i="3"/>
  <c r="S96" i="3" s="1"/>
  <c r="S19" i="3"/>
  <c r="P14" i="3"/>
  <c r="U25" i="3"/>
  <c r="V88" i="3"/>
  <c r="V25" i="3" s="1"/>
  <c r="T48" i="3"/>
  <c r="T11" i="3"/>
  <c r="U55" i="3"/>
  <c r="V60" i="3"/>
  <c r="V55" i="3" s="1"/>
  <c r="O32" i="3"/>
  <c r="V37" i="3"/>
  <c r="R95" i="3" l="1"/>
  <c r="S98" i="3"/>
  <c r="S97" i="3"/>
  <c r="G221" i="3"/>
  <c r="G222" i="3" s="1"/>
  <c r="H222" i="3" s="1"/>
  <c r="H224" i="3" s="1"/>
  <c r="R98" i="3"/>
  <c r="Q16" i="3"/>
  <c r="R16" i="3" s="1"/>
  <c r="O30" i="3"/>
  <c r="O36" i="3" s="1"/>
  <c r="O41" i="3" s="1"/>
  <c r="R96" i="3"/>
  <c r="Q29" i="3"/>
  <c r="M198" i="3"/>
  <c r="M220" i="3" s="1"/>
  <c r="J220" i="3"/>
  <c r="W25" i="3"/>
  <c r="W108" i="3"/>
  <c r="U56" i="3"/>
  <c r="W55" i="3"/>
  <c r="W56" i="3" s="1"/>
  <c r="P15" i="3"/>
  <c r="P17" i="3" s="1"/>
  <c r="P92" i="3" s="1"/>
  <c r="P23" i="3"/>
  <c r="P24" i="3" s="1"/>
  <c r="O34" i="3"/>
  <c r="R97" i="3"/>
  <c r="R12" i="3"/>
  <c r="R13" i="3" s="1"/>
  <c r="Q13" i="3"/>
  <c r="V11" i="3"/>
  <c r="V48" i="3"/>
  <c r="W47" i="3"/>
  <c r="W48" i="3" s="1"/>
  <c r="V56" i="3"/>
  <c r="T18" i="3"/>
  <c r="T99" i="3"/>
  <c r="T96" i="3" s="1"/>
  <c r="T19" i="3"/>
  <c r="U11" i="3"/>
  <c r="U48" i="3"/>
  <c r="P30" i="3" l="1"/>
  <c r="T98" i="3"/>
  <c r="S16" i="3"/>
  <c r="T97" i="3"/>
  <c r="R99" i="3"/>
  <c r="R100" i="3" s="1"/>
  <c r="G224" i="3"/>
  <c r="I221" i="3"/>
  <c r="I222" i="3" s="1"/>
  <c r="J221" i="3" s="1"/>
  <c r="J222" i="3" s="1"/>
  <c r="K221" i="3" s="1"/>
  <c r="K222" i="3" s="1"/>
  <c r="M221" i="3"/>
  <c r="S29" i="3"/>
  <c r="R29" i="3"/>
  <c r="O40" i="3"/>
  <c r="O39" i="3"/>
  <c r="W11" i="3"/>
  <c r="Q14" i="3"/>
  <c r="Q15" i="3" s="1"/>
  <c r="Q17" i="3" s="1"/>
  <c r="Q92" i="3" s="1"/>
  <c r="S13" i="3"/>
  <c r="V19" i="3"/>
  <c r="V18" i="3"/>
  <c r="V99" i="3"/>
  <c r="T16" i="3"/>
  <c r="P28" i="3"/>
  <c r="P93" i="3"/>
  <c r="W21" i="3"/>
  <c r="U18" i="3"/>
  <c r="U99" i="3"/>
  <c r="U96" i="3" s="1"/>
  <c r="W20" i="3"/>
  <c r="U19" i="3"/>
  <c r="V96" i="3" l="1"/>
  <c r="U98" i="3"/>
  <c r="V98" i="3" s="1"/>
  <c r="U97" i="3"/>
  <c r="V97" i="3" s="1"/>
  <c r="T29" i="3"/>
  <c r="J224" i="3"/>
  <c r="I224" i="3"/>
  <c r="Q30" i="3"/>
  <c r="K224" i="3"/>
  <c r="L221" i="3"/>
  <c r="L222" i="3" s="1"/>
  <c r="M222" i="3" s="1"/>
  <c r="W22" i="3"/>
  <c r="W18" i="3"/>
  <c r="W85" i="3" s="1"/>
  <c r="W19" i="3"/>
  <c r="W86" i="3" s="1"/>
  <c r="W27" i="3"/>
  <c r="W26" i="3"/>
  <c r="W102" i="3"/>
  <c r="S14" i="3"/>
  <c r="P31" i="3"/>
  <c r="Q23" i="3"/>
  <c r="Q24" i="3" s="1"/>
  <c r="R14" i="3"/>
  <c r="W95" i="3" l="1"/>
  <c r="U29" i="3"/>
  <c r="V16" i="3"/>
  <c r="U16" i="3"/>
  <c r="P32" i="3"/>
  <c r="P34" i="3" s="1"/>
  <c r="P36" i="3"/>
  <c r="P41" i="3" s="1"/>
  <c r="L224" i="3"/>
  <c r="M224" i="3"/>
  <c r="Q93" i="3"/>
  <c r="Q28" i="3"/>
  <c r="Q31" i="3" s="1"/>
  <c r="R31" i="3" s="1"/>
  <c r="T13" i="3"/>
  <c r="S15" i="3"/>
  <c r="S17" i="3" s="1"/>
  <c r="S92" i="3" s="1"/>
  <c r="S23" i="3"/>
  <c r="S24" i="3" s="1"/>
  <c r="W97" i="3"/>
  <c r="W89" i="3"/>
  <c r="R15" i="3"/>
  <c r="R23" i="3"/>
  <c r="S30" i="3" l="1"/>
  <c r="R91" i="3"/>
  <c r="R17" i="3"/>
  <c r="W98" i="3"/>
  <c r="Q36" i="3"/>
  <c r="W16" i="3"/>
  <c r="W96" i="3"/>
  <c r="V29" i="3"/>
  <c r="W29" i="3" s="1"/>
  <c r="R24" i="3"/>
  <c r="R28" i="3" s="1"/>
  <c r="R32" i="3" s="1"/>
  <c r="P40" i="3"/>
  <c r="P39" i="3"/>
  <c r="S28" i="3"/>
  <c r="S31" i="3" s="1"/>
  <c r="S93" i="3"/>
  <c r="T14" i="3"/>
  <c r="T15" i="3" s="1"/>
  <c r="T17" i="3" s="1"/>
  <c r="Q32" i="3"/>
  <c r="S36" i="3" l="1"/>
  <c r="R92" i="3"/>
  <c r="R30" i="3"/>
  <c r="R36" i="3" s="1"/>
  <c r="W99" i="3"/>
  <c r="W100" i="3" s="1"/>
  <c r="T92" i="3"/>
  <c r="T30" i="3"/>
  <c r="R93" i="3"/>
  <c r="S32" i="3"/>
  <c r="R34" i="3"/>
  <c r="R90" i="3"/>
  <c r="U13" i="3"/>
  <c r="Q41" i="3"/>
  <c r="Q34" i="3"/>
  <c r="T23" i="3"/>
  <c r="T24" i="3" s="1"/>
  <c r="Q40" i="3" l="1"/>
  <c r="Q39" i="3"/>
  <c r="C231" i="3"/>
  <c r="R37" i="3"/>
  <c r="R38" i="3"/>
  <c r="R40" i="3" s="1"/>
  <c r="U14" i="3"/>
  <c r="U15" i="3" s="1"/>
  <c r="U17" i="3" s="1"/>
  <c r="T28" i="3"/>
  <c r="T93" i="3"/>
  <c r="S41" i="3"/>
  <c r="S34" i="3"/>
  <c r="U92" i="3" l="1"/>
  <c r="U30" i="3"/>
  <c r="R41" i="3"/>
  <c r="C238" i="3"/>
  <c r="C240" i="3" s="1"/>
  <c r="C6" i="3"/>
  <c r="S40" i="3"/>
  <c r="S39" i="3"/>
  <c r="R39" i="3"/>
  <c r="T31" i="3"/>
  <c r="V13" i="3"/>
  <c r="W12" i="3"/>
  <c r="W13" i="3" s="1"/>
  <c r="U23" i="3"/>
  <c r="U24" i="3" s="1"/>
  <c r="T32" i="3" l="1"/>
  <c r="T34" i="3" s="1"/>
  <c r="T36" i="3"/>
  <c r="T41" i="3" s="1"/>
  <c r="C239" i="3"/>
  <c r="C7" i="3" s="1"/>
  <c r="U28" i="3"/>
  <c r="U93" i="3"/>
  <c r="V14" i="3"/>
  <c r="V15" i="3" s="1"/>
  <c r="V17" i="3" s="1"/>
  <c r="V92" i="3" l="1"/>
  <c r="V30" i="3"/>
  <c r="T40" i="3"/>
  <c r="T39" i="3"/>
  <c r="U31" i="3"/>
  <c r="V23" i="3"/>
  <c r="V24" i="3" s="1"/>
  <c r="W14" i="3"/>
  <c r="U32" i="3" l="1"/>
  <c r="U36" i="3"/>
  <c r="U41" i="3" s="1"/>
  <c r="W23" i="3"/>
  <c r="W24" i="3" s="1"/>
  <c r="W15" i="3"/>
  <c r="V28" i="3"/>
  <c r="V93" i="3"/>
  <c r="W91" i="3" l="1"/>
  <c r="W17" i="3"/>
  <c r="U34" i="3"/>
  <c r="U39" i="3" s="1"/>
  <c r="V31" i="3"/>
  <c r="W28" i="3"/>
  <c r="W93" i="3"/>
  <c r="W92" i="3" l="1"/>
  <c r="W30" i="3"/>
  <c r="U40" i="3"/>
  <c r="V32" i="3"/>
  <c r="V34" i="3" s="1"/>
  <c r="V36" i="3"/>
  <c r="V41" i="3" s="1"/>
  <c r="W31" i="3"/>
  <c r="W36" i="3" l="1"/>
  <c r="V40" i="3"/>
  <c r="V39" i="3"/>
  <c r="W90" i="3"/>
  <c r="W32" i="3"/>
  <c r="W34" i="3" l="1"/>
  <c r="W37" i="3" l="1"/>
  <c r="W38" i="3"/>
  <c r="W40" i="3" s="1"/>
  <c r="W41" i="3" l="1"/>
  <c r="W39" i="3"/>
</calcChain>
</file>

<file path=xl/comments1.xml><?xml version="1.0" encoding="utf-8"?>
<comments xmlns="http://schemas.openxmlformats.org/spreadsheetml/2006/main">
  <authors>
    <author>Li, Ray</author>
    <author>DMSB</author>
    <author>Admin</author>
  </authors>
  <commentList>
    <comment ref="R13" authorId="0" shapeId="0">
      <text>
        <r>
          <rPr>
            <b/>
            <sz val="9"/>
            <color indexed="81"/>
            <rFont val="Tahoma"/>
            <family val="2"/>
          </rPr>
          <t>Li, Ray:</t>
        </r>
        <r>
          <rPr>
            <sz val="9"/>
            <color indexed="81"/>
            <rFont val="Tahoma"/>
            <family val="2"/>
          </rPr>
          <t xml:space="preserve">
In line with FY16 management guidance of $1.49-$1.55bn from 1Q16 transcript</t>
        </r>
      </text>
    </comment>
    <comment ref="R18" authorId="0" shapeId="0">
      <text>
        <r>
          <rPr>
            <b/>
            <sz val="9"/>
            <color indexed="81"/>
            <rFont val="Tahoma"/>
            <family val="2"/>
          </rPr>
          <t>Li, Ray:</t>
        </r>
        <r>
          <rPr>
            <sz val="9"/>
            <color indexed="81"/>
            <rFont val="Tahoma"/>
            <family val="2"/>
          </rPr>
          <t xml:space="preserve">
In line with FY16 management guidance of $390-$410mm from 1Q16 transcript </t>
        </r>
        <r>
          <rPr>
            <b/>
            <sz val="9"/>
            <color indexed="81"/>
            <rFont val="Tahoma"/>
            <family val="2"/>
          </rPr>
          <t>Excluding $87-$95M of share-based comp [So GAAP range of $483M to $511M]</t>
        </r>
      </text>
    </comment>
    <comment ref="R19" authorId="0" shapeId="0">
      <text>
        <r>
          <rPr>
            <b/>
            <sz val="9"/>
            <color indexed="81"/>
            <rFont val="Tahoma"/>
            <family val="2"/>
          </rPr>
          <t>Li, Ray:</t>
        </r>
        <r>
          <rPr>
            <sz val="9"/>
            <color indexed="81"/>
            <rFont val="Tahoma"/>
            <family val="2"/>
          </rPr>
          <t xml:space="preserve">
In line FY16 management guidance of  $115mm-$130mm R&amp;D expenses </t>
        </r>
        <r>
          <rPr>
            <b/>
            <sz val="9"/>
            <color indexed="81"/>
            <rFont val="Tahoma"/>
            <family val="2"/>
          </rPr>
          <t>Excluding $17-$19M of share-based comp [So GAAP range of $132M to $149M]</t>
        </r>
      </text>
    </comment>
    <comment ref="R21" authorId="1" shapeId="0">
      <text>
        <r>
          <rPr>
            <sz val="9"/>
            <color indexed="81"/>
            <rFont val="Tahoma"/>
            <family val="2"/>
          </rPr>
          <t>In line with 2015 10K management guidance of FY16 estimated amortization $90,442</t>
        </r>
      </text>
    </comment>
    <comment ref="R41" authorId="2" shapeId="0">
      <text>
        <r>
          <rPr>
            <sz val="9"/>
            <color indexed="81"/>
            <rFont val="Tahoma"/>
            <family val="2"/>
          </rPr>
          <t>Management guided non-GAAP EPS between $11.10 and $11.50.</t>
        </r>
      </text>
    </comment>
    <comment ref="D47" authorId="1" shapeId="0">
      <text>
        <r>
          <rPr>
            <b/>
            <sz val="9"/>
            <color indexed="81"/>
            <rFont val="Tahoma"/>
            <family val="2"/>
          </rPr>
          <t>DMSB:</t>
        </r>
        <r>
          <rPr>
            <sz val="9"/>
            <color indexed="81"/>
            <rFont val="Tahoma"/>
            <family val="2"/>
          </rPr>
          <t xml:space="preserve">
Per the 10Q-note about Xyrem total revenue</t>
        </r>
      </text>
    </comment>
    <comment ref="R47" authorId="0" shapeId="0">
      <text>
        <r>
          <rPr>
            <b/>
            <sz val="9"/>
            <color indexed="81"/>
            <rFont val="Tahoma"/>
            <family val="2"/>
          </rPr>
          <t>Li, Ray:</t>
        </r>
        <r>
          <rPr>
            <sz val="9"/>
            <color indexed="81"/>
            <rFont val="Tahoma"/>
            <family val="2"/>
          </rPr>
          <t xml:space="preserve">
In line with 1Q16 Earnings Call Transcript (FY16 $1.095-1.130Bn)</t>
        </r>
      </text>
    </comment>
    <comment ref="D49" authorId="0" shapeId="0">
      <text>
        <r>
          <rPr>
            <b/>
            <sz val="9"/>
            <color indexed="81"/>
            <rFont val="Tahoma"/>
            <family val="2"/>
          </rPr>
          <t>Li, Ray:</t>
        </r>
        <r>
          <rPr>
            <sz val="9"/>
            <color indexed="81"/>
            <rFont val="Tahoma"/>
            <family val="2"/>
          </rPr>
          <t xml:space="preserve">
Per National Institute of Neurological Disorders and Stroke (NINDS)
</t>
        </r>
      </text>
    </comment>
    <comment ref="H49" authorId="0" shapeId="0">
      <text>
        <r>
          <rPr>
            <b/>
            <sz val="9"/>
            <color indexed="81"/>
            <rFont val="Tahoma"/>
            <family val="2"/>
          </rPr>
          <t>Li, Ray:</t>
        </r>
        <r>
          <rPr>
            <sz val="9"/>
            <color indexed="81"/>
            <rFont val="Tahoma"/>
            <family val="2"/>
          </rPr>
          <t xml:space="preserve">
As Per 10-K under Business - Our Products</t>
        </r>
      </text>
    </comment>
    <comment ref="H50" authorId="0" shapeId="0">
      <text>
        <r>
          <rPr>
            <b/>
            <sz val="9"/>
            <color indexed="81"/>
            <rFont val="Tahoma"/>
            <family val="2"/>
          </rPr>
          <t>Li, Ray:</t>
        </r>
        <r>
          <rPr>
            <sz val="9"/>
            <color indexed="81"/>
            <rFont val="Tahoma"/>
            <family val="2"/>
          </rPr>
          <t xml:space="preserve">
As Per 10-K under Business - Our Products</t>
        </r>
      </text>
    </comment>
    <comment ref="R55" authorId="0" shapeId="0">
      <text>
        <r>
          <rPr>
            <b/>
            <sz val="9"/>
            <color indexed="81"/>
            <rFont val="Tahoma"/>
            <family val="2"/>
          </rPr>
          <t>Li, Ray:</t>
        </r>
        <r>
          <rPr>
            <sz val="9"/>
            <color indexed="81"/>
            <rFont val="Tahoma"/>
            <family val="2"/>
          </rPr>
          <t xml:space="preserve">
In line with 1Q16 Earnings Call Transcript (FY16 $200-225mm)</t>
        </r>
      </text>
    </comment>
    <comment ref="H57" authorId="0" shapeId="0">
      <text>
        <r>
          <rPr>
            <b/>
            <sz val="9"/>
            <color indexed="81"/>
            <rFont val="Tahoma"/>
            <family val="2"/>
          </rPr>
          <t>Li, Ray:</t>
        </r>
        <r>
          <rPr>
            <sz val="9"/>
            <color indexed="81"/>
            <rFont val="Tahoma"/>
            <family val="2"/>
          </rPr>
          <t xml:space="preserve">
as per 10-K under business - our products</t>
        </r>
      </text>
    </comment>
    <comment ref="O61" authorId="0" shapeId="0">
      <text>
        <r>
          <rPr>
            <b/>
            <sz val="9"/>
            <color indexed="81"/>
            <rFont val="Tahoma"/>
            <family val="2"/>
          </rPr>
          <t>Li, Ray:</t>
        </r>
        <r>
          <rPr>
            <sz val="9"/>
            <color indexed="81"/>
            <rFont val="Tahoma"/>
            <family val="2"/>
          </rPr>
          <t xml:space="preserve">
Based on 1Q13 Earnings Call transcript</t>
        </r>
      </text>
    </comment>
    <comment ref="R63" authorId="1" shapeId="0">
      <text>
        <r>
          <rPr>
            <sz val="9"/>
            <color indexed="81"/>
            <rFont val="Tahoma"/>
            <family val="2"/>
          </rPr>
          <t>In line with 1Q16 Earnings Call transcript (FY16 100-125mm)</t>
        </r>
      </text>
    </comment>
    <comment ref="R65" authorId="1" shapeId="0">
      <text>
        <r>
          <rPr>
            <sz val="9"/>
            <color indexed="81"/>
            <rFont val="Tahoma"/>
            <family val="2"/>
          </rPr>
          <t>In line with 1Q16 Earnings Call transcript (FY16 100-125mm)</t>
        </r>
      </text>
    </comment>
    <comment ref="R66" authorId="1" shapeId="0">
      <text>
        <r>
          <rPr>
            <sz val="9"/>
            <color indexed="81"/>
            <rFont val="Tahoma"/>
            <family val="2"/>
          </rPr>
          <t>In line with 1Q16 Earnings Call transcript (FY16 100-125mm)</t>
        </r>
      </text>
    </comment>
    <comment ref="O79" authorId="0" shapeId="0">
      <text>
        <r>
          <rPr>
            <b/>
            <sz val="9"/>
            <color indexed="81"/>
            <rFont val="Tahoma"/>
            <family val="2"/>
          </rPr>
          <t>Li, Ray:</t>
        </r>
        <r>
          <rPr>
            <sz val="9"/>
            <color indexed="81"/>
            <rFont val="Tahoma"/>
            <family val="2"/>
          </rPr>
          <t xml:space="preserve">
Assumption based on increased generc competition</t>
        </r>
      </text>
    </comment>
    <comment ref="O88" authorId="0" shapeId="0">
      <text>
        <r>
          <rPr>
            <b/>
            <sz val="9"/>
            <color indexed="81"/>
            <rFont val="Tahoma"/>
            <family val="2"/>
          </rPr>
          <t>Li, Ray:</t>
        </r>
        <r>
          <rPr>
            <sz val="9"/>
            <color indexed="81"/>
            <rFont val="Tahoma"/>
            <family val="2"/>
          </rPr>
          <t xml:space="preserve">
As per 10-Q expect interest to lower in 2016 due reduction in interest rates</t>
        </r>
      </text>
    </comment>
  </commentList>
</comments>
</file>

<file path=xl/sharedStrings.xml><?xml version="1.0" encoding="utf-8"?>
<sst xmlns="http://schemas.openxmlformats.org/spreadsheetml/2006/main" count="353" uniqueCount="248">
  <si>
    <t>(Dollars in millions, except per share data)</t>
  </si>
  <si>
    <t>Multiple Valuation</t>
  </si>
  <si>
    <t>P/E used for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</si>
  <si>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</si>
  <si>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</si>
  <si>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</si>
  <si>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</si>
  <si>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</si>
  <si>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</si>
  <si>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</si>
  <si>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</si>
  <si>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</si>
  <si>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</si>
  <si>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</si>
  <si>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</si>
  <si>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</si>
  <si>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</si>
  <si>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</si>
  <si>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</si>
  <si>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</si>
  <si>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Basic EPS (GAAP)</t>
  </si>
  <si>
    <t>Diluted EPS (GAAP)</t>
  </si>
  <si>
    <t>Diluted EPS (Non-GAAP)</t>
  </si>
  <si>
    <t>NTM P/E 3-month average</t>
  </si>
  <si>
    <t>NTM P/E 3-month high</t>
  </si>
  <si>
    <t>NTM P/E 3-month low</t>
  </si>
  <si>
    <t>FY 2014</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</si>
  <si>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</si>
  <si>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</si>
  <si>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</si>
  <si>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</si>
  <si>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</si>
  <si>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</si>
  <si>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</si>
  <si>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</si>
  <si>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</si>
  <si>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1Q14</t>
  </si>
  <si>
    <t>2Q14</t>
  </si>
  <si>
    <t>3Q14</t>
  </si>
  <si>
    <t>4Q14</t>
  </si>
  <si>
    <t>1Q15</t>
  </si>
  <si>
    <t>2Q15</t>
  </si>
  <si>
    <t>2Q16E</t>
  </si>
  <si>
    <t>3Q16E</t>
  </si>
  <si>
    <t>4Q16E</t>
  </si>
  <si>
    <t>1Q17E</t>
  </si>
  <si>
    <t>2Q17E</t>
  </si>
  <si>
    <t>3Q17E</t>
  </si>
  <si>
    <t>4Q17E</t>
  </si>
  <si>
    <t>3Q15</t>
  </si>
  <si>
    <t>Gross margin (GAAP)</t>
  </si>
  <si>
    <t>Effective income tax rate</t>
  </si>
  <si>
    <t>Operating Income Margin (GAAP)</t>
  </si>
  <si>
    <t>Interest expense</t>
  </si>
  <si>
    <t>Average interest expense</t>
  </si>
  <si>
    <t>Blue cells = Gutenberg® estimates</t>
  </si>
  <si>
    <t>Research and development</t>
  </si>
  <si>
    <t>Provision/(Benefit) for income taxes</t>
  </si>
  <si>
    <t>Ratio Analysis</t>
  </si>
  <si>
    <t>Gross margin (Non-GAAP)</t>
  </si>
  <si>
    <t>Cost of revenue adjustments (Non-GAAP)</t>
  </si>
  <si>
    <t>Non-GAAP Adjustment Analysis</t>
  </si>
  <si>
    <t xml:space="preserve">   Total Stock-based compensation as a % of revenue</t>
  </si>
  <si>
    <t>Net income adjustments (Non-GAAP)</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</si>
  <si>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</si>
  <si>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</si>
  <si>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</si>
  <si>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</si>
  <si>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</si>
  <si>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</si>
  <si>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</si>
  <si>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</si>
  <si>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</si>
  <si>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</si>
  <si>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</si>
  <si>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</si>
  <si>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</si>
  <si>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</si>
  <si>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</si>
  <si>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</si>
  <si>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</si>
  <si>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</si>
  <si>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</si>
  <si>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</si>
  <si>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</si>
  <si>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</si>
  <si>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</si>
  <si>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</si>
  <si>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</si>
  <si>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</si>
  <si>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</si>
  <si>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</si>
  <si>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</si>
  <si>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</si>
  <si>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Change in operating assets and liabilities</t>
  </si>
  <si>
    <t>Accounts receivable</t>
  </si>
  <si>
    <t>Prepaid expenses and other current assets</t>
  </si>
  <si>
    <t>Net cash provided by operating activities</t>
  </si>
  <si>
    <t>Cash flows from investing activities</t>
  </si>
  <si>
    <t>Cash flows from financing activities</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</si>
  <si>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</si>
  <si>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</si>
  <si>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</si>
  <si>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</si>
  <si>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</si>
  <si>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</si>
  <si>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Intangible assets</t>
  </si>
  <si>
    <t>Goodwill</t>
  </si>
  <si>
    <t>Accrued and other liabilities</t>
  </si>
  <si>
    <t>Commitments and contingencies</t>
  </si>
  <si>
    <t>Preferred stock</t>
  </si>
  <si>
    <t>Additional paid-in capital</t>
  </si>
  <si>
    <t xml:space="preserve">Common stock </t>
  </si>
  <si>
    <t>Deferred income taxes</t>
  </si>
  <si>
    <t>Other investing activities</t>
  </si>
  <si>
    <t>Purchases of property and equipment</t>
  </si>
  <si>
    <t>Jazz Pharmaceuticals Income Statement</t>
  </si>
  <si>
    <t>1Q16</t>
  </si>
  <si>
    <t>(Dollars in thousands, except per share data)</t>
  </si>
  <si>
    <t>Royalties and contract revenues</t>
  </si>
  <si>
    <t>Product sales</t>
  </si>
  <si>
    <t>Cost of product sales</t>
  </si>
  <si>
    <t>Selling, general and administrative</t>
  </si>
  <si>
    <t>Acquired in-process research and development</t>
  </si>
  <si>
    <t>Intangible asset amortization</t>
  </si>
  <si>
    <t>Foreign currency gain (loss)</t>
  </si>
  <si>
    <t>Net Income attribute to noncontrolling interests</t>
  </si>
  <si>
    <t>Loss on extinguishment and modification of debt</t>
  </si>
  <si>
    <t>Impairment charges</t>
  </si>
  <si>
    <t>Inventories</t>
  </si>
  <si>
    <t>Other current assets</t>
  </si>
  <si>
    <t>Prepaid expenses</t>
  </si>
  <si>
    <t>Deferred tax assets</t>
  </si>
  <si>
    <t>Deferred financial costs</t>
  </si>
  <si>
    <t>Current portion of long-term debt</t>
  </si>
  <si>
    <t>Income taxes payable</t>
  </si>
  <si>
    <t>Deferred revenue non-current</t>
  </si>
  <si>
    <t>Deferred revenue</t>
  </si>
  <si>
    <t>Long-term debt</t>
  </si>
  <si>
    <t>Deferred tax liability non-current</t>
  </si>
  <si>
    <t>Retained earnings</t>
  </si>
  <si>
    <t>Non-voting euro deferred shares</t>
  </si>
  <si>
    <t>Capital redemption reserve</t>
  </si>
  <si>
    <t>Assets held for sale</t>
  </si>
  <si>
    <t>Other non-current assets</t>
  </si>
  <si>
    <t>Deferred tax liability</t>
  </si>
  <si>
    <t>Total Jazz Pharmaceuticals plc Shareholders' Equity</t>
  </si>
  <si>
    <t>Noncontrolling interests</t>
  </si>
  <si>
    <t>Accumulated other comprehensive income (loss)</t>
  </si>
  <si>
    <t>Depreciation</t>
  </si>
  <si>
    <t>Excess tax benefit from share-based compensation</t>
  </si>
  <si>
    <t>Stock-based compensation</t>
  </si>
  <si>
    <t>Provision for losses on accounts receivable and inventory</t>
  </si>
  <si>
    <t>Amortization of debt discount and deferred financial costs</t>
  </si>
  <si>
    <t>Other non-cash transactions</t>
  </si>
  <si>
    <t>Loss on disposal of property and equipment</t>
  </si>
  <si>
    <t>Other long-term assets</t>
  </si>
  <si>
    <t>Accrued liabilities</t>
  </si>
  <si>
    <t>Other non-current liabilities</t>
  </si>
  <si>
    <t>Acquisition of in-process research and development</t>
  </si>
  <si>
    <t>Acquisition of investments</t>
  </si>
  <si>
    <t>Net proceeds from sale of business</t>
  </si>
  <si>
    <t>Proceeds from employee equity incentive plans</t>
  </si>
  <si>
    <t>Repayment of long-term debt</t>
  </si>
  <si>
    <t>Payment of employee witholding taxes related to share-based awards</t>
  </si>
  <si>
    <t>Net cash provided by (used for) financing activities</t>
  </si>
  <si>
    <t>Net cash provided by (used for) investing activities</t>
  </si>
  <si>
    <t>Share repurchase</t>
  </si>
  <si>
    <t>Contingent consideration</t>
  </si>
  <si>
    <t>Acquisition accounting inventory fair value step-up adjustments</t>
  </si>
  <si>
    <t>Net proceeds from issuance of debt</t>
  </si>
  <si>
    <t>Acquisition of noncrontrolling interests</t>
  </si>
  <si>
    <t>Payment of contingent consideration</t>
  </si>
  <si>
    <t>Intangible asset impairments</t>
  </si>
  <si>
    <t>Repayment under revolving credit facility</t>
  </si>
  <si>
    <t>Price per patient Growth rate QoQ</t>
  </si>
  <si>
    <t>Xyrem Revenue Growth rate QoQ</t>
  </si>
  <si>
    <t>Erwinaze Revenue Growth rate QoQ)</t>
  </si>
  <si>
    <t>Erwinaze Revenue Breakdown</t>
  </si>
  <si>
    <t>Xyrem Revenue Breakdown</t>
  </si>
  <si>
    <t>Defitelio Total Revenue ($ in thousands)</t>
  </si>
  <si>
    <t>Defitelio Revenue Growth rate (QoQ)</t>
  </si>
  <si>
    <t>Xyrem Total Revenue ($ in thousands)</t>
  </si>
  <si>
    <t>Erwinaze Total Revenue ($ in thousands)</t>
  </si>
  <si>
    <t>Defitelio Revenue Breakdown</t>
  </si>
  <si>
    <t>Prialt Revenue Breakdown</t>
  </si>
  <si>
    <t>Prialt Total Revenue ($ in thousands)</t>
  </si>
  <si>
    <t>Prialt Revenue Growth rate (QoQ)</t>
  </si>
  <si>
    <t>Psychiatry Total Revenue ($ in thousands)</t>
  </si>
  <si>
    <t>Psychiatry Revenue Growth rate (QoQ)</t>
  </si>
  <si>
    <t>Psychiatry Revenue Breakdown</t>
  </si>
  <si>
    <t>Others Revenue Growth Rate (QoQ)</t>
  </si>
  <si>
    <t>($ in thousands  unless otherwise noted)</t>
  </si>
  <si>
    <t>Number of Potential Patients - Xyrem</t>
  </si>
  <si>
    <t>Number of Patients prescribed - Xyrem</t>
  </si>
  <si>
    <t>Number of Potential Patients - Erwinaze</t>
  </si>
  <si>
    <t>Number of Patients prescribed - Erwinaze</t>
  </si>
  <si>
    <t>Price per Patient ($ in thousands)</t>
  </si>
  <si>
    <t>Number of Potential Patients - Defitelio</t>
  </si>
  <si>
    <t>Number of Patients prescribed - Defitelio</t>
  </si>
  <si>
    <t>Market size on Erwinaze medication as % of Potential Patients</t>
  </si>
  <si>
    <t>Market size on Defitelio medication as % of Potential Patients</t>
  </si>
  <si>
    <t>Stock-based compensation (Cost of Revenue)</t>
  </si>
  <si>
    <t xml:space="preserve">   Total Stock-based compensation ($ thousands)</t>
  </si>
  <si>
    <t>Defitelio ex-US Revenue ($ in thousands)</t>
  </si>
  <si>
    <t>Defitelio US Revenue ($ in thousands)</t>
  </si>
  <si>
    <t>Number of Patients with incidence of VOD - Europe</t>
  </si>
  <si>
    <t>Number of Patients with incidence of VOD - U.S.</t>
  </si>
  <si>
    <t xml:space="preserve">   Total Revenue</t>
  </si>
  <si>
    <t xml:space="preserve">   Gross Profit (GAAP)</t>
  </si>
  <si>
    <t xml:space="preserve">   Gross Profit (Non-GAAP)</t>
  </si>
  <si>
    <t xml:space="preserve">   Total Operating Expenses</t>
  </si>
  <si>
    <t xml:space="preserve">   Operating Income (GAAP)</t>
  </si>
  <si>
    <t xml:space="preserve">   Income before income taxes (GAAP)</t>
  </si>
  <si>
    <t xml:space="preserve">   Net income (GAAP)</t>
  </si>
  <si>
    <t>Income tax adjustments (NI)</t>
  </si>
  <si>
    <t>Intangible Asset Amortization (Opex)</t>
  </si>
  <si>
    <t>Stock-based compensation (Opex-SG&amp;A)</t>
  </si>
  <si>
    <t>Stock-based compensation (Opex-R&amp;D)</t>
  </si>
  <si>
    <t>Adjustments for amount attribute to noncontrolling interests (NI)</t>
  </si>
  <si>
    <t>Upfront and milestone payments (Opex)</t>
  </si>
  <si>
    <t>Restructuring charges (Opex)</t>
  </si>
  <si>
    <t>Expenses related to certain legal proceedings and restructuring (Opex)</t>
  </si>
  <si>
    <t>Transaction and integration costs (Opex)</t>
  </si>
  <si>
    <t>Acquired in-process research and development (Opex)</t>
  </si>
  <si>
    <t>Impairment charges (Opex)</t>
  </si>
  <si>
    <t>Non-cash interest expense (Opex)</t>
  </si>
  <si>
    <t>Loss on extinguishment and modification of debt (Opex)</t>
  </si>
  <si>
    <t>Operating Expense adjustments (Non-GAAP)</t>
  </si>
  <si>
    <t xml:space="preserve">   Income before income taxes (Non-GAAP)</t>
  </si>
  <si>
    <t xml:space="preserve">   Net income to Jazz Pharma PLC (Non-GAAP)</t>
  </si>
  <si>
    <t xml:space="preserve">   Net income attribute to Jazz Pharmaceuticals PLC (GAAP)</t>
  </si>
  <si>
    <t>Acquisition accounting inventory FV step-up adj (Cost of Revenue)</t>
  </si>
  <si>
    <t>Others  Revenue ($ in thousands)</t>
  </si>
  <si>
    <t>Selling, general and administrative as a % of product sales</t>
  </si>
  <si>
    <t>Research and development as a % of product sales</t>
  </si>
  <si>
    <t>Average intangible asset amortization</t>
  </si>
  <si>
    <t xml:space="preserve">Average foreign currency gain (loss) </t>
  </si>
  <si>
    <t>Royalties Revenue Growth Rate (QoQ)</t>
  </si>
  <si>
    <t>Shares repurchased (thousands) [repurchase details are rounded]</t>
  </si>
  <si>
    <t>Share repurchase: amount in the period ($ in thousands)</t>
  </si>
  <si>
    <t>Basic shares outstanding (GAAP, in thousands)</t>
  </si>
  <si>
    <t>Diluted shares outstanding (GAAP, in thousands)</t>
  </si>
  <si>
    <t>Xyrem medication as % of Potential Patients</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</si>
  <si>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7/5/2016.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</si>
  <si>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7/5/2016. </t>
    </r>
  </si>
  <si>
    <t>Purple cells = Company guidance (last update 5/10/2016)</t>
  </si>
  <si>
    <t>Orange cells = Consensus estimates (updated 7/5/2016)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</si>
</sst>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quot;$&quot;#,##0.00"/>
  </numFmts>
  <fonts count="76"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3" tint="0.59999389629810485"/>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s>
  <cellStyleXfs count="40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10"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380">
    <xf numFmtId="0" fontId="0" fillId="0" borderId="0" xfId="0"/>
    <xf numFmtId="164" fontId="0" fillId="0" borderId="0" xfId="1" applyNumberFormat="1" applyFont="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6" fontId="1" fillId="0" borderId="5" xfId="2"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166" fontId="1" fillId="0" borderId="3" xfId="2" quotePrefix="1" applyNumberFormat="1" applyFont="1" applyFill="1" applyBorder="1" applyAlignment="1">
      <alignment horizontal="right"/>
    </xf>
    <xf numFmtId="166" fontId="1" fillId="0" borderId="4" xfId="2" quotePrefix="1" applyNumberFormat="1" applyFont="1" applyFill="1" applyBorder="1" applyAlignment="1">
      <alignment horizontal="right"/>
    </xf>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2" fillId="0" borderId="6" xfId="0" applyFont="1" applyFill="1" applyBorder="1" applyAlignment="1">
      <alignment horizontal="left"/>
    </xf>
    <xf numFmtId="166" fontId="1" fillId="2" borderId="4" xfId="2" quotePrefix="1" applyNumberFormat="1" applyFont="1" applyFill="1" applyBorder="1" applyAlignment="1">
      <alignment horizontal="right"/>
    </xf>
    <xf numFmtId="165" fontId="2" fillId="0" borderId="9" xfId="1" applyNumberFormat="1" applyFont="1" applyFill="1" applyBorder="1" applyAlignment="1">
      <alignment horizontal="right"/>
    </xf>
    <xf numFmtId="166" fontId="1" fillId="2" borderId="3" xfId="2" quotePrefix="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165" fontId="2" fillId="0" borderId="0" xfId="0" applyNumberFormat="1" applyFont="1"/>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165" fontId="0" fillId="0" borderId="0" xfId="1" applyNumberFormat="1" applyFont="1"/>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8" fontId="1" fillId="0" borderId="0" xfId="1" quotePrefix="1" applyNumberFormat="1" applyFont="1" applyFill="1" applyBorder="1" applyAlignment="1">
      <alignment horizontal="right"/>
    </xf>
    <xf numFmtId="168" fontId="0" fillId="0" borderId="0" xfId="1" applyNumberFormat="1" applyFont="1"/>
    <xf numFmtId="0" fontId="4" fillId="0" borderId="0" xfId="0" applyFont="1"/>
    <xf numFmtId="0" fontId="67" fillId="0" borderId="4" xfId="0" applyFont="1" applyFill="1" applyBorder="1" applyAlignment="1">
      <alignment horizontal="left"/>
    </xf>
    <xf numFmtId="168" fontId="0" fillId="0" borderId="0" xfId="1" applyNumberFormat="1" applyFont="1" applyAlignment="1">
      <alignment horizontal="right"/>
    </xf>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2" borderId="4" xfId="1" applyNumberFormat="1" applyFont="1" applyFill="1" applyBorder="1" applyAlignment="1">
      <alignment horizontal="right"/>
    </xf>
    <xf numFmtId="0" fontId="0" fillId="0" borderId="3"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0" fontId="0" fillId="0" borderId="4" xfId="0" applyFont="1" applyBorder="1" applyAlignment="1"/>
    <xf numFmtId="164" fontId="3" fillId="0" borderId="8" xfId="1" quotePrefix="1" applyNumberFormat="1" applyFont="1" applyFill="1" applyBorder="1" applyAlignment="1">
      <alignment horizontal="right"/>
    </xf>
    <xf numFmtId="165" fontId="0" fillId="0" borderId="0" xfId="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10" fontId="1" fillId="0" borderId="0" xfId="2" quotePrefix="1" applyNumberFormat="1" applyFont="1" applyFill="1" applyBorder="1" applyAlignment="1">
      <alignment horizontal="right"/>
    </xf>
    <xf numFmtId="165" fontId="13"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67" fillId="0" borderId="0" xfId="0" applyFont="1"/>
    <xf numFmtId="43" fontId="0" fillId="0" borderId="3" xfId="1" applyNumberFormat="1" applyFont="1" applyFill="1" applyBorder="1" applyAlignment="1">
      <alignment horizontal="right"/>
    </xf>
    <xf numFmtId="0" fontId="67"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0" fillId="0" borderId="5" xfId="1" applyNumberFormat="1" applyFont="1" applyBorder="1" applyAlignment="1">
      <alignment horizontal="right"/>
    </xf>
    <xf numFmtId="43" fontId="0" fillId="0" borderId="0" xfId="1" applyNumberFormat="1" applyFont="1" applyAlignment="1">
      <alignment horizontal="right"/>
    </xf>
    <xf numFmtId="43" fontId="0" fillId="0" borderId="0" xfId="0" applyNumberFormat="1"/>
    <xf numFmtId="0" fontId="12" fillId="0" borderId="3" xfId="3" applyFont="1" applyFill="1" applyBorder="1" applyAlignment="1">
      <alignment horizontal="left" vertical="top"/>
    </xf>
    <xf numFmtId="43" fontId="13" fillId="0" borderId="3" xfId="1" applyNumberFormat="1" applyFont="1" applyFill="1" applyBorder="1" applyAlignment="1">
      <alignment horizontal="right"/>
    </xf>
    <xf numFmtId="43" fontId="13" fillId="0" borderId="0" xfId="1" applyNumberFormat="1" applyFont="1" applyBorder="1" applyAlignment="1">
      <alignment horizontal="right"/>
    </xf>
    <xf numFmtId="43" fontId="13" fillId="0" borderId="4" xfId="1" applyNumberFormat="1" applyFont="1" applyBorder="1" applyAlignment="1">
      <alignment horizontal="right"/>
    </xf>
    <xf numFmtId="43" fontId="0" fillId="0" borderId="0" xfId="1" applyNumberFormat="1" applyFont="1" applyBorder="1" applyAlignment="1">
      <alignment horizontal="right"/>
    </xf>
    <xf numFmtId="43" fontId="0" fillId="0" borderId="4" xfId="1" applyNumberFormat="1" applyFont="1" applyBorder="1" applyAlignment="1">
      <alignment horizontal="right"/>
    </xf>
    <xf numFmtId="43" fontId="5" fillId="0" borderId="3" xfId="1" applyNumberFormat="1" applyFont="1" applyBorder="1" applyAlignment="1">
      <alignment horizontal="right"/>
    </xf>
    <xf numFmtId="43" fontId="7" fillId="0" borderId="0" xfId="1" applyNumberFormat="1" applyFont="1" applyBorder="1" applyAlignment="1">
      <alignment horizontal="right"/>
    </xf>
    <xf numFmtId="43" fontId="6" fillId="0" borderId="0" xfId="1" applyNumberFormat="1" applyFont="1" applyBorder="1" applyAlignment="1">
      <alignment horizontal="right"/>
    </xf>
    <xf numFmtId="43" fontId="7" fillId="0" borderId="5"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43" fontId="0" fillId="0" borderId="5" xfId="0" applyNumberFormat="1" applyBorder="1"/>
    <xf numFmtId="0" fontId="0" fillId="0" borderId="3" xfId="0" applyFont="1" applyBorder="1" applyAlignment="1">
      <alignment horizontal="left"/>
    </xf>
    <xf numFmtId="0" fontId="0" fillId="0" borderId="4" xfId="0" applyFont="1" applyBorder="1" applyAlignment="1">
      <alignment horizontal="left"/>
    </xf>
    <xf numFmtId="43" fontId="1" fillId="0" borderId="0" xfId="1" quotePrefix="1" applyNumberFormat="1" applyFont="1" applyFill="1" applyBorder="1" applyAlignment="1">
      <alignment horizontal="right"/>
    </xf>
    <xf numFmtId="165" fontId="72" fillId="0" borderId="9" xfId="1"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43" fontId="1" fillId="0" borderId="5"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0" fontId="1" fillId="0" borderId="5" xfId="2" quotePrefix="1" applyNumberFormat="1" applyFont="1" applyFill="1" applyBorder="1" applyAlignment="1">
      <alignment horizontal="right"/>
    </xf>
    <xf numFmtId="164" fontId="75" fillId="0" borderId="0" xfId="1" applyNumberFormat="1" applyFont="1" applyAlignment="1">
      <alignment horizontal="right"/>
    </xf>
    <xf numFmtId="164" fontId="10" fillId="0" borderId="0" xfId="1" applyNumberFormat="1" applyFont="1" applyAlignment="1">
      <alignment horizontal="right"/>
    </xf>
    <xf numFmtId="43" fontId="1" fillId="2" borderId="0" xfId="1" quotePrefix="1" applyFont="1" applyFill="1" applyBorder="1" applyAlignment="1">
      <alignment horizontal="right"/>
    </xf>
    <xf numFmtId="165" fontId="1" fillId="11" borderId="5" xfId="1" quotePrefix="1" applyNumberFormat="1" applyFont="1" applyFill="1" applyBorder="1" applyAlignment="1">
      <alignment horizontal="right"/>
    </xf>
    <xf numFmtId="43" fontId="0" fillId="0" borderId="0" xfId="1" quotePrefix="1" applyFont="1" applyFill="1" applyBorder="1" applyAlignment="1">
      <alignment horizontal="right"/>
    </xf>
    <xf numFmtId="43" fontId="0" fillId="0" borderId="0" xfId="1" applyFont="1" applyFill="1" applyAlignment="1">
      <alignment horizontal="left"/>
    </xf>
    <xf numFmtId="0" fontId="0" fillId="0" borderId="3" xfId="0" applyFont="1" applyFill="1" applyBorder="1" applyAlignment="1">
      <alignment horizontal="left"/>
    </xf>
    <xf numFmtId="0" fontId="0" fillId="0" borderId="3" xfId="0" applyFont="1" applyFill="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43" fontId="1" fillId="11" borderId="5"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1" fillId="0" borderId="0" xfId="2" quotePrefix="1" applyNumberFormat="1" applyFont="1" applyFill="1" applyBorder="1" applyAlignment="1">
      <alignment horizontal="righ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Fill="1" applyBorder="1" applyAlignment="1">
      <alignment horizontal="right"/>
    </xf>
    <xf numFmtId="165" fontId="10" fillId="0" borderId="0"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11" fillId="0" borderId="0" xfId="1" applyNumberFormat="1" applyFont="1" applyFill="1" applyBorder="1" applyAlignment="1">
      <alignment horizontal="right"/>
    </xf>
    <xf numFmtId="165" fontId="2" fillId="0" borderId="0" xfId="1" applyNumberFormat="1" applyFont="1" applyFill="1" applyBorder="1" applyAlignment="1">
      <alignment horizontal="right"/>
    </xf>
    <xf numFmtId="165" fontId="2" fillId="0" borderId="5" xfId="1" applyNumberFormat="1" applyFont="1" applyFill="1" applyBorder="1" applyAlignment="1">
      <alignment horizontal="right"/>
    </xf>
    <xf numFmtId="165" fontId="2" fillId="0" borderId="3"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11" borderId="5" xfId="1" applyNumberFormat="1" applyFont="1" applyFill="1" applyBorder="1" applyAlignment="1">
      <alignment horizontal="right"/>
    </xf>
    <xf numFmtId="165" fontId="12" fillId="0" borderId="5" xfId="1" applyNumberFormat="1" applyFont="1" applyFill="1" applyBorder="1" applyAlignment="1">
      <alignment horizontal="right"/>
    </xf>
    <xf numFmtId="165" fontId="1" fillId="11" borderId="5" xfId="1" applyNumberFormat="1" applyFont="1" applyFill="1" applyBorder="1" applyAlignment="1">
      <alignment horizontal="right"/>
    </xf>
    <xf numFmtId="165" fontId="10" fillId="0" borderId="4" xfId="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3"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2"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0" fillId="0" borderId="3"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11" fillId="0" borderId="5" xfId="1" applyNumberFormat="1" applyFont="1" applyFill="1" applyBorder="1" applyAlignment="1">
      <alignment horizontal="right"/>
    </xf>
    <xf numFmtId="165" fontId="11" fillId="2" borderId="0" xfId="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4"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4" fillId="0" borderId="3" xfId="1" quotePrefix="1" applyNumberFormat="1" applyFont="1" applyFill="1" applyBorder="1" applyAlignment="1">
      <alignment horizontal="right"/>
    </xf>
    <xf numFmtId="165" fontId="1" fillId="0" borderId="4" xfId="1" quotePrefix="1" applyNumberFormat="1" applyFont="1" applyFill="1" applyBorder="1" applyAlignment="1">
      <alignment horizontal="right"/>
    </xf>
    <xf numFmtId="165" fontId="1" fillId="0" borderId="3" xfId="1" quotePrefix="1" applyNumberFormat="1" applyFont="1" applyFill="1" applyBorder="1" applyAlignment="1">
      <alignment horizontal="right"/>
    </xf>
    <xf numFmtId="165" fontId="1" fillId="0" borderId="0" xfId="2" quotePrefix="1" applyNumberFormat="1" applyFont="1" applyFill="1" applyBorder="1" applyAlignment="1">
      <alignment horizontal="right"/>
    </xf>
    <xf numFmtId="164" fontId="1" fillId="0" borderId="0" xfId="1" quotePrefix="1" applyNumberFormat="1" applyFont="1" applyFill="1" applyBorder="1" applyAlignment="1">
      <alignment horizontal="right"/>
    </xf>
    <xf numFmtId="164" fontId="1" fillId="0" borderId="5" xfId="1" quotePrefix="1" applyNumberFormat="1" applyFont="1" applyFill="1" applyBorder="1" applyAlignment="1">
      <alignment horizontal="right"/>
    </xf>
    <xf numFmtId="165" fontId="4" fillId="0" borderId="0" xfId="1" applyNumberFormat="1" applyFont="1"/>
    <xf numFmtId="165" fontId="2" fillId="0" borderId="0" xfId="1" quotePrefix="1" applyNumberFormat="1" applyFont="1" applyFill="1" applyBorder="1" applyAlignment="1">
      <alignment horizontal="right"/>
    </xf>
    <xf numFmtId="165" fontId="2" fillId="0" borderId="4"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5" fontId="2" fillId="0" borderId="3" xfId="1" quotePrefix="1" applyNumberFormat="1" applyFont="1" applyFill="1" applyBorder="1" applyAlignment="1">
      <alignment horizontal="right"/>
    </xf>
    <xf numFmtId="165" fontId="1" fillId="2" borderId="4" xfId="1" quotePrefix="1" applyNumberFormat="1" applyFont="1" applyFill="1" applyBorder="1" applyAlignment="1">
      <alignment horizontal="right"/>
    </xf>
    <xf numFmtId="165" fontId="1" fillId="2" borderId="3" xfId="1" quotePrefix="1" applyNumberFormat="1" applyFont="1" applyFill="1" applyBorder="1" applyAlignment="1">
      <alignment horizontal="right"/>
    </xf>
    <xf numFmtId="165" fontId="0" fillId="0" borderId="0" xfId="0" applyNumberFormat="1" applyFont="1"/>
    <xf numFmtId="0" fontId="0" fillId="0" borderId="28" xfId="0" applyFont="1" applyFill="1" applyBorder="1" applyAlignment="1">
      <alignment horizontal="left"/>
    </xf>
    <xf numFmtId="0" fontId="67" fillId="0" borderId="29" xfId="0" applyFont="1" applyFill="1" applyBorder="1" applyAlignment="1">
      <alignment horizontal="left"/>
    </xf>
    <xf numFmtId="165" fontId="1" fillId="2" borderId="30" xfId="1" quotePrefix="1" applyNumberFormat="1" applyFont="1" applyFill="1" applyBorder="1" applyAlignment="1">
      <alignment horizontal="right"/>
    </xf>
    <xf numFmtId="165" fontId="1" fillId="2" borderId="29" xfId="1" quotePrefix="1" applyNumberFormat="1" applyFont="1" applyFill="1" applyBorder="1" applyAlignment="1">
      <alignment horizontal="right"/>
    </xf>
    <xf numFmtId="165" fontId="1" fillId="2" borderId="28" xfId="1" quotePrefix="1" applyNumberFormat="1" applyFont="1" applyFill="1" applyBorder="1" applyAlignment="1">
      <alignment horizontal="right"/>
    </xf>
    <xf numFmtId="165" fontId="1" fillId="2" borderId="5" xfId="1" quotePrefix="1" applyNumberFormat="1" applyFont="1" applyFill="1" applyBorder="1" applyAlignment="1">
      <alignment horizontal="right"/>
    </xf>
    <xf numFmtId="0" fontId="0" fillId="0" borderId="29" xfId="0" applyFont="1" applyFill="1" applyBorder="1" applyAlignment="1">
      <alignment horizontal="left"/>
    </xf>
    <xf numFmtId="43" fontId="1" fillId="0" borderId="30" xfId="1" quotePrefix="1" applyNumberFormat="1" applyFont="1" applyFill="1" applyBorder="1" applyAlignment="1">
      <alignment horizontal="right"/>
    </xf>
    <xf numFmtId="43" fontId="1" fillId="0" borderId="27" xfId="1" quotePrefix="1" applyNumberFormat="1" applyFont="1" applyFill="1" applyBorder="1" applyAlignment="1">
      <alignment horizontal="right"/>
    </xf>
    <xf numFmtId="10" fontId="1" fillId="0" borderId="30" xfId="2" quotePrefix="1" applyNumberFormat="1" applyFont="1" applyFill="1" applyBorder="1" applyAlignment="1">
      <alignment horizontal="right"/>
    </xf>
    <xf numFmtId="10" fontId="1" fillId="0" borderId="27" xfId="2" quotePrefix="1" applyNumberFormat="1" applyFont="1" applyFill="1" applyBorder="1" applyAlignment="1">
      <alignment horizontal="right"/>
    </xf>
    <xf numFmtId="10" fontId="1" fillId="2" borderId="30" xfId="2" quotePrefix="1" applyNumberFormat="1" applyFont="1" applyFill="1" applyBorder="1" applyAlignment="1">
      <alignment horizontal="right"/>
    </xf>
    <xf numFmtId="10" fontId="1" fillId="2" borderId="27" xfId="2" quotePrefix="1" applyNumberFormat="1" applyFont="1" applyFill="1" applyBorder="1" applyAlignment="1">
      <alignment horizontal="right"/>
    </xf>
    <xf numFmtId="0" fontId="8" fillId="0" borderId="3" xfId="0" applyFont="1" applyFill="1" applyBorder="1" applyAlignment="1">
      <alignment horizontal="left"/>
    </xf>
    <xf numFmtId="43" fontId="1" fillId="0" borderId="30" xfId="1" quotePrefix="1" applyFont="1" applyFill="1" applyBorder="1" applyAlignment="1">
      <alignment horizontal="right"/>
    </xf>
    <xf numFmtId="43" fontId="1" fillId="0" borderId="27" xfId="1" quotePrefix="1" applyFont="1" applyFill="1" applyBorder="1" applyAlignment="1">
      <alignment horizontal="right"/>
    </xf>
    <xf numFmtId="9" fontId="1" fillId="0" borderId="30" xfId="2" quotePrefix="1" applyFont="1" applyFill="1" applyBorder="1" applyAlignment="1">
      <alignment horizontal="right"/>
    </xf>
    <xf numFmtId="166" fontId="1" fillId="2" borderId="30" xfId="2"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5" fontId="0" fillId="0" borderId="5" xfId="1" applyNumberFormat="1" applyFont="1" applyFill="1" applyBorder="1"/>
    <xf numFmtId="165" fontId="0" fillId="0" borderId="0" xfId="1" applyNumberFormat="1" applyFont="1" applyFill="1"/>
    <xf numFmtId="164" fontId="0" fillId="0" borderId="0" xfId="0" applyNumberFormat="1" applyFill="1"/>
    <xf numFmtId="165" fontId="1" fillId="0" borderId="5" xfId="2" quotePrefix="1" applyNumberFormat="1" applyFont="1" applyFill="1" applyBorder="1" applyAlignment="1">
      <alignment horizontal="right"/>
    </xf>
    <xf numFmtId="166" fontId="1" fillId="2" borderId="5" xfId="2" quotePrefix="1" applyNumberFormat="1" applyFont="1" applyFill="1" applyBorder="1" applyAlignment="1">
      <alignment horizontal="right"/>
    </xf>
    <xf numFmtId="166" fontId="0" fillId="0" borderId="0" xfId="2" applyNumberFormat="1" applyFont="1" applyFill="1"/>
    <xf numFmtId="166" fontId="1" fillId="0" borderId="30" xfId="1" quotePrefix="1" applyNumberFormat="1" applyFont="1" applyFill="1" applyBorder="1" applyAlignment="1">
      <alignment horizontal="right"/>
    </xf>
    <xf numFmtId="166" fontId="1" fillId="0" borderId="27" xfId="1" quotePrefix="1" applyNumberFormat="1" applyFont="1" applyFill="1" applyBorder="1" applyAlignment="1">
      <alignment horizontal="right"/>
    </xf>
    <xf numFmtId="166" fontId="1" fillId="11" borderId="30" xfId="2" quotePrefix="1" applyNumberFormat="1" applyFont="1" applyFill="1" applyBorder="1" applyAlignment="1">
      <alignment horizontal="right"/>
    </xf>
    <xf numFmtId="166" fontId="1" fillId="2" borderId="27" xfId="2" quotePrefix="1" applyNumberFormat="1" applyFont="1" applyFill="1" applyBorder="1" applyAlignment="1">
      <alignment horizontal="right"/>
    </xf>
    <xf numFmtId="165" fontId="10" fillId="2" borderId="0" xfId="1" applyNumberFormat="1" applyFont="1" applyFill="1" applyBorder="1" applyAlignment="1">
      <alignment horizontal="right"/>
    </xf>
    <xf numFmtId="165" fontId="4" fillId="2" borderId="3" xfId="1" applyNumberFormat="1" applyFont="1" applyFill="1" applyBorder="1" applyAlignment="1">
      <alignment horizontal="right"/>
    </xf>
    <xf numFmtId="165" fontId="0" fillId="2" borderId="0" xfId="1" quotePrefix="1" applyNumberFormat="1" applyFont="1" applyFill="1" applyBorder="1" applyAlignment="1">
      <alignment horizontal="right"/>
    </xf>
    <xf numFmtId="0" fontId="0" fillId="0" borderId="28" xfId="0" applyFont="1" applyBorder="1" applyAlignment="1">
      <alignment horizontal="left"/>
    </xf>
    <xf numFmtId="0" fontId="0" fillId="0" borderId="29" xfId="0" applyFont="1" applyBorder="1" applyAlignment="1">
      <alignment horizontal="left"/>
    </xf>
    <xf numFmtId="164" fontId="0" fillId="0" borderId="7" xfId="1" applyNumberFormat="1" applyFont="1" applyFill="1" applyBorder="1" applyAlignment="1">
      <alignment horizontal="right"/>
    </xf>
    <xf numFmtId="165" fontId="3" fillId="0" borderId="8" xfId="1" quotePrefix="1" applyNumberFormat="1" applyFont="1" applyFill="1" applyBorder="1" applyAlignment="1">
      <alignment horizontal="right"/>
    </xf>
    <xf numFmtId="43" fontId="0" fillId="0" borderId="0" xfId="1" applyFont="1" applyFill="1" applyBorder="1" applyAlignment="1">
      <alignment horizontal="right"/>
    </xf>
    <xf numFmtId="43" fontId="3" fillId="0" borderId="0" xfId="1" quotePrefix="1" applyFont="1" applyFill="1" applyBorder="1" applyAlignment="1">
      <alignment horizontal="right"/>
    </xf>
    <xf numFmtId="43" fontId="3" fillId="0" borderId="5" xfId="1" quotePrefix="1" applyFont="1" applyFill="1" applyBorder="1" applyAlignment="1">
      <alignment horizontal="right"/>
    </xf>
    <xf numFmtId="165" fontId="12" fillId="4" borderId="0" xfId="1" applyNumberFormat="1" applyFont="1" applyFill="1" applyBorder="1" applyAlignment="1">
      <alignment horizontal="right"/>
    </xf>
    <xf numFmtId="43" fontId="10" fillId="4" borderId="0" xfId="1" applyNumberFormat="1" applyFont="1" applyFill="1" applyBorder="1" applyAlignment="1">
      <alignment horizontal="right"/>
    </xf>
    <xf numFmtId="166" fontId="1" fillId="0" borderId="28" xfId="2" quotePrefix="1" applyNumberFormat="1" applyFont="1" applyFill="1" applyBorder="1" applyAlignment="1">
      <alignment horizontal="right"/>
    </xf>
    <xf numFmtId="166" fontId="1" fillId="11" borderId="5" xfId="2" quotePrefix="1" applyNumberFormat="1" applyFont="1" applyFill="1" applyBorder="1" applyAlignment="1">
      <alignment horizontal="right"/>
    </xf>
    <xf numFmtId="0" fontId="0" fillId="0" borderId="5" xfId="0" applyBorder="1"/>
    <xf numFmtId="165" fontId="10" fillId="0" borderId="0" xfId="1" applyNumberFormat="1" applyFont="1" applyBorder="1" applyAlignment="1">
      <alignment horizontal="right"/>
    </xf>
    <xf numFmtId="165" fontId="0" fillId="0" borderId="5" xfId="1" applyNumberFormat="1" applyFont="1" applyBorder="1" applyAlignment="1">
      <alignment horizontal="right"/>
    </xf>
    <xf numFmtId="165" fontId="0" fillId="0" borderId="5" xfId="0" applyNumberFormat="1" applyBorder="1"/>
    <xf numFmtId="165" fontId="2" fillId="0" borderId="5" xfId="1" applyNumberFormat="1" applyFont="1" applyBorder="1" applyAlignment="1">
      <alignment horizontal="right"/>
    </xf>
    <xf numFmtId="165" fontId="2" fillId="0" borderId="5" xfId="0" applyNumberFormat="1" applyFont="1" applyBorder="1"/>
    <xf numFmtId="165" fontId="1" fillId="0" borderId="5" xfId="1" applyNumberFormat="1" applyFont="1" applyBorder="1" applyAlignment="1">
      <alignment horizontal="right"/>
    </xf>
    <xf numFmtId="165" fontId="0" fillId="0" borderId="5" xfId="0" applyNumberFormat="1" applyFont="1" applyBorder="1"/>
    <xf numFmtId="165" fontId="12" fillId="0" borderId="0" xfId="1" applyNumberFormat="1" applyFont="1" applyBorder="1" applyAlignment="1">
      <alignment horizontal="right"/>
    </xf>
    <xf numFmtId="165" fontId="10" fillId="0" borderId="0" xfId="3" applyNumberFormat="1" applyFont="1" applyFill="1">
      <alignment vertical="top"/>
    </xf>
    <xf numFmtId="165" fontId="12" fillId="0" borderId="0" xfId="3" applyNumberFormat="1" applyFont="1" applyFill="1">
      <alignment vertical="top"/>
    </xf>
    <xf numFmtId="165" fontId="2" fillId="0" borderId="7" xfId="1" applyNumberFormat="1" applyFont="1" applyFill="1" applyBorder="1" applyAlignment="1">
      <alignment horizontal="right"/>
    </xf>
    <xf numFmtId="165" fontId="2" fillId="0" borderId="10" xfId="1" applyNumberFormat="1" applyFont="1" applyFill="1" applyBorder="1" applyAlignment="1">
      <alignment horizontal="right"/>
    </xf>
    <xf numFmtId="165" fontId="2" fillId="0" borderId="8" xfId="1" applyNumberFormat="1" applyFont="1" applyFill="1" applyBorder="1" applyAlignment="1">
      <alignment horizontal="right"/>
    </xf>
    <xf numFmtId="165" fontId="2" fillId="0" borderId="7" xfId="1" applyNumberFormat="1" applyFont="1" applyBorder="1" applyAlignment="1">
      <alignment horizontal="right"/>
    </xf>
    <xf numFmtId="165" fontId="2" fillId="0" borderId="8" xfId="0" applyNumberFormat="1" applyFont="1" applyBorder="1"/>
    <xf numFmtId="165" fontId="4" fillId="0" borderId="5" xfId="1" applyNumberFormat="1" applyFont="1" applyBorder="1" applyAlignment="1">
      <alignment horizontal="right"/>
    </xf>
    <xf numFmtId="165" fontId="4" fillId="0" borderId="5" xfId="0" applyNumberFormat="1" applyFont="1" applyBorder="1"/>
    <xf numFmtId="165" fontId="11" fillId="0" borderId="0" xfId="3" applyNumberFormat="1" applyFont="1" applyFill="1">
      <alignment vertical="top"/>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3" xfId="1" applyNumberFormat="1" applyFont="1" applyBorder="1" applyAlignment="1">
      <alignment horizontal="right"/>
    </xf>
    <xf numFmtId="165" fontId="0" fillId="0" borderId="5" xfId="0" applyNumberFormat="1" applyFill="1" applyBorder="1"/>
    <xf numFmtId="165" fontId="1" fillId="0" borderId="0" xfId="1" applyNumberFormat="1" applyFont="1" applyBorder="1" applyAlignment="1">
      <alignment horizontal="right"/>
    </xf>
    <xf numFmtId="165" fontId="1" fillId="0" borderId="4" xfId="1" applyNumberFormat="1" applyFont="1" applyBorder="1" applyAlignment="1">
      <alignment horizontal="right"/>
    </xf>
    <xf numFmtId="165" fontId="1" fillId="0" borderId="3" xfId="1" applyNumberFormat="1" applyFont="1" applyBorder="1" applyAlignment="1">
      <alignment horizontal="right"/>
    </xf>
    <xf numFmtId="165" fontId="2" fillId="0" borderId="0" xfId="1" applyNumberFormat="1" applyFont="1" applyBorder="1" applyAlignment="1">
      <alignment horizontal="right"/>
    </xf>
    <xf numFmtId="165" fontId="2" fillId="0" borderId="4" xfId="1" applyNumberFormat="1" applyFont="1" applyBorder="1" applyAlignment="1">
      <alignment horizontal="right"/>
    </xf>
    <xf numFmtId="165" fontId="2" fillId="0" borderId="3" xfId="1" applyNumberFormat="1" applyFont="1" applyBorder="1" applyAlignment="1">
      <alignment horizontal="right"/>
    </xf>
    <xf numFmtId="165" fontId="1" fillId="0" borderId="5" xfId="0" applyNumberFormat="1" applyFont="1" applyFill="1" applyBorder="1"/>
    <xf numFmtId="43" fontId="1" fillId="0" borderId="6" xfId="1" applyNumberFormat="1" applyFont="1" applyFill="1" applyBorder="1" applyAlignment="1">
      <alignment horizontal="right"/>
    </xf>
    <xf numFmtId="43" fontId="1" fillId="0" borderId="7" xfId="1" applyNumberFormat="1" applyFont="1" applyBorder="1" applyAlignment="1">
      <alignment horizontal="right"/>
    </xf>
    <xf numFmtId="43" fontId="1" fillId="0" borderId="10" xfId="1" applyNumberFormat="1" applyFont="1" applyBorder="1" applyAlignment="1">
      <alignment horizontal="right"/>
    </xf>
    <xf numFmtId="43" fontId="1" fillId="0" borderId="8" xfId="1" applyNumberFormat="1" applyFont="1" applyBorder="1" applyAlignment="1">
      <alignment horizontal="right"/>
    </xf>
    <xf numFmtId="43" fontId="1" fillId="0" borderId="6" xfId="1" applyNumberFormat="1" applyFont="1" applyBorder="1" applyAlignment="1">
      <alignment horizontal="right"/>
    </xf>
    <xf numFmtId="43" fontId="1" fillId="0" borderId="7" xfId="1" applyNumberFormat="1" applyFont="1" applyFill="1" applyBorder="1" applyAlignment="1">
      <alignment horizontal="right"/>
    </xf>
    <xf numFmtId="227" fontId="2" fillId="0" borderId="4" xfId="1" applyNumberFormat="1" applyFont="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0" fillId="0" borderId="28" xfId="0" applyFont="1" applyFill="1" applyBorder="1" applyAlignment="1">
      <alignment horizontal="left"/>
    </xf>
    <xf numFmtId="0" fontId="0" fillId="0" borderId="29"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6" xfId="0" applyFont="1" applyBorder="1" applyAlignment="1">
      <alignment horizontal="left"/>
    </xf>
    <xf numFmtId="0" fontId="0" fillId="0" borderId="10" xfId="0" applyFont="1" applyBorder="1" applyAlignment="1">
      <alignment horizontal="left"/>
    </xf>
    <xf numFmtId="0" fontId="0" fillId="0" borderId="0" xfId="0" applyFont="1" applyBorder="1" applyAlignment="1">
      <alignment horizontal="left"/>
    </xf>
  </cellXfs>
  <cellStyles count="40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374093336"/>
        <c:axId val="374093728"/>
      </c:lineChart>
      <c:catAx>
        <c:axId val="3740933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74093728"/>
        <c:crosses val="autoZero"/>
        <c:auto val="1"/>
        <c:lblAlgn val="ctr"/>
        <c:lblOffset val="100"/>
        <c:tickLblSkip val="7"/>
        <c:noMultiLvlLbl val="1"/>
      </c:catAx>
      <c:valAx>
        <c:axId val="374093728"/>
        <c:scaling>
          <c:orientation val="minMax"/>
        </c:scaling>
        <c:delete val="0"/>
        <c:axPos val="l"/>
        <c:majorGridlines/>
        <c:numFmt formatCode="0.0\x" sourceLinked="0"/>
        <c:majorTickMark val="out"/>
        <c:minorTickMark val="none"/>
        <c:tickLblPos val="nextTo"/>
        <c:crossAx val="3740933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374094512"/>
        <c:axId val="374094904"/>
      </c:lineChart>
      <c:catAx>
        <c:axId val="37409451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74094904"/>
        <c:crosses val="autoZero"/>
        <c:auto val="1"/>
        <c:lblAlgn val="ctr"/>
        <c:lblOffset val="100"/>
        <c:tickLblSkip val="7"/>
        <c:noMultiLvlLbl val="1"/>
      </c:catAx>
      <c:valAx>
        <c:axId val="374094904"/>
        <c:scaling>
          <c:orientation val="minMax"/>
        </c:scaling>
        <c:delete val="0"/>
        <c:axPos val="l"/>
        <c:majorGridlines/>
        <c:numFmt formatCode="0.0\x" sourceLinked="0"/>
        <c:majorTickMark val="out"/>
        <c:minorTickMark val="none"/>
        <c:tickLblPos val="nextTo"/>
        <c:crossAx val="3740945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374095688"/>
        <c:axId val="374096080"/>
      </c:lineChart>
      <c:catAx>
        <c:axId val="37409568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74096080"/>
        <c:crosses val="autoZero"/>
        <c:auto val="1"/>
        <c:lblAlgn val="ctr"/>
        <c:lblOffset val="100"/>
        <c:tickLblSkip val="7"/>
        <c:noMultiLvlLbl val="1"/>
      </c:catAx>
      <c:valAx>
        <c:axId val="374096080"/>
        <c:scaling>
          <c:orientation val="minMax"/>
        </c:scaling>
        <c:delete val="0"/>
        <c:axPos val="l"/>
        <c:majorGridlines/>
        <c:numFmt formatCode="0.0\x" sourceLinked="0"/>
        <c:majorTickMark val="out"/>
        <c:minorTickMark val="none"/>
        <c:tickLblPos val="nextTo"/>
        <c:crossAx val="3740956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44</xdr:row>
      <xdr:rowOff>0</xdr:rowOff>
    </xdr:from>
    <xdr:to>
      <xdr:col>11</xdr:col>
      <xdr:colOff>718343</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120</xdr:row>
      <xdr:rowOff>0</xdr:rowOff>
    </xdr:from>
    <xdr:to>
      <xdr:col>11</xdr:col>
      <xdr:colOff>718343</xdr:colOff>
      <xdr:row>120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169</xdr:row>
      <xdr:rowOff>0</xdr:rowOff>
    </xdr:from>
    <xdr:to>
      <xdr:col>11</xdr:col>
      <xdr:colOff>718343</xdr:colOff>
      <xdr:row>169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8"/>
  <sheetViews>
    <sheetView showGridLines="0" tabSelected="1" zoomScale="80" zoomScaleNormal="80" zoomScalePageLayoutView="80" workbookViewId="0">
      <selection activeCell="B2" sqref="B2:C2"/>
    </sheetView>
  </sheetViews>
  <sheetFormatPr defaultColWidth="8.88671875" defaultRowHeight="14.4" outlineLevelRow="1" outlineLevelCol="1" x14ac:dyDescent="0.3"/>
  <cols>
    <col min="1" max="1" width="1.88671875" customWidth="1"/>
    <col min="2" max="2" width="32.21875" customWidth="1"/>
    <col min="3" max="3" width="26.109375" style="11" customWidth="1"/>
    <col min="4" max="7" width="14.6640625" style="1" hidden="1" customWidth="1" outlineLevel="1"/>
    <col min="8" max="8" width="14.6640625" style="1" customWidth="1" collapsed="1"/>
    <col min="9" max="10" width="14.6640625" style="1" hidden="1" customWidth="1" outlineLevel="1"/>
    <col min="11" max="12" width="14.6640625" style="3" hidden="1" customWidth="1" outlineLevel="1"/>
    <col min="13" max="13" width="14.6640625" style="3" customWidth="1" collapsed="1"/>
    <col min="14" max="15" width="14.6640625" style="1" customWidth="1" outlineLevel="1"/>
    <col min="16" max="17" width="14.6640625" style="3" customWidth="1" outlineLevel="1"/>
    <col min="18" max="18" width="14.6640625" style="3" customWidth="1"/>
    <col min="19" max="20" width="14.6640625" style="1" hidden="1" customWidth="1" outlineLevel="1"/>
    <col min="21" max="22" width="14.6640625" style="3" hidden="1" customWidth="1" outlineLevel="1"/>
    <col min="23" max="23" width="14.6640625" style="3" customWidth="1" collapsed="1"/>
    <col min="24" max="24" width="4.33203125" customWidth="1"/>
  </cols>
  <sheetData>
    <row r="1" spans="1:29" s="60" customFormat="1" x14ac:dyDescent="0.3">
      <c r="A1" s="113"/>
      <c r="C1" s="61"/>
      <c r="D1" s="1"/>
      <c r="E1" s="1"/>
      <c r="F1" s="1"/>
      <c r="G1" s="1"/>
      <c r="H1" s="1"/>
      <c r="I1" s="1"/>
      <c r="J1" s="1"/>
      <c r="K1" s="3"/>
      <c r="L1" s="3"/>
      <c r="M1" s="3"/>
      <c r="N1" s="1"/>
      <c r="O1" s="1"/>
      <c r="P1" s="3"/>
      <c r="Q1" s="3"/>
      <c r="R1" s="3"/>
      <c r="S1" s="1"/>
      <c r="T1" s="1"/>
      <c r="U1" s="3"/>
      <c r="V1" s="3"/>
      <c r="W1" s="3"/>
      <c r="AC1" s="113" t="s">
        <v>75</v>
      </c>
    </row>
    <row r="2" spans="1:29" ht="46.35" customHeight="1" x14ac:dyDescent="0.3">
      <c r="B2" s="363" t="s">
        <v>74</v>
      </c>
      <c r="C2" s="364"/>
    </row>
    <row r="3" spans="1:29" x14ac:dyDescent="0.3">
      <c r="B3" s="365" t="s">
        <v>55</v>
      </c>
      <c r="C3" s="366"/>
      <c r="D3" s="188"/>
      <c r="I3" s="12"/>
      <c r="N3" s="189"/>
    </row>
    <row r="4" spans="1:29" x14ac:dyDescent="0.3">
      <c r="B4" s="367" t="s">
        <v>246</v>
      </c>
      <c r="C4" s="368"/>
      <c r="D4" s="9"/>
      <c r="I4" s="12"/>
    </row>
    <row r="5" spans="1:29" s="75" customFormat="1" x14ac:dyDescent="0.3">
      <c r="A5"/>
      <c r="B5" s="369" t="s">
        <v>247</v>
      </c>
      <c r="C5" s="370"/>
      <c r="D5" s="9"/>
      <c r="E5" s="1"/>
      <c r="F5" s="1"/>
      <c r="G5" s="93"/>
      <c r="H5" s="1"/>
      <c r="I5" s="12"/>
      <c r="J5" s="12"/>
      <c r="K5" s="12"/>
      <c r="L5" s="93"/>
      <c r="M5" s="3"/>
      <c r="N5" s="193"/>
      <c r="O5" s="17"/>
      <c r="P5" s="17"/>
      <c r="Q5" s="17"/>
      <c r="R5" s="17"/>
      <c r="S5" s="17"/>
      <c r="T5" s="17"/>
      <c r="U5" s="17"/>
      <c r="V5" s="17"/>
      <c r="W5" s="17"/>
    </row>
    <row r="6" spans="1:29" x14ac:dyDescent="0.3">
      <c r="B6" s="105" t="s">
        <v>30</v>
      </c>
      <c r="C6" s="106">
        <f>C231</f>
        <v>140.00036380062107</v>
      </c>
      <c r="I6" s="12"/>
      <c r="J6" s="12"/>
      <c r="K6" s="12"/>
      <c r="L6" s="12"/>
      <c r="N6" s="12"/>
      <c r="O6" s="12"/>
      <c r="P6" s="12"/>
      <c r="Q6" s="12"/>
      <c r="R6" s="12"/>
      <c r="S6" s="12"/>
      <c r="T6" s="12"/>
      <c r="U6" s="12"/>
      <c r="V6" s="12"/>
      <c r="W6" s="12"/>
    </row>
    <row r="7" spans="1:29" s="60" customFormat="1" x14ac:dyDescent="0.3">
      <c r="B7" s="67" t="s">
        <v>67</v>
      </c>
      <c r="C7" s="98" t="str">
        <f>TEXT(C240,"$0")&amp;" to "&amp;TEXT(C239,"$0")</f>
        <v>$121 to $159</v>
      </c>
      <c r="D7" s="1"/>
      <c r="E7" s="1"/>
      <c r="F7" s="1"/>
      <c r="G7" s="1"/>
      <c r="H7" s="1"/>
      <c r="I7" s="12"/>
      <c r="J7" s="12"/>
      <c r="K7" s="12"/>
      <c r="L7" s="12"/>
      <c r="M7" s="3"/>
      <c r="N7" s="12"/>
      <c r="O7" s="12"/>
      <c r="P7" s="12"/>
      <c r="Q7" s="12"/>
      <c r="R7" s="110"/>
      <c r="S7" s="12"/>
      <c r="T7" s="12"/>
      <c r="U7" s="12"/>
      <c r="V7" s="12"/>
      <c r="W7" s="12"/>
    </row>
    <row r="8" spans="1:29" ht="4.5" customHeight="1" x14ac:dyDescent="0.3">
      <c r="C8" s="19"/>
      <c r="D8" s="9"/>
      <c r="E8" s="9"/>
      <c r="F8" s="9"/>
      <c r="G8" s="9"/>
      <c r="H8" s="9"/>
      <c r="I8" s="9"/>
      <c r="J8" s="9"/>
      <c r="K8" s="9"/>
      <c r="L8" s="15"/>
      <c r="M8" s="16"/>
      <c r="N8" s="15"/>
      <c r="O8" s="15"/>
      <c r="P8" s="15"/>
      <c r="Q8" s="17"/>
      <c r="R8" s="17"/>
      <c r="S8" s="15"/>
      <c r="T8" s="15"/>
      <c r="U8" s="15"/>
      <c r="V8" s="17"/>
      <c r="W8" s="17"/>
    </row>
    <row r="9" spans="1:29" ht="15.6" x14ac:dyDescent="0.3">
      <c r="B9" s="351" t="s">
        <v>116</v>
      </c>
      <c r="C9" s="352"/>
      <c r="D9" s="51" t="s">
        <v>5</v>
      </c>
      <c r="E9" s="51" t="s">
        <v>4</v>
      </c>
      <c r="F9" s="51" t="s">
        <v>3</v>
      </c>
      <c r="G9" s="51" t="s">
        <v>6</v>
      </c>
      <c r="H9" s="51" t="s">
        <v>6</v>
      </c>
      <c r="I9" s="51" t="s">
        <v>7</v>
      </c>
      <c r="J9" s="51" t="s">
        <v>8</v>
      </c>
      <c r="K9" s="51" t="s">
        <v>9</v>
      </c>
      <c r="L9" s="63" t="s">
        <v>11</v>
      </c>
      <c r="M9" s="63" t="s">
        <v>11</v>
      </c>
      <c r="N9" s="63" t="s">
        <v>12</v>
      </c>
      <c r="O9" s="53" t="s">
        <v>13</v>
      </c>
      <c r="P9" s="53" t="s">
        <v>14</v>
      </c>
      <c r="Q9" s="53" t="s">
        <v>10</v>
      </c>
      <c r="R9" s="53" t="s">
        <v>10</v>
      </c>
      <c r="S9" s="53" t="s">
        <v>15</v>
      </c>
      <c r="T9" s="53" t="s">
        <v>16</v>
      </c>
      <c r="U9" s="53" t="s">
        <v>17</v>
      </c>
      <c r="V9" s="53" t="s">
        <v>18</v>
      </c>
      <c r="W9" s="71" t="s">
        <v>18</v>
      </c>
    </row>
    <row r="10" spans="1:29" ht="16.2" x14ac:dyDescent="0.45">
      <c r="B10" s="355" t="s">
        <v>118</v>
      </c>
      <c r="C10" s="356"/>
      <c r="D10" s="52" t="s">
        <v>36</v>
      </c>
      <c r="E10" s="52" t="s">
        <v>37</v>
      </c>
      <c r="F10" s="52" t="s">
        <v>38</v>
      </c>
      <c r="G10" s="52" t="s">
        <v>39</v>
      </c>
      <c r="H10" s="64" t="s">
        <v>26</v>
      </c>
      <c r="I10" s="52" t="s">
        <v>40</v>
      </c>
      <c r="J10" s="52" t="s">
        <v>41</v>
      </c>
      <c r="K10" s="52" t="s">
        <v>49</v>
      </c>
      <c r="L10" s="64" t="s">
        <v>65</v>
      </c>
      <c r="M10" s="64" t="s">
        <v>66</v>
      </c>
      <c r="N10" s="64" t="s">
        <v>117</v>
      </c>
      <c r="O10" s="54" t="s">
        <v>42</v>
      </c>
      <c r="P10" s="54" t="s">
        <v>43</v>
      </c>
      <c r="Q10" s="54" t="s">
        <v>44</v>
      </c>
      <c r="R10" s="54" t="s">
        <v>27</v>
      </c>
      <c r="S10" s="54" t="s">
        <v>45</v>
      </c>
      <c r="T10" s="54" t="s">
        <v>46</v>
      </c>
      <c r="U10" s="54" t="s">
        <v>47</v>
      </c>
      <c r="V10" s="54" t="s">
        <v>48</v>
      </c>
      <c r="W10" s="72" t="s">
        <v>28</v>
      </c>
    </row>
    <row r="11" spans="1:29" s="61" customFormat="1" x14ac:dyDescent="0.3">
      <c r="B11" s="361" t="s">
        <v>120</v>
      </c>
      <c r="C11" s="362"/>
      <c r="D11" s="208">
        <v>244986</v>
      </c>
      <c r="E11" s="209">
        <v>289100</v>
      </c>
      <c r="F11" s="209">
        <v>304407</v>
      </c>
      <c r="G11" s="210">
        <v>324223</v>
      </c>
      <c r="H11" s="211">
        <f>SUM(D11:G11)</f>
        <v>1162716</v>
      </c>
      <c r="I11" s="208">
        <v>307035</v>
      </c>
      <c r="J11" s="212">
        <v>332106</v>
      </c>
      <c r="K11" s="212">
        <v>338754</v>
      </c>
      <c r="L11" s="212">
        <v>338924</v>
      </c>
      <c r="M11" s="211">
        <f>SUM(I11:L11)</f>
        <v>1316819</v>
      </c>
      <c r="N11" s="212">
        <v>333916</v>
      </c>
      <c r="O11" s="212">
        <f>O47+O55+O63+O75+O78+O80</f>
        <v>373585.05999999994</v>
      </c>
      <c r="P11" s="212">
        <f>P47+P55+P63+P75+P78+P80</f>
        <v>393163.91059999994</v>
      </c>
      <c r="Q11" s="212">
        <f>Q47+Q55+Q63+Q75+Q78+Q80</f>
        <v>412542.54970600019</v>
      </c>
      <c r="R11" s="211">
        <f>SUM(N11:Q11)</f>
        <v>1513207.520306</v>
      </c>
      <c r="S11" s="212">
        <f>S47+S55+S63+S75+S78+S80</f>
        <v>386020.97520306008</v>
      </c>
      <c r="T11" s="212">
        <f>T47+T55+T63+T75+T78+T80</f>
        <v>419924.25518596434</v>
      </c>
      <c r="U11" s="212">
        <f>U47+U55+U63+U75+U78+U80</f>
        <v>456211.489497968</v>
      </c>
      <c r="V11" s="212">
        <f>V47+V55+V63+V75+V78+V80</f>
        <v>497196.89703387982</v>
      </c>
      <c r="W11" s="211">
        <f>SUM(S11:V11)</f>
        <v>1759353.6169208721</v>
      </c>
    </row>
    <row r="12" spans="1:29" s="50" customFormat="1" ht="18" customHeight="1" x14ac:dyDescent="0.45">
      <c r="B12" s="361" t="s">
        <v>119</v>
      </c>
      <c r="C12" s="362"/>
      <c r="D12" s="213">
        <v>1933</v>
      </c>
      <c r="E12" s="214">
        <v>2130</v>
      </c>
      <c r="F12" s="214">
        <v>2177</v>
      </c>
      <c r="G12" s="215">
        <f>10159-6240</f>
        <v>3919</v>
      </c>
      <c r="H12" s="216">
        <f>SUM(D12:G12)</f>
        <v>10159</v>
      </c>
      <c r="I12" s="213">
        <v>2268</v>
      </c>
      <c r="J12" s="217">
        <v>1641</v>
      </c>
      <c r="K12" s="217">
        <v>2118</v>
      </c>
      <c r="L12" s="217">
        <v>1957</v>
      </c>
      <c r="M12" s="216">
        <f>SUM(I12:L12)</f>
        <v>7984</v>
      </c>
      <c r="N12" s="217">
        <v>2094</v>
      </c>
      <c r="O12" s="217">
        <f>O82</f>
        <v>2114.94</v>
      </c>
      <c r="P12" s="217">
        <f t="shared" ref="P12:Q12" si="0">P82</f>
        <v>2136.0894000000003</v>
      </c>
      <c r="Q12" s="217">
        <f t="shared" si="0"/>
        <v>2157.4502940000002</v>
      </c>
      <c r="R12" s="216">
        <f>SUM(N12:Q12)</f>
        <v>8502.4796940000015</v>
      </c>
      <c r="S12" s="217">
        <f t="shared" ref="S12:V12" si="1">S82</f>
        <v>2179.0247969400002</v>
      </c>
      <c r="T12" s="217">
        <f t="shared" si="1"/>
        <v>2200.8150449094001</v>
      </c>
      <c r="U12" s="217">
        <f t="shared" si="1"/>
        <v>2222.8231953584941</v>
      </c>
      <c r="V12" s="217">
        <f t="shared" si="1"/>
        <v>2245.0514273120789</v>
      </c>
      <c r="W12" s="216">
        <f>SUM(S12:V12)</f>
        <v>8847.7144645199733</v>
      </c>
    </row>
    <row r="13" spans="1:29" x14ac:dyDescent="0.3">
      <c r="B13" s="335" t="s">
        <v>208</v>
      </c>
      <c r="C13" s="336"/>
      <c r="D13" s="218">
        <f t="shared" ref="D13" si="2">D11+D12</f>
        <v>246919</v>
      </c>
      <c r="E13" s="218">
        <f>E11+E12</f>
        <v>291230</v>
      </c>
      <c r="F13" s="218">
        <f>F11+F12</f>
        <v>306584</v>
      </c>
      <c r="G13" s="218">
        <v>328142</v>
      </c>
      <c r="H13" s="219">
        <f>H11+H12</f>
        <v>1172875</v>
      </c>
      <c r="I13" s="220">
        <f>I11+I12</f>
        <v>309303</v>
      </c>
      <c r="J13" s="218">
        <f t="shared" ref="J13:L13" si="3">J11+J12</f>
        <v>333747</v>
      </c>
      <c r="K13" s="218">
        <f t="shared" si="3"/>
        <v>340872</v>
      </c>
      <c r="L13" s="218">
        <f t="shared" si="3"/>
        <v>340881</v>
      </c>
      <c r="M13" s="219">
        <f>M11+M12</f>
        <v>1324803</v>
      </c>
      <c r="N13" s="221">
        <f>N11+N12</f>
        <v>336010</v>
      </c>
      <c r="O13" s="294">
        <f t="shared" ref="O13:V13" si="4">O11+O12</f>
        <v>375699.99999999994</v>
      </c>
      <c r="P13" s="294">
        <f t="shared" si="4"/>
        <v>395299.99999999994</v>
      </c>
      <c r="Q13" s="294">
        <f t="shared" si="4"/>
        <v>414700.00000000017</v>
      </c>
      <c r="R13" s="222">
        <f>R11+R12</f>
        <v>1521710</v>
      </c>
      <c r="S13" s="294">
        <f t="shared" si="4"/>
        <v>388200.00000000006</v>
      </c>
      <c r="T13" s="221">
        <f t="shared" si="4"/>
        <v>422125.07023087377</v>
      </c>
      <c r="U13" s="221">
        <f t="shared" si="4"/>
        <v>458434.3126933265</v>
      </c>
      <c r="V13" s="221">
        <f t="shared" si="4"/>
        <v>499441.9484611919</v>
      </c>
      <c r="W13" s="223">
        <f>W11+W12</f>
        <v>1768201.331385392</v>
      </c>
    </row>
    <row r="14" spans="1:29" s="60" customFormat="1" ht="16.2" x14ac:dyDescent="0.45">
      <c r="B14" s="139" t="s">
        <v>121</v>
      </c>
      <c r="C14" s="142"/>
      <c r="D14" s="213">
        <v>30924</v>
      </c>
      <c r="E14" s="214">
        <v>30692</v>
      </c>
      <c r="F14" s="214">
        <v>26994</v>
      </c>
      <c r="G14" s="215">
        <v>28808</v>
      </c>
      <c r="H14" s="216">
        <f>SUM(D14:G14)</f>
        <v>117418</v>
      </c>
      <c r="I14" s="213">
        <v>28298</v>
      </c>
      <c r="J14" s="217">
        <v>21813</v>
      </c>
      <c r="K14" s="217">
        <v>28385</v>
      </c>
      <c r="L14" s="217">
        <v>24030</v>
      </c>
      <c r="M14" s="216">
        <f>SUM(I14:L14)</f>
        <v>102526</v>
      </c>
      <c r="N14" s="213">
        <v>23439</v>
      </c>
      <c r="O14" s="217">
        <f>O13*(1-O91)</f>
        <v>30055.999999999982</v>
      </c>
      <c r="P14" s="217">
        <f>P13*(1-P91)</f>
        <v>27670.999999999978</v>
      </c>
      <c r="Q14" s="217">
        <f>Q13*(1-Q91)</f>
        <v>29028.999999999993</v>
      </c>
      <c r="R14" s="216">
        <f>SUM(N14:Q14)</f>
        <v>110194.99999999997</v>
      </c>
      <c r="S14" s="217">
        <f>S13*(1-S91)</f>
        <v>27173.999999999985</v>
      </c>
      <c r="T14" s="217">
        <f>T13*(1-T91)</f>
        <v>29548.754916161142</v>
      </c>
      <c r="U14" s="217">
        <f>U13*(1-U91)</f>
        <v>32090.401888532833</v>
      </c>
      <c r="V14" s="217">
        <f>V13*(1-V91)</f>
        <v>34960.936392283409</v>
      </c>
      <c r="W14" s="216">
        <f>SUM(S14:V14)</f>
        <v>123774.09319697737</v>
      </c>
    </row>
    <row r="15" spans="1:29" s="60" customFormat="1" x14ac:dyDescent="0.3">
      <c r="B15" s="141" t="s">
        <v>209</v>
      </c>
      <c r="C15" s="142"/>
      <c r="D15" s="218">
        <f t="shared" ref="D15" si="5">D13-D14</f>
        <v>215995</v>
      </c>
      <c r="E15" s="218">
        <f>E13-E14</f>
        <v>260538</v>
      </c>
      <c r="F15" s="218">
        <f>F13-F14</f>
        <v>279590</v>
      </c>
      <c r="G15" s="218">
        <f>G13-G14</f>
        <v>299334</v>
      </c>
      <c r="H15" s="211">
        <f>SUM(D15:G15)</f>
        <v>1055457</v>
      </c>
      <c r="I15" s="220">
        <f>I13-I14</f>
        <v>281005</v>
      </c>
      <c r="J15" s="218">
        <f t="shared" ref="J15:L15" si="6">J13-J14</f>
        <v>311934</v>
      </c>
      <c r="K15" s="218">
        <f t="shared" si="6"/>
        <v>312487</v>
      </c>
      <c r="L15" s="218">
        <f t="shared" si="6"/>
        <v>316851</v>
      </c>
      <c r="M15" s="219">
        <f>SUM(I15:L15)</f>
        <v>1222277</v>
      </c>
      <c r="N15" s="220">
        <f>N13-N14</f>
        <v>312571</v>
      </c>
      <c r="O15" s="218">
        <f t="shared" ref="O15:V15" si="7">O13-O14</f>
        <v>345643.99999999994</v>
      </c>
      <c r="P15" s="218">
        <f t="shared" si="7"/>
        <v>367628.99999999994</v>
      </c>
      <c r="Q15" s="218">
        <f t="shared" si="7"/>
        <v>385671.00000000017</v>
      </c>
      <c r="R15" s="219">
        <f>R13-R14</f>
        <v>1411515</v>
      </c>
      <c r="S15" s="218">
        <f t="shared" si="7"/>
        <v>361026.00000000006</v>
      </c>
      <c r="T15" s="218">
        <f t="shared" si="7"/>
        <v>392576.31531471264</v>
      </c>
      <c r="U15" s="218">
        <f t="shared" si="7"/>
        <v>426343.91080479365</v>
      </c>
      <c r="V15" s="218">
        <f t="shared" si="7"/>
        <v>464481.01206890849</v>
      </c>
      <c r="W15" s="219">
        <f>W13-W14</f>
        <v>1644427.2381884146</v>
      </c>
    </row>
    <row r="16" spans="1:29" s="60" customFormat="1" ht="16.2" x14ac:dyDescent="0.45">
      <c r="B16" s="76" t="s">
        <v>60</v>
      </c>
      <c r="C16" s="78"/>
      <c r="D16" s="217">
        <f>D98+D107</f>
        <v>8203</v>
      </c>
      <c r="E16" s="217">
        <f t="shared" ref="E16:G16" si="8">E98+E107</f>
        <v>3739</v>
      </c>
      <c r="F16" s="217">
        <f t="shared" si="8"/>
        <v>240</v>
      </c>
      <c r="G16" s="217">
        <f t="shared" si="8"/>
        <v>671</v>
      </c>
      <c r="H16" s="216">
        <f>SUM(D16:G16)</f>
        <v>12853</v>
      </c>
      <c r="I16" s="217">
        <f>I98</f>
        <v>695</v>
      </c>
      <c r="J16" s="217">
        <f>J98</f>
        <v>772</v>
      </c>
      <c r="K16" s="217">
        <f>K98</f>
        <v>786</v>
      </c>
      <c r="L16" s="217">
        <f>L98</f>
        <v>1288</v>
      </c>
      <c r="M16" s="216">
        <f>SUM(I16:L16)</f>
        <v>3541</v>
      </c>
      <c r="N16" s="217">
        <f>N98</f>
        <v>689</v>
      </c>
      <c r="O16" s="217">
        <f>O98</f>
        <v>766.35684805359131</v>
      </c>
      <c r="P16" s="217">
        <f>P98</f>
        <v>806.52008754268695</v>
      </c>
      <c r="Q16" s="217">
        <f>Q98</f>
        <v>846.27262150333934</v>
      </c>
      <c r="R16" s="216">
        <f>SUM(N16:Q16)</f>
        <v>3108.1495570996181</v>
      </c>
      <c r="S16" s="217">
        <f>S98</f>
        <v>793.02878803603176</v>
      </c>
      <c r="T16" s="217">
        <f>T98</f>
        <v>861.73100142224655</v>
      </c>
      <c r="U16" s="217">
        <f>U98</f>
        <v>936.282206096408</v>
      </c>
      <c r="V16" s="217">
        <f>V98</f>
        <v>1020.5133694693789</v>
      </c>
      <c r="W16" s="216">
        <f>SUM(S16:V16)</f>
        <v>3611.5553650240654</v>
      </c>
      <c r="X16" s="91"/>
    </row>
    <row r="17" spans="2:23" s="60" customFormat="1" x14ac:dyDescent="0.3">
      <c r="B17" s="335" t="s">
        <v>210</v>
      </c>
      <c r="C17" s="336"/>
      <c r="D17" s="218">
        <f t="shared" ref="D17:M17" si="9">D15+D16</f>
        <v>224198</v>
      </c>
      <c r="E17" s="218">
        <f t="shared" si="9"/>
        <v>264277</v>
      </c>
      <c r="F17" s="218">
        <f t="shared" si="9"/>
        <v>279830</v>
      </c>
      <c r="G17" s="218">
        <f t="shared" si="9"/>
        <v>300005</v>
      </c>
      <c r="H17" s="219">
        <f t="shared" si="9"/>
        <v>1068310</v>
      </c>
      <c r="I17" s="220">
        <f t="shared" si="9"/>
        <v>281700</v>
      </c>
      <c r="J17" s="221">
        <f t="shared" si="9"/>
        <v>312706</v>
      </c>
      <c r="K17" s="221">
        <f t="shared" si="9"/>
        <v>313273</v>
      </c>
      <c r="L17" s="221">
        <f t="shared" si="9"/>
        <v>318139</v>
      </c>
      <c r="M17" s="223">
        <f t="shared" si="9"/>
        <v>1225818</v>
      </c>
      <c r="N17" s="221">
        <f>N15+N16</f>
        <v>313260</v>
      </c>
      <c r="O17" s="221">
        <f>O15+O16</f>
        <v>346410.35684805352</v>
      </c>
      <c r="P17" s="221">
        <f t="shared" ref="P17:W17" si="10">P15+P16</f>
        <v>368435.52008754265</v>
      </c>
      <c r="Q17" s="221">
        <f t="shared" si="10"/>
        <v>386517.27262150351</v>
      </c>
      <c r="R17" s="219">
        <f t="shared" si="10"/>
        <v>1414623.1495570997</v>
      </c>
      <c r="S17" s="221">
        <f t="shared" si="10"/>
        <v>361819.02878803608</v>
      </c>
      <c r="T17" s="221">
        <f t="shared" si="10"/>
        <v>393438.04631613492</v>
      </c>
      <c r="U17" s="221">
        <f t="shared" si="10"/>
        <v>427280.19301089004</v>
      </c>
      <c r="V17" s="221">
        <f t="shared" si="10"/>
        <v>465501.52543837787</v>
      </c>
      <c r="W17" s="219">
        <f t="shared" si="10"/>
        <v>1648038.7935534387</v>
      </c>
    </row>
    <row r="18" spans="2:23" s="60" customFormat="1" x14ac:dyDescent="0.3">
      <c r="B18" s="139" t="s">
        <v>122</v>
      </c>
      <c r="C18" s="142"/>
      <c r="D18" s="208">
        <v>106363</v>
      </c>
      <c r="E18" s="209">
        <v>100556</v>
      </c>
      <c r="F18" s="209">
        <v>93501</v>
      </c>
      <c r="G18" s="210">
        <v>105694</v>
      </c>
      <c r="H18" s="211">
        <f t="shared" ref="H18:H22" si="11">SUM(D18:G18)</f>
        <v>406114</v>
      </c>
      <c r="I18" s="208">
        <v>112388</v>
      </c>
      <c r="J18" s="212">
        <v>107132</v>
      </c>
      <c r="K18" s="212">
        <v>104044</v>
      </c>
      <c r="L18" s="212">
        <v>125555</v>
      </c>
      <c r="M18" s="211">
        <f>SUM(I18:L18)</f>
        <v>449119</v>
      </c>
      <c r="N18" s="208">
        <v>128765</v>
      </c>
      <c r="O18" s="212">
        <f>O11*O85</f>
        <v>112075.51799999998</v>
      </c>
      <c r="P18" s="212">
        <f>P11*P85</f>
        <v>117949.17317999998</v>
      </c>
      <c r="Q18" s="212">
        <f>Q11*Q85</f>
        <v>132013.61590592007</v>
      </c>
      <c r="R18" s="224">
        <f>SUM(N18:Q18)</f>
        <v>490803.30708592001</v>
      </c>
      <c r="S18" s="212">
        <f>S11*S85</f>
        <v>129382.32287664473</v>
      </c>
      <c r="T18" s="212">
        <f>T11*T85</f>
        <v>104791.34928245821</v>
      </c>
      <c r="U18" s="212">
        <f>U11*U85</f>
        <v>113846.76391574628</v>
      </c>
      <c r="V18" s="212">
        <f>V11*V85</f>
        <v>134018.53724230226</v>
      </c>
      <c r="W18" s="211">
        <f>SUM(S18:V18)</f>
        <v>482038.97331715148</v>
      </c>
    </row>
    <row r="19" spans="2:23" s="60" customFormat="1" x14ac:dyDescent="0.3">
      <c r="B19" s="139" t="s">
        <v>56</v>
      </c>
      <c r="C19" s="142"/>
      <c r="D19" s="208">
        <v>18109</v>
      </c>
      <c r="E19" s="209">
        <v>20090</v>
      </c>
      <c r="F19" s="209">
        <v>22423</v>
      </c>
      <c r="G19" s="210">
        <v>24559</v>
      </c>
      <c r="H19" s="211">
        <f t="shared" si="11"/>
        <v>85181</v>
      </c>
      <c r="I19" s="208">
        <v>27181</v>
      </c>
      <c r="J19" s="212">
        <v>27833</v>
      </c>
      <c r="K19" s="212">
        <v>50784</v>
      </c>
      <c r="L19" s="212">
        <v>29455</v>
      </c>
      <c r="M19" s="211">
        <f t="shared" ref="M19:M22" si="12">SUM(I19:L19)</f>
        <v>135253</v>
      </c>
      <c r="N19" s="208">
        <v>31252</v>
      </c>
      <c r="O19" s="212">
        <f>O11*O86</f>
        <v>35490.580699999991</v>
      </c>
      <c r="P19" s="212">
        <f>P11*P86</f>
        <v>36957.407596399993</v>
      </c>
      <c r="Q19" s="212">
        <f>Q11*Q86</f>
        <v>38778.999672364022</v>
      </c>
      <c r="R19" s="224">
        <f t="shared" ref="R19:R22" si="13">SUM(N19:Q19)</f>
        <v>142478.98796876401</v>
      </c>
      <c r="S19" s="212">
        <f>S11*S86</f>
        <v>38866.526218218445</v>
      </c>
      <c r="T19" s="212">
        <f>T11*T86</f>
        <v>42871.163521957285</v>
      </c>
      <c r="U19" s="212">
        <f>U11*U86</f>
        <v>46119.610519644229</v>
      </c>
      <c r="V19" s="212">
        <f>V11*V86</f>
        <v>50262.932369396905</v>
      </c>
      <c r="W19" s="211">
        <f>SUM(S19:V19)</f>
        <v>178120.23262921686</v>
      </c>
    </row>
    <row r="20" spans="2:23" x14ac:dyDescent="0.3">
      <c r="B20" s="361" t="s">
        <v>123</v>
      </c>
      <c r="C20" s="362"/>
      <c r="D20" s="208">
        <v>127000</v>
      </c>
      <c r="E20" s="209">
        <v>0</v>
      </c>
      <c r="F20" s="209">
        <v>75000</v>
      </c>
      <c r="G20" s="210">
        <v>626</v>
      </c>
      <c r="H20" s="211">
        <f>SUM(D20:G20)</f>
        <v>202626</v>
      </c>
      <c r="I20" s="208">
        <v>0</v>
      </c>
      <c r="J20" s="212">
        <v>0</v>
      </c>
      <c r="K20" s="212">
        <v>0</v>
      </c>
      <c r="L20" s="225">
        <v>0</v>
      </c>
      <c r="M20" s="211">
        <f t="shared" si="12"/>
        <v>0</v>
      </c>
      <c r="N20" s="208">
        <v>8750</v>
      </c>
      <c r="O20" s="284">
        <v>0</v>
      </c>
      <c r="P20" s="284">
        <v>0</v>
      </c>
      <c r="Q20" s="284">
        <v>0</v>
      </c>
      <c r="R20" s="211">
        <f t="shared" si="13"/>
        <v>8750</v>
      </c>
      <c r="S20" s="284">
        <v>0</v>
      </c>
      <c r="T20" s="284">
        <v>0</v>
      </c>
      <c r="U20" s="284">
        <v>0</v>
      </c>
      <c r="V20" s="284">
        <v>0</v>
      </c>
      <c r="W20" s="211">
        <f>SUM(S20:V20)</f>
        <v>0</v>
      </c>
    </row>
    <row r="21" spans="2:23" s="60" customFormat="1" x14ac:dyDescent="0.3">
      <c r="B21" s="139" t="s">
        <v>124</v>
      </c>
      <c r="C21" s="140"/>
      <c r="D21" s="208">
        <v>31182</v>
      </c>
      <c r="E21" s="209">
        <v>32795</v>
      </c>
      <c r="F21" s="209">
        <v>30630</v>
      </c>
      <c r="G21" s="210">
        <v>31977</v>
      </c>
      <c r="H21" s="211">
        <f t="shared" si="11"/>
        <v>126584</v>
      </c>
      <c r="I21" s="208">
        <v>24677</v>
      </c>
      <c r="J21" s="212">
        <v>23668</v>
      </c>
      <c r="K21" s="212">
        <v>26127</v>
      </c>
      <c r="L21" s="225">
        <v>23690</v>
      </c>
      <c r="M21" s="211">
        <f t="shared" si="12"/>
        <v>98162</v>
      </c>
      <c r="N21" s="208">
        <v>22642</v>
      </c>
      <c r="O21" s="212">
        <f>O87</f>
        <v>22500</v>
      </c>
      <c r="P21" s="212">
        <f t="shared" ref="P21:Q21" si="14">P87</f>
        <v>22500</v>
      </c>
      <c r="Q21" s="212">
        <f t="shared" si="14"/>
        <v>22500</v>
      </c>
      <c r="R21" s="224">
        <f t="shared" si="13"/>
        <v>90142</v>
      </c>
      <c r="S21" s="212">
        <f t="shared" ref="S21:V21" si="15">S87</f>
        <v>22500</v>
      </c>
      <c r="T21" s="212">
        <f t="shared" si="15"/>
        <v>22500</v>
      </c>
      <c r="U21" s="212">
        <f t="shared" si="15"/>
        <v>22500</v>
      </c>
      <c r="V21" s="212">
        <f t="shared" si="15"/>
        <v>22500</v>
      </c>
      <c r="W21" s="211">
        <f>SUM(S21:V21)</f>
        <v>90000</v>
      </c>
    </row>
    <row r="22" spans="2:23" s="60" customFormat="1" ht="16.2" x14ac:dyDescent="0.45">
      <c r="B22" s="139" t="s">
        <v>128</v>
      </c>
      <c r="C22" s="140"/>
      <c r="D22" s="214">
        <v>0</v>
      </c>
      <c r="E22" s="214">
        <v>32806</v>
      </c>
      <c r="F22" s="214">
        <v>0</v>
      </c>
      <c r="G22" s="214">
        <v>6559</v>
      </c>
      <c r="H22" s="216">
        <f t="shared" si="11"/>
        <v>39365</v>
      </c>
      <c r="I22" s="213">
        <v>0</v>
      </c>
      <c r="J22" s="217">
        <v>0</v>
      </c>
      <c r="K22" s="217">
        <v>0</v>
      </c>
      <c r="L22" s="217">
        <v>31523</v>
      </c>
      <c r="M22" s="216">
        <f t="shared" si="12"/>
        <v>31523</v>
      </c>
      <c r="N22" s="213">
        <v>0</v>
      </c>
      <c r="O22" s="237">
        <v>0</v>
      </c>
      <c r="P22" s="237">
        <v>0</v>
      </c>
      <c r="Q22" s="237">
        <v>0</v>
      </c>
      <c r="R22" s="216">
        <f t="shared" si="13"/>
        <v>0</v>
      </c>
      <c r="S22" s="285">
        <v>0</v>
      </c>
      <c r="T22" s="237">
        <v>0</v>
      </c>
      <c r="U22" s="237">
        <v>0</v>
      </c>
      <c r="V22" s="237">
        <v>0</v>
      </c>
      <c r="W22" s="216">
        <f>SUM(S22:V22)</f>
        <v>0</v>
      </c>
    </row>
    <row r="23" spans="2:23" s="18" customFormat="1" ht="16.2" x14ac:dyDescent="0.45">
      <c r="B23" s="26" t="s">
        <v>211</v>
      </c>
      <c r="C23" s="27"/>
      <c r="D23" s="226">
        <f t="shared" ref="D23:J23" si="16">SUM(D18:D22)+D14</f>
        <v>313578</v>
      </c>
      <c r="E23" s="226">
        <f t="shared" si="16"/>
        <v>216939</v>
      </c>
      <c r="F23" s="226">
        <f t="shared" si="16"/>
        <v>248548</v>
      </c>
      <c r="G23" s="226">
        <f t="shared" si="16"/>
        <v>198223</v>
      </c>
      <c r="H23" s="227">
        <f t="shared" si="16"/>
        <v>977288</v>
      </c>
      <c r="I23" s="228">
        <f t="shared" si="16"/>
        <v>192544</v>
      </c>
      <c r="J23" s="229">
        <f t="shared" si="16"/>
        <v>180446</v>
      </c>
      <c r="K23" s="229">
        <f t="shared" ref="K23:L23" si="17">SUM(K18:K22)+K14</f>
        <v>209340</v>
      </c>
      <c r="L23" s="229">
        <f t="shared" si="17"/>
        <v>234253</v>
      </c>
      <c r="M23" s="227">
        <f t="shared" ref="M23:W23" si="18">SUM(M18:M22)+M14</f>
        <v>816583</v>
      </c>
      <c r="N23" s="228">
        <f t="shared" si="18"/>
        <v>214848</v>
      </c>
      <c r="O23" s="226">
        <f t="shared" si="18"/>
        <v>200122.09869999994</v>
      </c>
      <c r="P23" s="226">
        <f t="shared" si="18"/>
        <v>205077.58077639996</v>
      </c>
      <c r="Q23" s="226">
        <f t="shared" si="18"/>
        <v>222321.61557828408</v>
      </c>
      <c r="R23" s="228">
        <f t="shared" si="18"/>
        <v>842369.29505468404</v>
      </c>
      <c r="S23" s="228">
        <f t="shared" si="18"/>
        <v>217922.84909486317</v>
      </c>
      <c r="T23" s="226">
        <f t="shared" si="18"/>
        <v>199711.26772057664</v>
      </c>
      <c r="U23" s="226">
        <f t="shared" si="18"/>
        <v>214556.77632392335</v>
      </c>
      <c r="V23" s="226">
        <f t="shared" si="18"/>
        <v>241742.40600398259</v>
      </c>
      <c r="W23" s="227">
        <f t="shared" si="18"/>
        <v>873933.29914334579</v>
      </c>
    </row>
    <row r="24" spans="2:23" x14ac:dyDescent="0.3">
      <c r="B24" s="335" t="s">
        <v>212</v>
      </c>
      <c r="C24" s="336"/>
      <c r="D24" s="220">
        <f t="shared" ref="D24:W24" si="19">D13-D23</f>
        <v>-66659</v>
      </c>
      <c r="E24" s="218">
        <f t="shared" si="19"/>
        <v>74291</v>
      </c>
      <c r="F24" s="218">
        <f t="shared" si="19"/>
        <v>58036</v>
      </c>
      <c r="G24" s="230">
        <f t="shared" si="19"/>
        <v>129919</v>
      </c>
      <c r="H24" s="219">
        <f t="shared" si="19"/>
        <v>195587</v>
      </c>
      <c r="I24" s="220">
        <f t="shared" si="19"/>
        <v>116759</v>
      </c>
      <c r="J24" s="221">
        <f t="shared" si="19"/>
        <v>153301</v>
      </c>
      <c r="K24" s="221">
        <f t="shared" si="19"/>
        <v>131532</v>
      </c>
      <c r="L24" s="231">
        <f t="shared" si="19"/>
        <v>106628</v>
      </c>
      <c r="M24" s="219">
        <f t="shared" si="19"/>
        <v>508220</v>
      </c>
      <c r="N24" s="232">
        <f t="shared" si="19"/>
        <v>121162</v>
      </c>
      <c r="O24" s="221">
        <f t="shared" si="19"/>
        <v>175577.9013</v>
      </c>
      <c r="P24" s="221">
        <f t="shared" si="19"/>
        <v>190222.41922359998</v>
      </c>
      <c r="Q24" s="231">
        <f t="shared" si="19"/>
        <v>192378.38442171609</v>
      </c>
      <c r="R24" s="219">
        <f t="shared" si="19"/>
        <v>679340.70494531596</v>
      </c>
      <c r="S24" s="232">
        <f t="shared" si="19"/>
        <v>170277.15090513689</v>
      </c>
      <c r="T24" s="221">
        <f t="shared" si="19"/>
        <v>222413.80251029713</v>
      </c>
      <c r="U24" s="221">
        <f t="shared" si="19"/>
        <v>243877.53636940315</v>
      </c>
      <c r="V24" s="231">
        <f t="shared" si="19"/>
        <v>257699.54245720932</v>
      </c>
      <c r="W24" s="219">
        <f t="shared" si="19"/>
        <v>894268.0322420462</v>
      </c>
    </row>
    <row r="25" spans="2:23" s="60" customFormat="1" x14ac:dyDescent="0.3">
      <c r="B25" s="73" t="s">
        <v>53</v>
      </c>
      <c r="C25" s="74"/>
      <c r="D25" s="209">
        <v>-10076</v>
      </c>
      <c r="E25" s="209">
        <v>-11429</v>
      </c>
      <c r="F25" s="209">
        <v>-14530</v>
      </c>
      <c r="G25" s="210">
        <v>-16678</v>
      </c>
      <c r="H25" s="211">
        <f>SUM(D25:G25)</f>
        <v>-52713</v>
      </c>
      <c r="I25" s="208">
        <v>-16245</v>
      </c>
      <c r="J25" s="212">
        <v>-15812</v>
      </c>
      <c r="K25" s="212">
        <v>-12650</v>
      </c>
      <c r="L25" s="212">
        <v>-12210</v>
      </c>
      <c r="M25" s="211">
        <f>SUM(I25:L25)</f>
        <v>-56917</v>
      </c>
      <c r="N25" s="212">
        <v>-12192</v>
      </c>
      <c r="O25" s="212">
        <f>O88</f>
        <v>-12201</v>
      </c>
      <c r="P25" s="212">
        <f>P88</f>
        <v>-12201</v>
      </c>
      <c r="Q25" s="212">
        <f>Q88</f>
        <v>-12201</v>
      </c>
      <c r="R25" s="211">
        <f>SUM(N25:Q25)</f>
        <v>-48795</v>
      </c>
      <c r="S25" s="212">
        <f t="shared" ref="S25:V25" si="20">S88</f>
        <v>-12201</v>
      </c>
      <c r="T25" s="212">
        <f t="shared" si="20"/>
        <v>-12201</v>
      </c>
      <c r="U25" s="212">
        <f t="shared" si="20"/>
        <v>-12201</v>
      </c>
      <c r="V25" s="212">
        <f t="shared" si="20"/>
        <v>-12201</v>
      </c>
      <c r="W25" s="211">
        <f>SUM(S25:V25)</f>
        <v>-48804</v>
      </c>
    </row>
    <row r="26" spans="2:23" s="61" customFormat="1" x14ac:dyDescent="0.3">
      <c r="B26" s="361" t="s">
        <v>125</v>
      </c>
      <c r="C26" s="362"/>
      <c r="D26" s="233">
        <v>123</v>
      </c>
      <c r="E26" s="131">
        <v>74</v>
      </c>
      <c r="F26" s="131">
        <v>6483</v>
      </c>
      <c r="G26" s="234">
        <v>2003</v>
      </c>
      <c r="H26" s="235">
        <f>SUM(D26:G26)</f>
        <v>8683</v>
      </c>
      <c r="I26" s="233">
        <v>2245</v>
      </c>
      <c r="J26" s="212">
        <v>-1914</v>
      </c>
      <c r="K26" s="212">
        <v>-977</v>
      </c>
      <c r="L26" s="212">
        <v>2091</v>
      </c>
      <c r="M26" s="235">
        <f>SUM(I26:L26)</f>
        <v>1445</v>
      </c>
      <c r="N26" s="212">
        <v>-819</v>
      </c>
      <c r="O26" s="212">
        <f>O89</f>
        <v>636</v>
      </c>
      <c r="P26" s="212">
        <f t="shared" ref="P26:Q26" si="21">P89</f>
        <v>636</v>
      </c>
      <c r="Q26" s="212">
        <f t="shared" si="21"/>
        <v>636</v>
      </c>
      <c r="R26" s="235">
        <f>SUM(N26:Q26)</f>
        <v>1089</v>
      </c>
      <c r="S26" s="212">
        <f t="shared" ref="S26:V26" si="22">S89</f>
        <v>636</v>
      </c>
      <c r="T26" s="212">
        <f t="shared" si="22"/>
        <v>636</v>
      </c>
      <c r="U26" s="212">
        <f t="shared" si="22"/>
        <v>636</v>
      </c>
      <c r="V26" s="212">
        <f t="shared" si="22"/>
        <v>636</v>
      </c>
      <c r="W26" s="235">
        <f>SUM(S26:V26)</f>
        <v>2544</v>
      </c>
    </row>
    <row r="27" spans="2:23" s="151" customFormat="1" ht="16.2" x14ac:dyDescent="0.45">
      <c r="B27" s="139" t="s">
        <v>127</v>
      </c>
      <c r="C27" s="153"/>
      <c r="D27" s="214">
        <v>0</v>
      </c>
      <c r="E27" s="214">
        <v>0</v>
      </c>
      <c r="F27" s="214">
        <v>0</v>
      </c>
      <c r="G27" s="215">
        <v>0</v>
      </c>
      <c r="H27" s="216">
        <f>SUM(D27:G27)</f>
        <v>0</v>
      </c>
      <c r="I27" s="213">
        <v>0</v>
      </c>
      <c r="J27" s="217">
        <v>-16815</v>
      </c>
      <c r="K27" s="217">
        <v>0</v>
      </c>
      <c r="L27" s="217">
        <v>0</v>
      </c>
      <c r="M27" s="216">
        <f>SUM(I27:L27)</f>
        <v>-16815</v>
      </c>
      <c r="N27" s="217">
        <v>0</v>
      </c>
      <c r="O27" s="237">
        <v>0</v>
      </c>
      <c r="P27" s="237">
        <v>0</v>
      </c>
      <c r="Q27" s="237">
        <v>0</v>
      </c>
      <c r="R27" s="216">
        <f>SUM(N27:Q27)</f>
        <v>0</v>
      </c>
      <c r="S27" s="237">
        <v>0</v>
      </c>
      <c r="T27" s="237">
        <v>0</v>
      </c>
      <c r="U27" s="237">
        <v>0</v>
      </c>
      <c r="V27" s="237">
        <v>0</v>
      </c>
      <c r="W27" s="216">
        <f>SUM(S27:V27)</f>
        <v>0</v>
      </c>
    </row>
    <row r="28" spans="2:23" x14ac:dyDescent="0.3">
      <c r="B28" s="335" t="s">
        <v>213</v>
      </c>
      <c r="C28" s="336"/>
      <c r="D28" s="221">
        <f t="shared" ref="D28:Q28" si="23">D24+D26+D25+D27</f>
        <v>-76612</v>
      </c>
      <c r="E28" s="221">
        <f t="shared" si="23"/>
        <v>62936</v>
      </c>
      <c r="F28" s="221">
        <f t="shared" si="23"/>
        <v>49989</v>
      </c>
      <c r="G28" s="221">
        <f t="shared" si="23"/>
        <v>115244</v>
      </c>
      <c r="H28" s="223">
        <f t="shared" si="23"/>
        <v>151557</v>
      </c>
      <c r="I28" s="221">
        <f t="shared" si="23"/>
        <v>102759</v>
      </c>
      <c r="J28" s="221">
        <f t="shared" si="23"/>
        <v>118760</v>
      </c>
      <c r="K28" s="221">
        <f t="shared" si="23"/>
        <v>117905</v>
      </c>
      <c r="L28" s="221">
        <f t="shared" si="23"/>
        <v>96509</v>
      </c>
      <c r="M28" s="219">
        <f t="shared" si="23"/>
        <v>435933</v>
      </c>
      <c r="N28" s="221">
        <f t="shared" si="23"/>
        <v>108151</v>
      </c>
      <c r="O28" s="221">
        <f t="shared" si="23"/>
        <v>164012.9013</v>
      </c>
      <c r="P28" s="221">
        <f t="shared" si="23"/>
        <v>178657.41922359998</v>
      </c>
      <c r="Q28" s="221">
        <f t="shared" si="23"/>
        <v>180813.38442171609</v>
      </c>
      <c r="R28" s="219">
        <f>R24+R26+R25</f>
        <v>631634.70494531596</v>
      </c>
      <c r="S28" s="221">
        <f>S24+S26+S25+S27</f>
        <v>158712.15090513689</v>
      </c>
      <c r="T28" s="221">
        <f>T24+T26+T25+T27</f>
        <v>210848.80251029713</v>
      </c>
      <c r="U28" s="221">
        <f>U24+U26+U25+U27</f>
        <v>232312.53636940315</v>
      </c>
      <c r="V28" s="221">
        <f>V24+V26+V25+V27</f>
        <v>246134.54245720932</v>
      </c>
      <c r="W28" s="219">
        <f>W24+W26+W25</f>
        <v>848008.0322420462</v>
      </c>
    </row>
    <row r="29" spans="2:23" s="61" customFormat="1" ht="16.2" x14ac:dyDescent="0.45">
      <c r="B29" s="205" t="s">
        <v>228</v>
      </c>
      <c r="C29" s="206"/>
      <c r="D29" s="217">
        <f>D95+D96+D97+D101+D102+D103+D104+D105+D106+D108+D109</f>
        <v>191187</v>
      </c>
      <c r="E29" s="217">
        <f>E95+E96+E97+E101+E102+E103+E104+E105+E106+E108+E109</f>
        <v>89676</v>
      </c>
      <c r="F29" s="217">
        <f>F95+F96+F97+F101+F102+F103+F104+F105+F106+F108+F109</f>
        <v>128584</v>
      </c>
      <c r="G29" s="217">
        <f>G95+G96+G97+G101+G102+G103+G104+G105+G106+G108+G109</f>
        <v>70896</v>
      </c>
      <c r="H29" s="236">
        <f>SUM(D29:G29)</f>
        <v>480343</v>
      </c>
      <c r="I29" s="217">
        <f>I95+I96+I97+I101+I102+I103+I104+I105+I106+I107+I108+I109</f>
        <v>52914.999999999985</v>
      </c>
      <c r="J29" s="217">
        <f>J95+J96+J97+J101+J102+J103+J104+J105+J106+J107+J108+J109</f>
        <v>69043</v>
      </c>
      <c r="K29" s="217">
        <f>K95+K96+K97+K101+K102+K103+K104+K105+K106+K107+K108+K109</f>
        <v>78755</v>
      </c>
      <c r="L29" s="217">
        <f>L95+L96+L97+L101+L102+L103+L104+L105+L106+L107+L108+L109</f>
        <v>102720</v>
      </c>
      <c r="M29" s="236">
        <f>SUM(I29:L29)</f>
        <v>303433</v>
      </c>
      <c r="N29" s="217">
        <f t="shared" ref="N29:Q29" si="24">N95+N96+N97+N101+N102+N103+N104+N105+N106+N107+N108+N109</f>
        <v>66308</v>
      </c>
      <c r="O29" s="217">
        <f t="shared" si="24"/>
        <v>58524.767471946405</v>
      </c>
      <c r="P29" s="217">
        <f t="shared" si="24"/>
        <v>62074.781475657313</v>
      </c>
      <c r="Q29" s="217">
        <f t="shared" si="24"/>
        <v>62340.040957328674</v>
      </c>
      <c r="R29" s="236">
        <f>SUM(N29:Q29)</f>
        <v>249247.58990493236</v>
      </c>
      <c r="S29" s="217">
        <f t="shared" ref="S29:V29" si="25">S95+S96+S97+S101+S102+S103+S104+S105+S106+S107+S108+S109</f>
        <v>61069.620785367973</v>
      </c>
      <c r="T29" s="217">
        <f t="shared" si="25"/>
        <v>63139.714020194864</v>
      </c>
      <c r="U29" s="217">
        <f t="shared" si="25"/>
        <v>65818.093967748922</v>
      </c>
      <c r="V29" s="217">
        <f t="shared" si="25"/>
        <v>68622.125987574138</v>
      </c>
      <c r="W29" s="236">
        <f>SUM(S29:V29)</f>
        <v>258649.55476088589</v>
      </c>
    </row>
    <row r="30" spans="2:23" s="60" customFormat="1" x14ac:dyDescent="0.3">
      <c r="B30" s="335" t="s">
        <v>229</v>
      </c>
      <c r="C30" s="336"/>
      <c r="D30" s="221">
        <f>D17-D18-D19-D20-D21-D22+D25+D26+D27+D29</f>
        <v>122778</v>
      </c>
      <c r="E30" s="221">
        <f t="shared" ref="E30:G30" si="26">E17-E18-E19-E20-E21-E22+E25+E26+E27+E29</f>
        <v>156351</v>
      </c>
      <c r="F30" s="221">
        <f t="shared" si="26"/>
        <v>178813</v>
      </c>
      <c r="G30" s="221">
        <f t="shared" si="26"/>
        <v>186811</v>
      </c>
      <c r="H30" s="223">
        <f>H17-H18-H19-H20-H21-H22+H25+H26+H27+H29</f>
        <v>644753</v>
      </c>
      <c r="I30" s="221">
        <f>I17-I18-I19-I20-I21-I22+I25+I26+I27+I29</f>
        <v>156369</v>
      </c>
      <c r="J30" s="221">
        <f t="shared" ref="J30" si="27">J17-J18-J19-J20-J21-J22+J25+J26+J27+J29</f>
        <v>188575</v>
      </c>
      <c r="K30" s="221">
        <f t="shared" ref="K30" si="28">K17-K18-K19-K20-K21-K22+K25+K26+K27+K29</f>
        <v>197446</v>
      </c>
      <c r="L30" s="221">
        <f t="shared" ref="L30" si="29">L17-L18-L19-L20-L21-L22+L25+L26+L27+L29</f>
        <v>200517</v>
      </c>
      <c r="M30" s="223">
        <f>M17-M18-M19-M20-M21-M22+M25+M26+M27+M29</f>
        <v>742907</v>
      </c>
      <c r="N30" s="221">
        <f t="shared" ref="N30" si="30">N17-N18-N19-N20-N21-N22+N25+N26+N27+N29</f>
        <v>175148</v>
      </c>
      <c r="O30" s="221">
        <f t="shared" ref="O30" si="31">O17-O18-O19-O20-O21-O22+O25+O26+O27+O29</f>
        <v>223304.02561999994</v>
      </c>
      <c r="P30" s="221">
        <f t="shared" ref="P30" si="32">P17-P18-P19-P20-P21-P22+P25+P26+P27+P29</f>
        <v>241538.72078679997</v>
      </c>
      <c r="Q30" s="221">
        <f t="shared" ref="Q30" si="33">Q17-Q18-Q19-Q20-Q21-Q22+Q25+Q26+Q27+Q29</f>
        <v>243999.69800054812</v>
      </c>
      <c r="R30" s="223">
        <f>R17-R18-R19-R20-R21-R22+R25+R26+R27+R29</f>
        <v>883990.44440734806</v>
      </c>
      <c r="S30" s="221">
        <f t="shared" ref="S30" si="34">S17-S18-S19-S20-S21-S22+S25+S26+S27+S29</f>
        <v>220574.80047854088</v>
      </c>
      <c r="T30" s="221">
        <f t="shared" ref="T30" si="35">T17-T18-T19-T20-T21-T22+T25+T26+T27+T29</f>
        <v>274850.24753191427</v>
      </c>
      <c r="U30" s="221">
        <f t="shared" ref="U30" si="36">U17-U18-U19-U20-U21-U22+U25+U26+U27+U29</f>
        <v>299066.91254324844</v>
      </c>
      <c r="V30" s="221">
        <f t="shared" ref="V30" si="37">V17-V18-V19-V20-V21-V22+V25+V26+V27+V29</f>
        <v>315777.18181425286</v>
      </c>
      <c r="W30" s="223">
        <f>W17-W18-W19-W20-W21-W22+W25+W26+W27+W29</f>
        <v>1110269.1423679562</v>
      </c>
    </row>
    <row r="31" spans="2:23" ht="16.2" x14ac:dyDescent="0.45">
      <c r="B31" s="361" t="s">
        <v>57</v>
      </c>
      <c r="C31" s="362"/>
      <c r="D31" s="214">
        <v>17027</v>
      </c>
      <c r="E31" s="214">
        <v>19350</v>
      </c>
      <c r="F31" s="214">
        <v>24221</v>
      </c>
      <c r="G31" s="215">
        <v>33633</v>
      </c>
      <c r="H31" s="216">
        <f>SUM(D31:G31)</f>
        <v>94231</v>
      </c>
      <c r="I31" s="213">
        <v>32059</v>
      </c>
      <c r="J31" s="217">
        <v>30647</v>
      </c>
      <c r="K31" s="217">
        <v>29945</v>
      </c>
      <c r="L31" s="217">
        <v>13748</v>
      </c>
      <c r="M31" s="236">
        <f>SUM(I31:L31)</f>
        <v>106399</v>
      </c>
      <c r="N31" s="217">
        <v>34030</v>
      </c>
      <c r="O31" s="217">
        <f>O28*O90</f>
        <v>36970.192699999956</v>
      </c>
      <c r="P31" s="217">
        <f>P28*P90</f>
        <v>49348.764227679923</v>
      </c>
      <c r="Q31" s="217">
        <f>Q28*Q90</f>
        <v>37865.023332929268</v>
      </c>
      <c r="R31" s="216">
        <f>SUM(N31:Q31)</f>
        <v>158213.98026060915</v>
      </c>
      <c r="S31" s="217">
        <f>S28*S90</f>
        <v>43200.924317465819</v>
      </c>
      <c r="T31" s="217">
        <f>T28*T90</f>
        <v>63254.640753089137</v>
      </c>
      <c r="U31" s="217">
        <f>U28*U90</f>
        <v>69693.760910820944</v>
      </c>
      <c r="V31" s="217">
        <f>V28*V90</f>
        <v>73840.362737162795</v>
      </c>
      <c r="W31" s="216">
        <f>SUM(S31:V31)</f>
        <v>249989.6887185387</v>
      </c>
    </row>
    <row r="32" spans="2:23" x14ac:dyDescent="0.3">
      <c r="B32" s="335" t="s">
        <v>214</v>
      </c>
      <c r="C32" s="336"/>
      <c r="D32" s="218">
        <f t="shared" ref="D32:J32" si="38">D28-D31</f>
        <v>-93639</v>
      </c>
      <c r="E32" s="218">
        <f t="shared" si="38"/>
        <v>43586</v>
      </c>
      <c r="F32" s="218">
        <f t="shared" si="38"/>
        <v>25768</v>
      </c>
      <c r="G32" s="230">
        <f t="shared" si="38"/>
        <v>81611</v>
      </c>
      <c r="H32" s="219">
        <f t="shared" si="38"/>
        <v>57326</v>
      </c>
      <c r="I32" s="220">
        <f t="shared" si="38"/>
        <v>70700</v>
      </c>
      <c r="J32" s="221">
        <f t="shared" si="38"/>
        <v>88113</v>
      </c>
      <c r="K32" s="221">
        <f>K28-K31</f>
        <v>87960</v>
      </c>
      <c r="L32" s="221">
        <f t="shared" ref="L32:W32" si="39">L28-L31</f>
        <v>82761</v>
      </c>
      <c r="M32" s="219">
        <f t="shared" si="39"/>
        <v>329534</v>
      </c>
      <c r="N32" s="221">
        <f t="shared" si="39"/>
        <v>74121</v>
      </c>
      <c r="O32" s="221">
        <f t="shared" si="39"/>
        <v>127042.70860000004</v>
      </c>
      <c r="P32" s="221">
        <f t="shared" si="39"/>
        <v>129308.65499592005</v>
      </c>
      <c r="Q32" s="221">
        <f t="shared" si="39"/>
        <v>142948.36108878683</v>
      </c>
      <c r="R32" s="219">
        <f t="shared" si="39"/>
        <v>473420.72468470677</v>
      </c>
      <c r="S32" s="221">
        <f t="shared" si="39"/>
        <v>115511.22658767107</v>
      </c>
      <c r="T32" s="221">
        <f t="shared" si="39"/>
        <v>147594.161757208</v>
      </c>
      <c r="U32" s="221">
        <f t="shared" si="39"/>
        <v>162618.77545858221</v>
      </c>
      <c r="V32" s="221">
        <f t="shared" si="39"/>
        <v>172294.17972004652</v>
      </c>
      <c r="W32" s="219">
        <f t="shared" si="39"/>
        <v>598018.34352350747</v>
      </c>
    </row>
    <row r="33" spans="2:23" s="60" customFormat="1" ht="16.2" x14ac:dyDescent="0.45">
      <c r="B33" s="139" t="s">
        <v>126</v>
      </c>
      <c r="C33" s="142"/>
      <c r="D33" s="214">
        <v>-989</v>
      </c>
      <c r="E33" s="214">
        <v>-73</v>
      </c>
      <c r="F33" s="214">
        <v>2</v>
      </c>
      <c r="G33" s="215">
        <v>-1</v>
      </c>
      <c r="H33" s="216">
        <f>SUM(D33:G33)</f>
        <v>-1061</v>
      </c>
      <c r="I33" s="213">
        <v>0</v>
      </c>
      <c r="J33" s="217">
        <v>-1</v>
      </c>
      <c r="K33" s="217">
        <v>0</v>
      </c>
      <c r="L33" s="217">
        <v>0</v>
      </c>
      <c r="M33" s="236">
        <f>SUM(I33:L33)</f>
        <v>-1</v>
      </c>
      <c r="N33" s="217">
        <v>0</v>
      </c>
      <c r="O33" s="237">
        <f>N33</f>
        <v>0</v>
      </c>
      <c r="P33" s="237">
        <f>O33</f>
        <v>0</v>
      </c>
      <c r="Q33" s="237">
        <f>P33</f>
        <v>0</v>
      </c>
      <c r="R33" s="236">
        <f>SUM(N33:Q33)</f>
        <v>0</v>
      </c>
      <c r="S33" s="237">
        <f>Q33</f>
        <v>0</v>
      </c>
      <c r="T33" s="237">
        <f>S33</f>
        <v>0</v>
      </c>
      <c r="U33" s="237">
        <f>T33</f>
        <v>0</v>
      </c>
      <c r="V33" s="237">
        <f>U33</f>
        <v>0</v>
      </c>
      <c r="W33" s="236">
        <f>SUM(S33:V33)</f>
        <v>0</v>
      </c>
    </row>
    <row r="34" spans="2:23" s="60" customFormat="1" x14ac:dyDescent="0.3">
      <c r="B34" s="141" t="s">
        <v>231</v>
      </c>
      <c r="C34" s="142"/>
      <c r="D34" s="218">
        <f t="shared" ref="D34:W34" si="40">D32-D33</f>
        <v>-92650</v>
      </c>
      <c r="E34" s="218">
        <f t="shared" si="40"/>
        <v>43659</v>
      </c>
      <c r="F34" s="218">
        <f t="shared" si="40"/>
        <v>25766</v>
      </c>
      <c r="G34" s="218">
        <f t="shared" si="40"/>
        <v>81612</v>
      </c>
      <c r="H34" s="219">
        <f t="shared" si="40"/>
        <v>58387</v>
      </c>
      <c r="I34" s="218">
        <f t="shared" si="40"/>
        <v>70700</v>
      </c>
      <c r="J34" s="218">
        <f t="shared" si="40"/>
        <v>88114</v>
      </c>
      <c r="K34" s="218">
        <f t="shared" si="40"/>
        <v>87960</v>
      </c>
      <c r="L34" s="218">
        <f t="shared" si="40"/>
        <v>82761</v>
      </c>
      <c r="M34" s="219">
        <f t="shared" si="40"/>
        <v>329535</v>
      </c>
      <c r="N34" s="218">
        <f t="shared" si="40"/>
        <v>74121</v>
      </c>
      <c r="O34" s="218">
        <f t="shared" si="40"/>
        <v>127042.70860000004</v>
      </c>
      <c r="P34" s="218">
        <f t="shared" si="40"/>
        <v>129308.65499592005</v>
      </c>
      <c r="Q34" s="218">
        <f t="shared" si="40"/>
        <v>142948.36108878683</v>
      </c>
      <c r="R34" s="219">
        <f t="shared" si="40"/>
        <v>473420.72468470677</v>
      </c>
      <c r="S34" s="218">
        <f t="shared" si="40"/>
        <v>115511.22658767107</v>
      </c>
      <c r="T34" s="218">
        <f t="shared" si="40"/>
        <v>147594.161757208</v>
      </c>
      <c r="U34" s="218">
        <f t="shared" si="40"/>
        <v>162618.77545858221</v>
      </c>
      <c r="V34" s="218">
        <f t="shared" si="40"/>
        <v>172294.17972004652</v>
      </c>
      <c r="W34" s="219">
        <f t="shared" si="40"/>
        <v>598018.34352350747</v>
      </c>
    </row>
    <row r="35" spans="2:23" s="61" customFormat="1" ht="16.2" x14ac:dyDescent="0.45">
      <c r="B35" s="76" t="s">
        <v>63</v>
      </c>
      <c r="C35" s="77"/>
      <c r="D35" s="217">
        <f>D110+D111</f>
        <v>-7202</v>
      </c>
      <c r="E35" s="217">
        <f>E110+E111</f>
        <v>-11144</v>
      </c>
      <c r="F35" s="217">
        <f>F110+F111</f>
        <v>-10651</v>
      </c>
      <c r="G35" s="217">
        <f>G110+G111</f>
        <v>-2129</v>
      </c>
      <c r="H35" s="236">
        <f>SUM(D35:G35)</f>
        <v>-31126</v>
      </c>
      <c r="I35" s="217">
        <f t="shared" ref="I35:L35" si="41">I110+I111</f>
        <v>2148</v>
      </c>
      <c r="J35" s="217">
        <f t="shared" si="41"/>
        <v>-5750</v>
      </c>
      <c r="K35" s="217">
        <f t="shared" si="41"/>
        <v>-8162</v>
      </c>
      <c r="L35" s="217">
        <f t="shared" si="41"/>
        <v>-23247</v>
      </c>
      <c r="M35" s="236">
        <f>SUM(I35:L35)</f>
        <v>-35011</v>
      </c>
      <c r="N35" s="217">
        <f t="shared" ref="N35:Q35" si="42">N110+N111</f>
        <v>-123</v>
      </c>
      <c r="O35" s="217">
        <f t="shared" si="42"/>
        <v>-11685</v>
      </c>
      <c r="P35" s="217">
        <f t="shared" si="42"/>
        <v>-5904</v>
      </c>
      <c r="Q35" s="217">
        <f t="shared" si="42"/>
        <v>-8794.5</v>
      </c>
      <c r="R35" s="236">
        <f>SUM(N35:Q35)</f>
        <v>-26506.5</v>
      </c>
      <c r="S35" s="217">
        <f t="shared" ref="S35:V35" si="43">S110+S111</f>
        <v>-7349.25</v>
      </c>
      <c r="T35" s="217">
        <f t="shared" si="43"/>
        <v>-8071.875</v>
      </c>
      <c r="U35" s="217">
        <f t="shared" si="43"/>
        <v>-7710.5625</v>
      </c>
      <c r="V35" s="217">
        <f t="shared" si="43"/>
        <v>-7891.21875</v>
      </c>
      <c r="W35" s="236">
        <f>SUM(S35:V35)</f>
        <v>-31022.90625</v>
      </c>
    </row>
    <row r="36" spans="2:23" s="24" customFormat="1" x14ac:dyDescent="0.3">
      <c r="B36" s="335" t="s">
        <v>230</v>
      </c>
      <c r="C36" s="336"/>
      <c r="D36" s="218">
        <f t="shared" ref="D36:H36" si="44">D30-D31-D33+D35</f>
        <v>99538</v>
      </c>
      <c r="E36" s="218">
        <f t="shared" si="44"/>
        <v>125930</v>
      </c>
      <c r="F36" s="218">
        <f t="shared" si="44"/>
        <v>143939</v>
      </c>
      <c r="G36" s="218">
        <f t="shared" si="44"/>
        <v>151050</v>
      </c>
      <c r="H36" s="219">
        <f t="shared" si="44"/>
        <v>520457</v>
      </c>
      <c r="I36" s="218">
        <f t="shared" ref="I36" si="45">I30-I31-I33+I35</f>
        <v>126458</v>
      </c>
      <c r="J36" s="218">
        <f t="shared" ref="J36" si="46">J30-J31-J33+J35</f>
        <v>152179</v>
      </c>
      <c r="K36" s="218">
        <f t="shared" ref="K36" si="47">K30-K31-K33+K35</f>
        <v>159339</v>
      </c>
      <c r="L36" s="218">
        <f t="shared" ref="L36" si="48">L30-L31-L33+L35</f>
        <v>163522</v>
      </c>
      <c r="M36" s="219">
        <f t="shared" ref="M36" si="49">M30-M31-M33+M35</f>
        <v>601498</v>
      </c>
      <c r="N36" s="218">
        <f t="shared" ref="N36" si="50">N30-N31-N33+N35</f>
        <v>140995</v>
      </c>
      <c r="O36" s="218">
        <f t="shared" ref="O36" si="51">O30-O31-O33+O35</f>
        <v>174648.83291999999</v>
      </c>
      <c r="P36" s="218">
        <f t="shared" ref="P36" si="52">P30-P31-P33+P35</f>
        <v>186285.95655912004</v>
      </c>
      <c r="Q36" s="218">
        <f t="shared" ref="Q36" si="53">Q30-Q31-Q33+Q35</f>
        <v>197340.17466761885</v>
      </c>
      <c r="R36" s="219">
        <f t="shared" ref="R36" si="54">R30-R31-R33+R35</f>
        <v>699269.96414673887</v>
      </c>
      <c r="S36" s="218">
        <f t="shared" ref="S36" si="55">S30-S31-S33+S35</f>
        <v>170024.62616107508</v>
      </c>
      <c r="T36" s="218">
        <f t="shared" ref="T36" si="56">T30-T31-T33+T35</f>
        <v>203523.73177882514</v>
      </c>
      <c r="U36" s="218">
        <f t="shared" ref="U36" si="57">U30-U31-U33+U35</f>
        <v>221662.5891324275</v>
      </c>
      <c r="V36" s="218">
        <f t="shared" ref="V36" si="58">V30-V31-V33+V35</f>
        <v>234045.60032709007</v>
      </c>
      <c r="W36" s="219">
        <f t="shared" ref="W36" si="59">W30-W31-W33+W35</f>
        <v>829256.5473994175</v>
      </c>
    </row>
    <row r="37" spans="2:23" x14ac:dyDescent="0.3">
      <c r="B37" s="349" t="s">
        <v>241</v>
      </c>
      <c r="C37" s="350"/>
      <c r="D37" s="209">
        <v>58526</v>
      </c>
      <c r="E37" s="209">
        <v>59519</v>
      </c>
      <c r="F37" s="209">
        <v>60305</v>
      </c>
      <c r="G37" s="210">
        <v>58305.947054354743</v>
      </c>
      <c r="H37" s="211">
        <f>((D37*D34/H34)+(E37*E34/H34)+(F37*F34/H34)+(G37*G34/H34))</f>
        <v>59745.999999999993</v>
      </c>
      <c r="I37" s="208">
        <v>60803</v>
      </c>
      <c r="J37" s="212">
        <v>61190</v>
      </c>
      <c r="K37" s="212">
        <v>61435</v>
      </c>
      <c r="L37" s="212">
        <v>61427.444810961693</v>
      </c>
      <c r="M37" s="211">
        <f>((I37*I34/M34)+(J37*J34/M34)+(K37*K34/M34)+(L37*L34/M34))</f>
        <v>61232</v>
      </c>
      <c r="N37" s="208">
        <v>61142</v>
      </c>
      <c r="O37" s="212">
        <f>N37*(1+O113)-O117</f>
        <v>61385.767999999996</v>
      </c>
      <c r="P37" s="212">
        <f>O37*(1+P113)-P117</f>
        <v>61630.511071999994</v>
      </c>
      <c r="Q37" s="212">
        <f>P37*(1+Q113)-Q117</f>
        <v>61876.233116287993</v>
      </c>
      <c r="R37" s="211">
        <f>((N37*N34/R34)+(O37*O34/R34)+(P37*P34/R34)+(Q37*Q34/R34))</f>
        <v>61562.545757526823</v>
      </c>
      <c r="S37" s="212">
        <f>Q37*(1+S113)-S117</f>
        <v>62122.938048753145</v>
      </c>
      <c r="T37" s="212">
        <f>S37*(1+T113)-T117</f>
        <v>62370.629800948154</v>
      </c>
      <c r="U37" s="212">
        <f>T37*(1+U113)-U117</f>
        <v>62619.312320151941</v>
      </c>
      <c r="V37" s="212">
        <f>U37*(1+V113)-V117</f>
        <v>62868.989569432546</v>
      </c>
      <c r="W37" s="211">
        <f>((S37*S34/W34)+(T37*T34/W34)+(U37*U34/W34)+(V37*V34/W34))</f>
        <v>62533.992275048993</v>
      </c>
    </row>
    <row r="38" spans="2:23" ht="15.75" customHeight="1" x14ac:dyDescent="0.3">
      <c r="B38" s="349" t="s">
        <v>242</v>
      </c>
      <c r="C38" s="350"/>
      <c r="D38" s="209">
        <v>58526</v>
      </c>
      <c r="E38" s="209">
        <v>62378</v>
      </c>
      <c r="F38" s="209">
        <v>62680</v>
      </c>
      <c r="G38" s="210">
        <v>62852</v>
      </c>
      <c r="H38" s="211">
        <v>62614</v>
      </c>
      <c r="I38" s="208">
        <v>62964</v>
      </c>
      <c r="J38" s="212">
        <v>63090</v>
      </c>
      <c r="K38" s="212">
        <v>63154</v>
      </c>
      <c r="L38" s="212">
        <v>62914.601805198094</v>
      </c>
      <c r="M38" s="211">
        <f>((I38*I34/M34)+(J38*J34/M34)+(K38*K34/M34)+(L38*L34/M34))</f>
        <v>63036</v>
      </c>
      <c r="N38" s="208">
        <v>62474</v>
      </c>
      <c r="O38" s="212">
        <f>N38*(1+O114)-O117</f>
        <v>62598.147999999994</v>
      </c>
      <c r="P38" s="212">
        <f>O38*(1+P114)-P117</f>
        <v>62722.544295999993</v>
      </c>
      <c r="Q38" s="212">
        <f>P38*(1+Q114)-Q117</f>
        <v>62847.189384591991</v>
      </c>
      <c r="R38" s="211">
        <f>((N38*N34/R34)+(O38*O34/R34)+(P38*P34/R34)+(Q38*Q34/R34))</f>
        <v>62687.885519651769</v>
      </c>
      <c r="S38" s="212">
        <f>Q38*(1+S114)-S117</f>
        <v>62972.083763361174</v>
      </c>
      <c r="T38" s="212">
        <f>S38*(1+T114)-T117</f>
        <v>63097.227930887893</v>
      </c>
      <c r="U38" s="212">
        <f>T38*(1+U114)-U117</f>
        <v>63222.622386749666</v>
      </c>
      <c r="V38" s="212">
        <f>U38*(1+V114)-V117</f>
        <v>63348.267631523166</v>
      </c>
      <c r="W38" s="211">
        <f>((S38*S34/W34)+(T38*T34/W34)+(U38*U34/W34)+(V38*V34/W34))</f>
        <v>63179.480618286339</v>
      </c>
    </row>
    <row r="39" spans="2:23" s="61" customFormat="1" ht="15.75" customHeight="1" x14ac:dyDescent="0.3">
      <c r="B39" s="349" t="s">
        <v>20</v>
      </c>
      <c r="C39" s="350"/>
      <c r="D39" s="42">
        <f t="shared" ref="D39:W39" si="60">D34/D37</f>
        <v>-1.5830571028260945</v>
      </c>
      <c r="E39" s="42">
        <f t="shared" si="60"/>
        <v>0.73353046926191634</v>
      </c>
      <c r="F39" s="42">
        <f t="shared" si="60"/>
        <v>0.42726142110936077</v>
      </c>
      <c r="G39" s="38">
        <f t="shared" si="60"/>
        <v>1.3997199963825058</v>
      </c>
      <c r="H39" s="39">
        <f t="shared" si="60"/>
        <v>0.97725370736116235</v>
      </c>
      <c r="I39" s="84">
        <f t="shared" si="60"/>
        <v>1.1627715737710311</v>
      </c>
      <c r="J39" s="37">
        <f t="shared" si="60"/>
        <v>1.4400065370158524</v>
      </c>
      <c r="K39" s="37">
        <f t="shared" si="60"/>
        <v>1.4317571416944739</v>
      </c>
      <c r="L39" s="37">
        <f t="shared" si="60"/>
        <v>1.3472968028328496</v>
      </c>
      <c r="M39" s="39">
        <f t="shared" si="60"/>
        <v>5.3817448392997127</v>
      </c>
      <c r="N39" s="37">
        <f t="shared" si="60"/>
        <v>1.2122763403225278</v>
      </c>
      <c r="O39" s="37">
        <f t="shared" si="60"/>
        <v>2.0695791995304198</v>
      </c>
      <c r="P39" s="37">
        <f t="shared" si="60"/>
        <v>2.0981272546134639</v>
      </c>
      <c r="Q39" s="37">
        <f t="shared" si="60"/>
        <v>2.3102305019139537</v>
      </c>
      <c r="R39" s="39">
        <f t="shared" si="60"/>
        <v>7.6900771217185238</v>
      </c>
      <c r="S39" s="37">
        <f t="shared" si="60"/>
        <v>1.8593973533096519</v>
      </c>
      <c r="T39" s="37">
        <f t="shared" si="60"/>
        <v>2.3664048644088611</v>
      </c>
      <c r="U39" s="37">
        <f t="shared" si="60"/>
        <v>2.5969428509078143</v>
      </c>
      <c r="V39" s="37">
        <f t="shared" si="60"/>
        <v>2.7405272599421173</v>
      </c>
      <c r="W39" s="39">
        <f t="shared" si="60"/>
        <v>9.5630923561251056</v>
      </c>
    </row>
    <row r="40" spans="2:23" s="61" customFormat="1" x14ac:dyDescent="0.3">
      <c r="B40" s="349" t="s">
        <v>21</v>
      </c>
      <c r="C40" s="350"/>
      <c r="D40" s="42">
        <f t="shared" ref="D40:W40" si="61">D34/D38</f>
        <v>-1.5830571028260945</v>
      </c>
      <c r="E40" s="42">
        <f t="shared" si="61"/>
        <v>0.69991022475872899</v>
      </c>
      <c r="F40" s="42">
        <f t="shared" si="61"/>
        <v>0.4110721123165284</v>
      </c>
      <c r="G40" s="38">
        <f t="shared" si="61"/>
        <v>1.2984789664608922</v>
      </c>
      <c r="H40" s="39">
        <f t="shared" si="61"/>
        <v>0.93249113616763024</v>
      </c>
      <c r="I40" s="84">
        <f t="shared" si="61"/>
        <v>1.1228638587129154</v>
      </c>
      <c r="J40" s="37">
        <f t="shared" si="61"/>
        <v>1.3966397210334442</v>
      </c>
      <c r="K40" s="37">
        <f t="shared" si="61"/>
        <v>1.3927858884631219</v>
      </c>
      <c r="L40" s="37">
        <f t="shared" si="61"/>
        <v>1.3154497942505006</v>
      </c>
      <c r="M40" s="39">
        <f t="shared" si="61"/>
        <v>5.2277270131353513</v>
      </c>
      <c r="N40" s="37">
        <f t="shared" si="61"/>
        <v>1.186429554694753</v>
      </c>
      <c r="O40" s="37">
        <f t="shared" si="61"/>
        <v>2.0294962815832833</v>
      </c>
      <c r="P40" s="37">
        <f t="shared" si="61"/>
        <v>2.0615977308842437</v>
      </c>
      <c r="Q40" s="37">
        <f t="shared" si="61"/>
        <v>2.2745386466531938</v>
      </c>
      <c r="R40" s="39">
        <f t="shared" si="61"/>
        <v>7.552028924891653</v>
      </c>
      <c r="S40" s="37">
        <f t="shared" si="61"/>
        <v>1.8343243495283312</v>
      </c>
      <c r="T40" s="37">
        <f t="shared" si="61"/>
        <v>2.3391544541207403</v>
      </c>
      <c r="U40" s="37">
        <f t="shared" si="61"/>
        <v>2.5721611872376906</v>
      </c>
      <c r="V40" s="37">
        <f t="shared" si="61"/>
        <v>2.7197930766193523</v>
      </c>
      <c r="W40" s="39">
        <f t="shared" si="61"/>
        <v>9.4653887254403948</v>
      </c>
    </row>
    <row r="41" spans="2:23" s="61" customFormat="1" x14ac:dyDescent="0.3">
      <c r="B41" s="349" t="s">
        <v>22</v>
      </c>
      <c r="C41" s="350"/>
      <c r="D41" s="42">
        <f>D36/62517</f>
        <v>1.5921749284194699</v>
      </c>
      <c r="E41" s="42">
        <f t="shared" ref="E41:W41" si="62">E36/E38</f>
        <v>2.0188207380807337</v>
      </c>
      <c r="F41" s="42">
        <f t="shared" si="62"/>
        <v>2.2964103382259093</v>
      </c>
      <c r="G41" s="42">
        <f t="shared" si="62"/>
        <v>2.4032648125755744</v>
      </c>
      <c r="H41" s="39">
        <f t="shared" si="62"/>
        <v>8.3121506372376786</v>
      </c>
      <c r="I41" s="42">
        <f t="shared" si="62"/>
        <v>2.0084175084175082</v>
      </c>
      <c r="J41" s="37">
        <f t="shared" si="62"/>
        <v>2.4120938342051037</v>
      </c>
      <c r="K41" s="37">
        <f t="shared" si="62"/>
        <v>2.5230230864236627</v>
      </c>
      <c r="L41" s="37">
        <f t="shared" si="62"/>
        <v>2.5991104657438933</v>
      </c>
      <c r="M41" s="39">
        <f t="shared" si="62"/>
        <v>9.5421346532140365</v>
      </c>
      <c r="N41" s="37">
        <f t="shared" si="62"/>
        <v>2.2568588532829659</v>
      </c>
      <c r="O41" s="295">
        <f t="shared" si="62"/>
        <v>2.79</v>
      </c>
      <c r="P41" s="295">
        <f t="shared" si="62"/>
        <v>2.9700000000000011</v>
      </c>
      <c r="Q41" s="295">
        <f t="shared" si="62"/>
        <v>3.14</v>
      </c>
      <c r="R41" s="201">
        <f t="shared" si="62"/>
        <v>11.154786261334777</v>
      </c>
      <c r="S41" s="295">
        <f t="shared" si="62"/>
        <v>2.6999999999999984</v>
      </c>
      <c r="T41" s="37">
        <f t="shared" si="62"/>
        <v>3.2255574207118927</v>
      </c>
      <c r="U41" s="37">
        <f t="shared" si="62"/>
        <v>3.5060644554801641</v>
      </c>
      <c r="V41" s="37">
        <f t="shared" si="62"/>
        <v>3.6945856465793079</v>
      </c>
      <c r="W41" s="39">
        <f t="shared" si="62"/>
        <v>13.125409377920745</v>
      </c>
    </row>
    <row r="42" spans="2:23" s="11" customFormat="1" x14ac:dyDescent="0.3">
      <c r="B42" s="35" t="s">
        <v>31</v>
      </c>
      <c r="C42" s="36"/>
      <c r="D42" s="42"/>
      <c r="E42" s="42"/>
      <c r="F42" s="42"/>
      <c r="G42" s="38"/>
      <c r="H42" s="39">
        <f>SUM(D42:G42)</f>
        <v>0</v>
      </c>
      <c r="I42" s="42">
        <v>0</v>
      </c>
      <c r="J42" s="37">
        <v>0</v>
      </c>
      <c r="K42" s="37">
        <v>0</v>
      </c>
      <c r="L42" s="37">
        <v>0</v>
      </c>
      <c r="M42" s="39">
        <f>SUM(I42:L42)</f>
        <v>0</v>
      </c>
      <c r="N42" s="37">
        <v>0</v>
      </c>
      <c r="O42" s="37">
        <v>0</v>
      </c>
      <c r="P42" s="37">
        <v>0</v>
      </c>
      <c r="Q42" s="37">
        <v>0</v>
      </c>
      <c r="R42" s="39">
        <f>SUM(N42:Q42)</f>
        <v>0</v>
      </c>
      <c r="S42" s="37">
        <f>N42</f>
        <v>0</v>
      </c>
      <c r="T42" s="37">
        <f t="shared" ref="T42:V42" si="63">O42</f>
        <v>0</v>
      </c>
      <c r="U42" s="37">
        <f t="shared" si="63"/>
        <v>0</v>
      </c>
      <c r="V42" s="37">
        <f t="shared" si="63"/>
        <v>0</v>
      </c>
      <c r="W42" s="39">
        <f>SUM(S42:V42)</f>
        <v>0</v>
      </c>
    </row>
    <row r="43" spans="2:23" x14ac:dyDescent="0.3">
      <c r="B43" s="20"/>
      <c r="C43" s="23"/>
      <c r="D43" s="179">
        <f>D11-D47-D55-D63-D75-D78-D80</f>
        <v>0</v>
      </c>
      <c r="E43" s="179">
        <f>E11-E47-E55-E63-E75-E78-E80</f>
        <v>0</v>
      </c>
      <c r="F43" s="179">
        <f>F11-F47-F55-F63-F75-F78-F80</f>
        <v>0</v>
      </c>
      <c r="G43" s="179">
        <f>G11-G47-G55-G63-G75-G78-G80</f>
        <v>0</v>
      </c>
      <c r="H43" s="69"/>
      <c r="I43" s="179">
        <f>I11-I47-I55-I63-I75-I78-I80</f>
        <v>0</v>
      </c>
      <c r="J43" s="179">
        <f>J11-J47-J55-J63-J75-J78-J80</f>
        <v>0</v>
      </c>
      <c r="K43" s="179">
        <f>K11-K47-K55-K63-K75-K78-K80</f>
        <v>0</v>
      </c>
      <c r="L43" s="179">
        <f>L11-L47-L55-L63-L75-L78-L80</f>
        <v>0</v>
      </c>
      <c r="M43" s="69"/>
      <c r="N43" s="179">
        <f>N11-N47-N55-N63-N75-N78-N80</f>
        <v>0</v>
      </c>
      <c r="O43" s="69"/>
      <c r="P43" s="69"/>
      <c r="Q43" s="69"/>
      <c r="R43" s="69"/>
      <c r="S43" s="69"/>
      <c r="T43" s="69"/>
      <c r="U43" s="69"/>
      <c r="V43" s="69"/>
      <c r="W43" s="69"/>
    </row>
    <row r="44" spans="2:23" ht="15.6" x14ac:dyDescent="0.3">
      <c r="B44" s="351" t="s">
        <v>19</v>
      </c>
      <c r="C44" s="352"/>
      <c r="D44" s="63" t="s">
        <v>5</v>
      </c>
      <c r="E44" s="63" t="s">
        <v>4</v>
      </c>
      <c r="F44" s="63" t="s">
        <v>3</v>
      </c>
      <c r="G44" s="63" t="s">
        <v>6</v>
      </c>
      <c r="H44" s="63" t="s">
        <v>6</v>
      </c>
      <c r="I44" s="63" t="s">
        <v>7</v>
      </c>
      <c r="J44" s="63" t="s">
        <v>8</v>
      </c>
      <c r="K44" s="63" t="s">
        <v>9</v>
      </c>
      <c r="L44" s="63" t="s">
        <v>11</v>
      </c>
      <c r="M44" s="63" t="s">
        <v>11</v>
      </c>
      <c r="N44" s="63" t="s">
        <v>12</v>
      </c>
      <c r="O44" s="65" t="s">
        <v>13</v>
      </c>
      <c r="P44" s="65" t="s">
        <v>14</v>
      </c>
      <c r="Q44" s="65" t="s">
        <v>10</v>
      </c>
      <c r="R44" s="65" t="s">
        <v>10</v>
      </c>
      <c r="S44" s="65" t="s">
        <v>15</v>
      </c>
      <c r="T44" s="65" t="s">
        <v>16</v>
      </c>
      <c r="U44" s="65" t="s">
        <v>17</v>
      </c>
      <c r="V44" s="65" t="s">
        <v>18</v>
      </c>
      <c r="W44" s="71" t="s">
        <v>18</v>
      </c>
    </row>
    <row r="45" spans="2:23" ht="16.2" x14ac:dyDescent="0.45">
      <c r="B45" s="355" t="s">
        <v>192</v>
      </c>
      <c r="C45" s="356"/>
      <c r="D45" s="64" t="s">
        <v>36</v>
      </c>
      <c r="E45" s="64" t="s">
        <v>37</v>
      </c>
      <c r="F45" s="64" t="s">
        <v>38</v>
      </c>
      <c r="G45" s="64" t="s">
        <v>39</v>
      </c>
      <c r="H45" s="64" t="s">
        <v>26</v>
      </c>
      <c r="I45" s="64" t="s">
        <v>40</v>
      </c>
      <c r="J45" s="64" t="s">
        <v>41</v>
      </c>
      <c r="K45" s="64" t="s">
        <v>49</v>
      </c>
      <c r="L45" s="64" t="s">
        <v>65</v>
      </c>
      <c r="M45" s="64" t="s">
        <v>66</v>
      </c>
      <c r="N45" s="64" t="s">
        <v>117</v>
      </c>
      <c r="O45" s="66" t="s">
        <v>42</v>
      </c>
      <c r="P45" s="66" t="s">
        <v>43</v>
      </c>
      <c r="Q45" s="66" t="s">
        <v>44</v>
      </c>
      <c r="R45" s="66" t="s">
        <v>27</v>
      </c>
      <c r="S45" s="66" t="s">
        <v>45</v>
      </c>
      <c r="T45" s="66" t="s">
        <v>46</v>
      </c>
      <c r="U45" s="66" t="s">
        <v>47</v>
      </c>
      <c r="V45" s="66" t="s">
        <v>48</v>
      </c>
      <c r="W45" s="72" t="s">
        <v>28</v>
      </c>
    </row>
    <row r="46" spans="2:23" s="75" customFormat="1" ht="14.4" customHeight="1" x14ac:dyDescent="0.3">
      <c r="B46" s="337" t="s">
        <v>179</v>
      </c>
      <c r="C46" s="338"/>
      <c r="D46" s="43"/>
      <c r="E46" s="43"/>
      <c r="F46" s="43"/>
      <c r="G46" s="43"/>
      <c r="H46" s="31"/>
      <c r="I46" s="43"/>
      <c r="J46" s="43"/>
      <c r="K46" s="43"/>
      <c r="L46" s="43"/>
      <c r="M46" s="31"/>
      <c r="N46" s="43"/>
      <c r="O46" s="43"/>
      <c r="P46" s="43"/>
      <c r="Q46" s="43"/>
      <c r="R46" s="31"/>
      <c r="S46" s="43"/>
      <c r="T46" s="43"/>
      <c r="U46" s="43"/>
      <c r="V46" s="43"/>
      <c r="W46" s="31"/>
    </row>
    <row r="47" spans="2:23" s="75" customFormat="1" ht="14.4" hidden="1" customHeight="1" outlineLevel="1" x14ac:dyDescent="0.3">
      <c r="B47" s="173" t="s">
        <v>182</v>
      </c>
      <c r="C47" s="174"/>
      <c r="D47" s="43">
        <v>160378</v>
      </c>
      <c r="E47" s="43">
        <v>191366</v>
      </c>
      <c r="F47" s="43">
        <v>204337</v>
      </c>
      <c r="G47" s="43">
        <v>222503</v>
      </c>
      <c r="H47" s="31">
        <f>SUM(D47:G47)</f>
        <v>778584</v>
      </c>
      <c r="I47" s="43">
        <v>212690</v>
      </c>
      <c r="J47" s="43">
        <v>247846</v>
      </c>
      <c r="K47" s="43">
        <v>242899</v>
      </c>
      <c r="L47" s="43">
        <v>251752</v>
      </c>
      <c r="M47" s="31">
        <f>SUM(I47:L47)</f>
        <v>955187</v>
      </c>
      <c r="N47" s="43">
        <v>249537</v>
      </c>
      <c r="O47" s="43">
        <f>+(O52*O50)</f>
        <v>285391.69681818178</v>
      </c>
      <c r="P47" s="43">
        <f>+(P52*P50)</f>
        <v>298017.17652272718</v>
      </c>
      <c r="Q47" s="43">
        <f>+(Q52*Q50)</f>
        <v>309280.69160640932</v>
      </c>
      <c r="R47" s="191">
        <f>SUM(N47:Q47)</f>
        <v>1142226.5649473183</v>
      </c>
      <c r="S47" s="43">
        <f>+(S52*S50)</f>
        <v>320115.46827327658</v>
      </c>
      <c r="T47" s="43">
        <f>+(T52*T50)</f>
        <v>352127.01510060421</v>
      </c>
      <c r="U47" s="43">
        <f>+(U52*U50)</f>
        <v>387339.71661066473</v>
      </c>
      <c r="V47" s="43">
        <f>+(V52*V50)</f>
        <v>426073.68827173125</v>
      </c>
      <c r="W47" s="31">
        <f>SUM(S47:V47)</f>
        <v>1485655.888256277</v>
      </c>
    </row>
    <row r="48" spans="2:23" s="75" customFormat="1" ht="14.4" hidden="1" customHeight="1" outlineLevel="1" x14ac:dyDescent="0.3">
      <c r="B48" s="173" t="s">
        <v>176</v>
      </c>
      <c r="C48" s="174"/>
      <c r="D48" s="178"/>
      <c r="E48" s="30">
        <f>(E47/D47)-1</f>
        <v>0.19321852124356198</v>
      </c>
      <c r="F48" s="30">
        <f t="shared" ref="F48:G48" si="64">(F47/E47)-1</f>
        <v>6.7781110542102674E-2</v>
      </c>
      <c r="G48" s="30">
        <f t="shared" si="64"/>
        <v>8.8902156731282211E-2</v>
      </c>
      <c r="H48" s="40"/>
      <c r="I48" s="30">
        <f>(I47/G47)-1</f>
        <v>-4.4102776142344147E-2</v>
      </c>
      <c r="J48" s="30">
        <f>(J47/I47)-1</f>
        <v>0.16529220931872679</v>
      </c>
      <c r="K48" s="30">
        <f>(K47/J47)-1</f>
        <v>-1.9959975145856679E-2</v>
      </c>
      <c r="L48" s="30">
        <f>(L47/K47)-1</f>
        <v>3.6447247621439471E-2</v>
      </c>
      <c r="M48" s="40">
        <f>(M47/H47)-1</f>
        <v>0.22682587877480143</v>
      </c>
      <c r="N48" s="30">
        <f>(N47/L47)-1</f>
        <v>-8.7983412246973591E-3</v>
      </c>
      <c r="O48" s="30">
        <f>(O47/N47)-1</f>
        <v>0.14368489169214094</v>
      </c>
      <c r="P48" s="30">
        <f t="shared" ref="P48:Q48" si="65">(P47/O47)-1</f>
        <v>4.4239127645640197E-2</v>
      </c>
      <c r="Q48" s="30">
        <f t="shared" si="65"/>
        <v>3.7794852011904689E-2</v>
      </c>
      <c r="R48" s="40">
        <f>(R47/M47)-1</f>
        <v>0.19581460483373236</v>
      </c>
      <c r="S48" s="30">
        <f>(S47/Q47)-1</f>
        <v>3.5032179379162809E-2</v>
      </c>
      <c r="T48" s="30">
        <f>(T47/S47)-1</f>
        <v>9.9999999999999867E-2</v>
      </c>
      <c r="U48" s="30">
        <f>(U47/T47)-1</f>
        <v>0.10000000000000031</v>
      </c>
      <c r="V48" s="30">
        <f>(V47/U47)-1</f>
        <v>0.10000000000000009</v>
      </c>
      <c r="W48" s="40">
        <f>(W47/R47)-1</f>
        <v>0.30066655237071838</v>
      </c>
    </row>
    <row r="49" spans="2:25" s="75" customFormat="1" ht="14.4" hidden="1" customHeight="1" outlineLevel="1" x14ac:dyDescent="0.3">
      <c r="B49" s="180" t="s">
        <v>193</v>
      </c>
      <c r="C49" s="181"/>
      <c r="D49" s="43">
        <v>155000</v>
      </c>
      <c r="E49" s="43">
        <v>155000</v>
      </c>
      <c r="F49" s="43">
        <v>155000</v>
      </c>
      <c r="G49" s="43">
        <v>155000</v>
      </c>
      <c r="H49" s="31">
        <v>155000</v>
      </c>
      <c r="I49" s="43">
        <v>160000</v>
      </c>
      <c r="J49" s="43">
        <v>160000</v>
      </c>
      <c r="K49" s="43">
        <v>160000</v>
      </c>
      <c r="L49" s="43">
        <v>160000</v>
      </c>
      <c r="M49" s="31">
        <v>160000</v>
      </c>
      <c r="N49" s="43">
        <v>160000</v>
      </c>
      <c r="O49" s="132">
        <v>160000</v>
      </c>
      <c r="P49" s="132">
        <v>160000</v>
      </c>
      <c r="Q49" s="132">
        <v>160000</v>
      </c>
      <c r="R49" s="260">
        <v>160000</v>
      </c>
      <c r="S49" s="132">
        <v>160000</v>
      </c>
      <c r="T49" s="132">
        <v>160000</v>
      </c>
      <c r="U49" s="132">
        <v>160000</v>
      </c>
      <c r="V49" s="132">
        <v>160000</v>
      </c>
      <c r="W49" s="260">
        <v>160000</v>
      </c>
    </row>
    <row r="50" spans="2:25" s="75" customFormat="1" ht="14.4" hidden="1" customHeight="1" outlineLevel="1" x14ac:dyDescent="0.3">
      <c r="B50" s="180" t="s">
        <v>194</v>
      </c>
      <c r="C50" s="181"/>
      <c r="D50" s="43">
        <v>12250</v>
      </c>
      <c r="E50" s="43">
        <v>12250</v>
      </c>
      <c r="F50" s="43">
        <v>12250</v>
      </c>
      <c r="G50" s="43">
        <v>12250</v>
      </c>
      <c r="H50" s="31">
        <v>12250</v>
      </c>
      <c r="I50" s="43">
        <v>12375</v>
      </c>
      <c r="J50" s="43">
        <v>12375</v>
      </c>
      <c r="K50" s="43">
        <v>12450</v>
      </c>
      <c r="L50" s="43">
        <v>12550</v>
      </c>
      <c r="M50" s="31">
        <v>12550</v>
      </c>
      <c r="N50" s="43">
        <v>12775</v>
      </c>
      <c r="O50" s="43">
        <f>+O49*O51</f>
        <v>12800</v>
      </c>
      <c r="P50" s="43">
        <f t="shared" ref="P50:V50" si="66">+P49*P51</f>
        <v>12800</v>
      </c>
      <c r="Q50" s="43">
        <f t="shared" si="66"/>
        <v>12800</v>
      </c>
      <c r="R50" s="31">
        <f t="shared" si="66"/>
        <v>12800</v>
      </c>
      <c r="S50" s="43">
        <f t="shared" si="66"/>
        <v>12800</v>
      </c>
      <c r="T50" s="43">
        <f t="shared" si="66"/>
        <v>12800</v>
      </c>
      <c r="U50" s="43">
        <f t="shared" si="66"/>
        <v>12800</v>
      </c>
      <c r="V50" s="43">
        <f t="shared" si="66"/>
        <v>12800</v>
      </c>
      <c r="W50" s="31">
        <f>+W49*W51</f>
        <v>12800</v>
      </c>
    </row>
    <row r="51" spans="2:25" s="75" customFormat="1" ht="14.4" hidden="1" customHeight="1" outlineLevel="1" x14ac:dyDescent="0.3">
      <c r="B51" s="183" t="s">
        <v>243</v>
      </c>
      <c r="C51" s="184"/>
      <c r="D51" s="30">
        <f>D50/D49</f>
        <v>7.9032258064516123E-2</v>
      </c>
      <c r="E51" s="30">
        <f t="shared" ref="E51:G51" si="67">E50/E49</f>
        <v>7.9032258064516123E-2</v>
      </c>
      <c r="F51" s="30">
        <f t="shared" si="67"/>
        <v>7.9032258064516123E-2</v>
      </c>
      <c r="G51" s="30">
        <f t="shared" si="67"/>
        <v>7.9032258064516123E-2</v>
      </c>
      <c r="H51" s="40">
        <f>H50/H49</f>
        <v>7.9032258064516123E-2</v>
      </c>
      <c r="I51" s="46">
        <f>I50/I49</f>
        <v>7.7343750000000003E-2</v>
      </c>
      <c r="J51" s="30">
        <f t="shared" ref="J51:L51" si="68">J50/J49</f>
        <v>7.7343750000000003E-2</v>
      </c>
      <c r="K51" s="30">
        <f t="shared" si="68"/>
        <v>7.7812500000000007E-2</v>
      </c>
      <c r="L51" s="47">
        <f t="shared" si="68"/>
        <v>7.8437499999999993E-2</v>
      </c>
      <c r="M51" s="40">
        <f>M50/M49</f>
        <v>7.8437499999999993E-2</v>
      </c>
      <c r="N51" s="46">
        <f>N50/N49</f>
        <v>7.9843750000000005E-2</v>
      </c>
      <c r="O51" s="32">
        <v>0.08</v>
      </c>
      <c r="P51" s="32">
        <v>0.08</v>
      </c>
      <c r="Q51" s="32">
        <v>0.08</v>
      </c>
      <c r="R51" s="278">
        <v>0.08</v>
      </c>
      <c r="S51" s="70">
        <v>0.08</v>
      </c>
      <c r="T51" s="32">
        <v>0.08</v>
      </c>
      <c r="U51" s="32">
        <v>0.08</v>
      </c>
      <c r="V51" s="32">
        <v>0.08</v>
      </c>
      <c r="W51" s="278">
        <v>0.08</v>
      </c>
    </row>
    <row r="52" spans="2:25" s="75" customFormat="1" ht="14.4" hidden="1" customHeight="1" outlineLevel="1" x14ac:dyDescent="0.3">
      <c r="B52" s="114" t="s">
        <v>197</v>
      </c>
      <c r="C52" s="115"/>
      <c r="D52" s="245">
        <f>D47/D50</f>
        <v>13.092081632653061</v>
      </c>
      <c r="E52" s="245">
        <f t="shared" ref="E52:G52" si="69">E47/E50</f>
        <v>15.621714285714285</v>
      </c>
      <c r="F52" s="245">
        <f t="shared" si="69"/>
        <v>16.680571428571429</v>
      </c>
      <c r="G52" s="245">
        <f t="shared" si="69"/>
        <v>18.163510204081632</v>
      </c>
      <c r="H52" s="246">
        <f t="shared" ref="H52:N52" si="70">H47/H50</f>
        <v>63.557877551020411</v>
      </c>
      <c r="I52" s="245">
        <f t="shared" si="70"/>
        <v>17.187070707070706</v>
      </c>
      <c r="J52" s="245">
        <f t="shared" si="70"/>
        <v>20.027959595959597</v>
      </c>
      <c r="K52" s="245">
        <f t="shared" si="70"/>
        <v>19.509959839357428</v>
      </c>
      <c r="L52" s="245">
        <f t="shared" si="70"/>
        <v>20.059920318725098</v>
      </c>
      <c r="M52" s="246">
        <f t="shared" si="70"/>
        <v>76.110517928286853</v>
      </c>
      <c r="N52" s="245">
        <f t="shared" si="70"/>
        <v>19.533228962818004</v>
      </c>
      <c r="O52" s="245">
        <f>N52*(1+O53)</f>
        <v>22.29622631392045</v>
      </c>
      <c r="P52" s="245">
        <f t="shared" ref="P52:Q52" si="71">O52*(1+P53)</f>
        <v>23.282591915838061</v>
      </c>
      <c r="Q52" s="245">
        <f t="shared" si="71"/>
        <v>24.16255403175073</v>
      </c>
      <c r="R52" s="246">
        <f>M52*(1+R53)</f>
        <v>81.780373797628258</v>
      </c>
      <c r="S52" s="245">
        <f>Q52*(1+S53)</f>
        <v>25.009020958849732</v>
      </c>
      <c r="T52" s="245">
        <f t="shared" ref="T52:V52" si="72">S52*(1+T53)</f>
        <v>27.509923054734706</v>
      </c>
      <c r="U52" s="245">
        <f t="shared" si="72"/>
        <v>30.26091536020818</v>
      </c>
      <c r="V52" s="245">
        <f t="shared" si="72"/>
        <v>33.287006896229002</v>
      </c>
      <c r="W52" s="246">
        <f>R52*(1+W53)</f>
        <v>89.958411177391085</v>
      </c>
    </row>
    <row r="53" spans="2:25" s="75" customFormat="1" ht="14.4" hidden="1" customHeight="1" outlineLevel="1" x14ac:dyDescent="0.3">
      <c r="B53" s="255" t="s">
        <v>175</v>
      </c>
      <c r="C53" s="261"/>
      <c r="D53" s="262"/>
      <c r="E53" s="262"/>
      <c r="F53" s="262"/>
      <c r="G53" s="262"/>
      <c r="H53" s="263"/>
      <c r="I53" s="262"/>
      <c r="J53" s="262"/>
      <c r="K53" s="262"/>
      <c r="L53" s="264"/>
      <c r="M53" s="265"/>
      <c r="N53" s="264"/>
      <c r="O53" s="266">
        <v>0.14145113213805469</v>
      </c>
      <c r="P53" s="266">
        <v>4.4239127645640516E-2</v>
      </c>
      <c r="Q53" s="266">
        <v>3.7794852011904592E-2</v>
      </c>
      <c r="R53" s="267">
        <f>AVERAGE(O53:Q53)</f>
        <v>7.4495037265199918E-2</v>
      </c>
      <c r="S53" s="266">
        <v>3.5032179379162524E-2</v>
      </c>
      <c r="T53" s="266">
        <v>0.1</v>
      </c>
      <c r="U53" s="266">
        <v>0.1</v>
      </c>
      <c r="V53" s="266">
        <v>0.1</v>
      </c>
      <c r="W53" s="267">
        <v>0.1</v>
      </c>
    </row>
    <row r="54" spans="2:25" s="75" customFormat="1" ht="14.4" customHeight="1" collapsed="1" x14ac:dyDescent="0.3">
      <c r="B54" s="268" t="s">
        <v>178</v>
      </c>
      <c r="C54" s="203"/>
      <c r="D54" s="178"/>
      <c r="E54" s="178"/>
      <c r="F54" s="178"/>
      <c r="G54" s="178"/>
      <c r="H54" s="182"/>
      <c r="I54" s="178"/>
      <c r="J54" s="178"/>
      <c r="K54" s="178"/>
      <c r="L54" s="143"/>
      <c r="M54" s="187"/>
      <c r="N54" s="143"/>
      <c r="O54" s="143"/>
      <c r="P54" s="143"/>
      <c r="Q54" s="143"/>
      <c r="R54" s="187"/>
      <c r="S54" s="143"/>
      <c r="T54" s="143"/>
      <c r="U54" s="143"/>
      <c r="V54" s="143"/>
      <c r="W54" s="187"/>
    </row>
    <row r="55" spans="2:25" s="119" customFormat="1" ht="14.4" hidden="1" customHeight="1" outlineLevel="1" x14ac:dyDescent="0.3">
      <c r="B55" s="349" t="s">
        <v>183</v>
      </c>
      <c r="C55" s="350"/>
      <c r="D55" s="43">
        <v>46920</v>
      </c>
      <c r="E55" s="43">
        <v>47869</v>
      </c>
      <c r="F55" s="43">
        <v>52121</v>
      </c>
      <c r="G55" s="43">
        <v>52755</v>
      </c>
      <c r="H55" s="31">
        <f>SUM(D55:G55)</f>
        <v>199665</v>
      </c>
      <c r="I55" s="43">
        <v>50353</v>
      </c>
      <c r="J55" s="43">
        <v>46151</v>
      </c>
      <c r="K55" s="43">
        <v>56317</v>
      </c>
      <c r="L55" s="43">
        <v>50440</v>
      </c>
      <c r="M55" s="31">
        <f>SUM(I55:L55)</f>
        <v>203261</v>
      </c>
      <c r="N55" s="43">
        <v>51173</v>
      </c>
      <c r="O55" s="43">
        <f>+(O60*O58)</f>
        <v>50312.363181818189</v>
      </c>
      <c r="P55" s="43">
        <f t="shared" ref="P55:Q55" si="73">+(P60*P58)</f>
        <v>51821.734077272733</v>
      </c>
      <c r="Q55" s="43">
        <f t="shared" si="73"/>
        <v>53376.386099590913</v>
      </c>
      <c r="R55" s="191">
        <f>SUM(N55:Q55)</f>
        <v>206683.48335868184</v>
      </c>
      <c r="S55" s="43">
        <f>+(S60*S58)</f>
        <v>54977.677682578644</v>
      </c>
      <c r="T55" s="43">
        <f t="shared" ref="T55:V55" si="74">+(T60*T58)</f>
        <v>56627.008013056002</v>
      </c>
      <c r="U55" s="43">
        <f t="shared" si="74"/>
        <v>58325.818253447687</v>
      </c>
      <c r="V55" s="43">
        <f t="shared" si="74"/>
        <v>60075.592801051112</v>
      </c>
      <c r="W55" s="31">
        <f>SUM(S55:V55)</f>
        <v>230006.09675013344</v>
      </c>
    </row>
    <row r="56" spans="2:25" s="118" customFormat="1" ht="14.4" hidden="1" customHeight="1" outlineLevel="1" x14ac:dyDescent="0.3">
      <c r="B56" s="349" t="s">
        <v>177</v>
      </c>
      <c r="C56" s="350"/>
      <c r="D56" s="30"/>
      <c r="E56" s="30">
        <f>(E55/D55)-1</f>
        <v>2.0225916453537884E-2</v>
      </c>
      <c r="F56" s="30">
        <f>(F55/E55)-1</f>
        <v>8.882575361925249E-2</v>
      </c>
      <c r="G56" s="30">
        <f>(G55/F55)-1</f>
        <v>1.2164002993035439E-2</v>
      </c>
      <c r="H56" s="40"/>
      <c r="I56" s="30">
        <f>(I55/G55)-1</f>
        <v>-4.5531229267367967E-2</v>
      </c>
      <c r="J56" s="30">
        <f>(J55/I55)-1</f>
        <v>-8.3450837090143559E-2</v>
      </c>
      <c r="K56" s="30">
        <f>(K55/J55)-1</f>
        <v>0.22027691707655306</v>
      </c>
      <c r="L56" s="30">
        <f>(L55/K55)-1</f>
        <v>-0.10435570076531064</v>
      </c>
      <c r="M56" s="40">
        <f>(M55/H55)-1</f>
        <v>1.8010167029774982E-2</v>
      </c>
      <c r="N56" s="30">
        <f>(N55/L55)-1</f>
        <v>1.4532117367168862E-2</v>
      </c>
      <c r="O56" s="30">
        <f>(O55/N55)-1</f>
        <v>-1.6818181818181621E-2</v>
      </c>
      <c r="P56" s="30">
        <f t="shared" ref="P56:T56" si="75">(P55/O55)-1</f>
        <v>3.0000000000000027E-2</v>
      </c>
      <c r="Q56" s="30">
        <f t="shared" si="75"/>
        <v>3.0000000000000027E-2</v>
      </c>
      <c r="R56" s="40">
        <f>(R55/M55)-1</f>
        <v>1.6837875237659228E-2</v>
      </c>
      <c r="S56" s="30">
        <f>(S55/Q55)-1</f>
        <v>3.0000000000000027E-2</v>
      </c>
      <c r="T56" s="30">
        <f t="shared" si="75"/>
        <v>3.0000000000000027E-2</v>
      </c>
      <c r="U56" s="30">
        <f t="shared" ref="U56" si="76">(U55/T55)-1</f>
        <v>3.0000000000000027E-2</v>
      </c>
      <c r="V56" s="30">
        <f t="shared" ref="V56" si="77">(V55/U55)-1</f>
        <v>2.9999999999999805E-2</v>
      </c>
      <c r="W56" s="40">
        <f>(W55/R55)-1</f>
        <v>0.11284217302926502</v>
      </c>
      <c r="X56" s="279"/>
    </row>
    <row r="57" spans="2:25" s="118" customFormat="1" ht="14.4" hidden="1" customHeight="1" outlineLevel="1" x14ac:dyDescent="0.3">
      <c r="B57" s="183" t="s">
        <v>195</v>
      </c>
      <c r="C57" s="184"/>
      <c r="D57" s="43">
        <v>3500</v>
      </c>
      <c r="E57" s="43">
        <v>3500</v>
      </c>
      <c r="F57" s="43">
        <v>3500</v>
      </c>
      <c r="G57" s="43">
        <v>3500</v>
      </c>
      <c r="H57" s="273">
        <v>3500</v>
      </c>
      <c r="I57" s="43">
        <v>3500</v>
      </c>
      <c r="J57" s="43">
        <v>3500</v>
      </c>
      <c r="K57" s="43">
        <v>3500</v>
      </c>
      <c r="L57" s="43">
        <v>3500</v>
      </c>
      <c r="M57" s="274">
        <v>3500</v>
      </c>
      <c r="N57" s="43">
        <v>3500</v>
      </c>
      <c r="O57" s="132">
        <v>3500</v>
      </c>
      <c r="P57" s="132">
        <v>3500</v>
      </c>
      <c r="Q57" s="132">
        <v>3500</v>
      </c>
      <c r="R57" s="260">
        <v>3500</v>
      </c>
      <c r="S57" s="132">
        <v>3500</v>
      </c>
      <c r="T57" s="132">
        <v>3500</v>
      </c>
      <c r="U57" s="132">
        <v>3500</v>
      </c>
      <c r="V57" s="132">
        <v>3500</v>
      </c>
      <c r="W57" s="260">
        <v>3500</v>
      </c>
      <c r="X57" s="275"/>
    </row>
    <row r="58" spans="2:25" s="118" customFormat="1" ht="14.4" hidden="1" customHeight="1" outlineLevel="1" x14ac:dyDescent="0.3">
      <c r="B58" s="183" t="s">
        <v>196</v>
      </c>
      <c r="C58" s="184"/>
      <c r="D58" s="41">
        <v>550</v>
      </c>
      <c r="E58" s="43">
        <v>550</v>
      </c>
      <c r="F58" s="43">
        <v>550</v>
      </c>
      <c r="G58" s="43">
        <v>550</v>
      </c>
      <c r="H58" s="31">
        <v>550</v>
      </c>
      <c r="I58" s="43">
        <v>550</v>
      </c>
      <c r="J58" s="43">
        <v>550</v>
      </c>
      <c r="K58" s="43">
        <v>550</v>
      </c>
      <c r="L58" s="43">
        <v>550</v>
      </c>
      <c r="M58" s="31">
        <v>550</v>
      </c>
      <c r="N58" s="43">
        <v>550</v>
      </c>
      <c r="O58" s="43">
        <f t="shared" ref="O58:W58" si="78">+O57*O59</f>
        <v>525</v>
      </c>
      <c r="P58" s="43">
        <f t="shared" si="78"/>
        <v>525</v>
      </c>
      <c r="Q58" s="43">
        <f t="shared" si="78"/>
        <v>525</v>
      </c>
      <c r="R58" s="31">
        <f t="shared" si="78"/>
        <v>525</v>
      </c>
      <c r="S58" s="243">
        <f t="shared" si="78"/>
        <v>525</v>
      </c>
      <c r="T58" s="43">
        <f t="shared" si="78"/>
        <v>525</v>
      </c>
      <c r="U58" s="43">
        <f t="shared" si="78"/>
        <v>525</v>
      </c>
      <c r="V58" s="43">
        <f t="shared" si="78"/>
        <v>525</v>
      </c>
      <c r="W58" s="31">
        <f t="shared" si="78"/>
        <v>525</v>
      </c>
      <c r="X58" s="275"/>
    </row>
    <row r="59" spans="2:25" s="118" customFormat="1" ht="14.4" hidden="1" customHeight="1" outlineLevel="1" x14ac:dyDescent="0.3">
      <c r="B59" s="183" t="s">
        <v>200</v>
      </c>
      <c r="C59" s="184"/>
      <c r="D59" s="30">
        <f t="shared" ref="D59:N59" si="79">D58/D57</f>
        <v>0.15714285714285714</v>
      </c>
      <c r="E59" s="30">
        <f t="shared" si="79"/>
        <v>0.15714285714285714</v>
      </c>
      <c r="F59" s="30">
        <f t="shared" si="79"/>
        <v>0.15714285714285714</v>
      </c>
      <c r="G59" s="30">
        <f t="shared" si="79"/>
        <v>0.15714285714285714</v>
      </c>
      <c r="H59" s="40">
        <f t="shared" si="79"/>
        <v>0.15714285714285714</v>
      </c>
      <c r="I59" s="30">
        <f t="shared" si="79"/>
        <v>0.15714285714285714</v>
      </c>
      <c r="J59" s="30">
        <f t="shared" si="79"/>
        <v>0.15714285714285714</v>
      </c>
      <c r="K59" s="30">
        <f t="shared" si="79"/>
        <v>0.15714285714285714</v>
      </c>
      <c r="L59" s="30">
        <f t="shared" si="79"/>
        <v>0.15714285714285714</v>
      </c>
      <c r="M59" s="40">
        <f t="shared" si="79"/>
        <v>0.15714285714285714</v>
      </c>
      <c r="N59" s="30">
        <f t="shared" si="79"/>
        <v>0.15714285714285714</v>
      </c>
      <c r="O59" s="32">
        <v>0.15</v>
      </c>
      <c r="P59" s="32">
        <v>0.15</v>
      </c>
      <c r="Q59" s="32">
        <v>0.15</v>
      </c>
      <c r="R59" s="278">
        <v>0.15</v>
      </c>
      <c r="S59" s="32">
        <v>0.15</v>
      </c>
      <c r="T59" s="32">
        <v>0.15</v>
      </c>
      <c r="U59" s="32">
        <v>0.15</v>
      </c>
      <c r="V59" s="32">
        <v>0.15</v>
      </c>
      <c r="W59" s="278">
        <v>0.15</v>
      </c>
      <c r="X59" s="279"/>
    </row>
    <row r="60" spans="2:25" s="75" customFormat="1" ht="14.4" hidden="1" customHeight="1" outlineLevel="1" x14ac:dyDescent="0.3">
      <c r="B60" s="173" t="s">
        <v>197</v>
      </c>
      <c r="C60" s="174"/>
      <c r="D60" s="245">
        <f>D55/D58</f>
        <v>85.309090909090912</v>
      </c>
      <c r="E60" s="245">
        <f t="shared" ref="E60:M60" si="80">E55/E58</f>
        <v>87.034545454545452</v>
      </c>
      <c r="F60" s="245">
        <f t="shared" si="80"/>
        <v>94.765454545454546</v>
      </c>
      <c r="G60" s="245">
        <f t="shared" si="80"/>
        <v>95.918181818181822</v>
      </c>
      <c r="H60" s="246">
        <f t="shared" si="80"/>
        <v>363.0272727272727</v>
      </c>
      <c r="I60" s="245">
        <f t="shared" si="80"/>
        <v>91.550909090909087</v>
      </c>
      <c r="J60" s="245">
        <f t="shared" si="80"/>
        <v>83.910909090909087</v>
      </c>
      <c r="K60" s="245">
        <f t="shared" si="80"/>
        <v>102.39454545454545</v>
      </c>
      <c r="L60" s="245">
        <f t="shared" si="80"/>
        <v>91.709090909090904</v>
      </c>
      <c r="M60" s="246">
        <f t="shared" si="80"/>
        <v>369.56545454545454</v>
      </c>
      <c r="N60" s="245">
        <f t="shared" ref="N60" si="81">N55/N58</f>
        <v>93.041818181818186</v>
      </c>
      <c r="O60" s="245">
        <f>N60*(1+O61)</f>
        <v>95.833072727272736</v>
      </c>
      <c r="P60" s="245">
        <f t="shared" ref="P60:T60" si="82">O60*(1+P61)</f>
        <v>98.708064909090922</v>
      </c>
      <c r="Q60" s="245">
        <f t="shared" si="82"/>
        <v>101.66930685636365</v>
      </c>
      <c r="R60" s="246">
        <f>M60*(1+R61)</f>
        <v>380.65241818181818</v>
      </c>
      <c r="S60" s="245">
        <f>Q60*(1+S61)</f>
        <v>104.71938606205455</v>
      </c>
      <c r="T60" s="245">
        <f t="shared" si="82"/>
        <v>107.8609676439162</v>
      </c>
      <c r="U60" s="245">
        <f t="shared" ref="U60" si="83">T60*(1+U61)</f>
        <v>111.09679667323368</v>
      </c>
      <c r="V60" s="245">
        <f t="shared" ref="V60" si="84">U60*(1+V61)</f>
        <v>114.42970057343069</v>
      </c>
      <c r="W60" s="246">
        <f>R60*(1+W61)</f>
        <v>392.07199072727275</v>
      </c>
      <c r="X60" s="276"/>
      <c r="Y60" s="276"/>
    </row>
    <row r="61" spans="2:25" s="75" customFormat="1" hidden="1" outlineLevel="1" x14ac:dyDescent="0.3">
      <c r="B61" s="371" t="s">
        <v>175</v>
      </c>
      <c r="C61" s="372"/>
      <c r="D61" s="269"/>
      <c r="E61" s="269"/>
      <c r="F61" s="269"/>
      <c r="G61" s="269"/>
      <c r="H61" s="270"/>
      <c r="I61" s="269"/>
      <c r="J61" s="280"/>
      <c r="K61" s="280"/>
      <c r="L61" s="280"/>
      <c r="M61" s="281"/>
      <c r="N61" s="280"/>
      <c r="O61" s="282">
        <v>0.03</v>
      </c>
      <c r="P61" s="272">
        <v>0.03</v>
      </c>
      <c r="Q61" s="272">
        <v>0.03</v>
      </c>
      <c r="R61" s="283">
        <v>0.03</v>
      </c>
      <c r="S61" s="272">
        <v>0.03</v>
      </c>
      <c r="T61" s="272">
        <v>0.03</v>
      </c>
      <c r="U61" s="272">
        <v>0.03</v>
      </c>
      <c r="V61" s="272">
        <v>0.03</v>
      </c>
      <c r="W61" s="283">
        <v>0.03</v>
      </c>
    </row>
    <row r="62" spans="2:25" s="75" customFormat="1" collapsed="1" x14ac:dyDescent="0.3">
      <c r="B62" s="268" t="s">
        <v>184</v>
      </c>
      <c r="C62" s="203"/>
      <c r="D62" s="82"/>
      <c r="E62" s="82"/>
      <c r="F62" s="82"/>
      <c r="G62" s="82"/>
      <c r="H62" s="83"/>
      <c r="I62" s="82"/>
      <c r="J62" s="82"/>
      <c r="K62" s="82"/>
      <c r="L62" s="82"/>
      <c r="M62" s="83"/>
      <c r="N62" s="89"/>
      <c r="O62" s="143"/>
      <c r="P62" s="143"/>
      <c r="Q62" s="143"/>
      <c r="R62" s="187"/>
      <c r="S62" s="143"/>
      <c r="T62" s="143"/>
      <c r="U62" s="143"/>
      <c r="V62" s="143"/>
      <c r="W62" s="187"/>
    </row>
    <row r="63" spans="2:25" s="75" customFormat="1" hidden="1" outlineLevel="1" x14ac:dyDescent="0.3">
      <c r="B63" s="173" t="s">
        <v>180</v>
      </c>
      <c r="C63" s="174"/>
      <c r="D63" s="43">
        <f>D65+D66</f>
        <v>12209</v>
      </c>
      <c r="E63" s="43">
        <f t="shared" ref="E63:L63" si="85">E65+E66</f>
        <v>20244</v>
      </c>
      <c r="F63" s="43">
        <f t="shared" si="85"/>
        <v>18892</v>
      </c>
      <c r="G63" s="43">
        <f t="shared" si="85"/>
        <v>19192</v>
      </c>
      <c r="H63" s="277">
        <f>SUM(D63:G63)</f>
        <v>70537</v>
      </c>
      <c r="I63" s="43">
        <f t="shared" si="85"/>
        <v>17363</v>
      </c>
      <c r="J63" s="43">
        <f t="shared" si="85"/>
        <v>15257</v>
      </c>
      <c r="K63" s="43">
        <f t="shared" si="85"/>
        <v>19639</v>
      </c>
      <c r="L63" s="43">
        <f t="shared" si="85"/>
        <v>18472</v>
      </c>
      <c r="M63" s="31">
        <f>SUM(I63:L63)</f>
        <v>70731</v>
      </c>
      <c r="N63" s="43">
        <v>17897</v>
      </c>
      <c r="O63" s="132">
        <f>O65+O66</f>
        <v>23701</v>
      </c>
      <c r="P63" s="132">
        <f>P65+P66</f>
        <v>30701</v>
      </c>
      <c r="Q63" s="132">
        <f>Q65+Q66</f>
        <v>37701</v>
      </c>
      <c r="R63" s="191">
        <f>SUM(N63:Q63)</f>
        <v>110000</v>
      </c>
      <c r="S63" s="43"/>
      <c r="T63" s="43"/>
      <c r="U63" s="43"/>
      <c r="V63" s="43"/>
      <c r="W63" s="83"/>
    </row>
    <row r="64" spans="2:25" s="75" customFormat="1" hidden="1" outlineLevel="1" x14ac:dyDescent="0.3">
      <c r="B64" s="114" t="s">
        <v>181</v>
      </c>
      <c r="C64" s="115"/>
      <c r="D64" s="86"/>
      <c r="E64" s="30">
        <f>(E63/D63)-1</f>
        <v>0.65812105823572775</v>
      </c>
      <c r="F64" s="30">
        <f>(F63/E63)-1</f>
        <v>-6.6785220312191251E-2</v>
      </c>
      <c r="G64" s="30">
        <f>(G63/F63)-1</f>
        <v>1.5879737455007481E-2</v>
      </c>
      <c r="H64" s="40"/>
      <c r="I64" s="30">
        <f>(I63/G63)-1</f>
        <v>-9.5300125052105056E-2</v>
      </c>
      <c r="J64" s="30">
        <f>(J63/I63)-1</f>
        <v>-0.12129240338651159</v>
      </c>
      <c r="K64" s="30">
        <f>(K63/J63)-1</f>
        <v>0.2872124270826506</v>
      </c>
      <c r="L64" s="30">
        <f>(L63/K63)-1</f>
        <v>-5.9422577524313902E-2</v>
      </c>
      <c r="M64" s="40">
        <f>(M63/H63)-1</f>
        <v>2.7503296142450395E-3</v>
      </c>
      <c r="N64" s="30">
        <f>(N63/L63)-1</f>
        <v>-3.1128194023386735E-2</v>
      </c>
      <c r="O64" s="30">
        <f>(O63/N63)-1</f>
        <v>0.32430016203833034</v>
      </c>
      <c r="P64" s="30">
        <f t="shared" ref="P64:Q64" si="86">(P63/O63)-1</f>
        <v>0.29534618792456024</v>
      </c>
      <c r="Q64" s="30">
        <f t="shared" si="86"/>
        <v>0.22800560242337387</v>
      </c>
      <c r="R64" s="40">
        <f>(R63/M63)-1</f>
        <v>0.55518796567276008</v>
      </c>
      <c r="S64" s="30"/>
      <c r="T64" s="30"/>
      <c r="U64" s="30"/>
      <c r="V64" s="30"/>
      <c r="W64" s="40"/>
    </row>
    <row r="65" spans="1:24" s="75" customFormat="1" hidden="1" outlineLevel="1" x14ac:dyDescent="0.3">
      <c r="B65" s="197" t="s">
        <v>204</v>
      </c>
      <c r="C65" s="198"/>
      <c r="D65" s="244">
        <v>12209</v>
      </c>
      <c r="E65" s="244">
        <v>20244</v>
      </c>
      <c r="F65" s="244">
        <v>18892</v>
      </c>
      <c r="G65" s="244">
        <v>19192</v>
      </c>
      <c r="H65" s="277">
        <f>SUM(D65:G65)</f>
        <v>70537</v>
      </c>
      <c r="I65" s="244">
        <v>17363</v>
      </c>
      <c r="J65" s="244">
        <v>15257</v>
      </c>
      <c r="K65" s="244">
        <v>19639</v>
      </c>
      <c r="L65" s="244">
        <v>18472</v>
      </c>
      <c r="M65" s="31">
        <f>SUM(I65:L65)</f>
        <v>70731</v>
      </c>
      <c r="N65" s="244">
        <v>17897</v>
      </c>
      <c r="O65" s="244">
        <v>16701</v>
      </c>
      <c r="P65" s="244">
        <f>23667.67+33.33</f>
        <v>23701</v>
      </c>
      <c r="Q65" s="244">
        <v>30701</v>
      </c>
      <c r="R65" s="191">
        <f>SUM(N65:Q65)</f>
        <v>89000</v>
      </c>
      <c r="S65" s="207"/>
      <c r="T65" s="207"/>
      <c r="U65" s="86"/>
      <c r="V65" s="86"/>
      <c r="W65" s="83"/>
    </row>
    <row r="66" spans="1:24" s="75" customFormat="1" hidden="1" outlineLevel="1" x14ac:dyDescent="0.3">
      <c r="B66" s="197" t="s">
        <v>205</v>
      </c>
      <c r="C66" s="198"/>
      <c r="D66" s="43">
        <v>0</v>
      </c>
      <c r="E66" s="43">
        <v>0</v>
      </c>
      <c r="F66" s="43">
        <v>0</v>
      </c>
      <c r="G66" s="43">
        <v>0</v>
      </c>
      <c r="H66" s="31">
        <f>SUM(D66:G66)</f>
        <v>0</v>
      </c>
      <c r="I66" s="43">
        <v>0</v>
      </c>
      <c r="J66" s="43">
        <v>0</v>
      </c>
      <c r="K66" s="43">
        <v>0</v>
      </c>
      <c r="L66" s="43">
        <v>0</v>
      </c>
      <c r="M66" s="31">
        <f>SUM(I66:L66)</f>
        <v>0</v>
      </c>
      <c r="N66" s="41">
        <v>0</v>
      </c>
      <c r="O66" s="43">
        <v>7000</v>
      </c>
      <c r="P66" s="43">
        <v>7000</v>
      </c>
      <c r="Q66" s="43">
        <v>7000</v>
      </c>
      <c r="R66" s="191">
        <f>SUM(N66:Q66)</f>
        <v>21000</v>
      </c>
      <c r="S66" s="86"/>
      <c r="T66" s="86"/>
      <c r="U66" s="86"/>
      <c r="V66" s="86"/>
      <c r="W66" s="83"/>
    </row>
    <row r="67" spans="1:24" s="15" customFormat="1" hidden="1" outlineLevel="1" x14ac:dyDescent="0.3">
      <c r="A67" s="75"/>
      <c r="B67" s="199" t="s">
        <v>206</v>
      </c>
      <c r="C67" s="200"/>
      <c r="D67" s="43"/>
      <c r="E67" s="43"/>
      <c r="F67" s="43"/>
      <c r="G67" s="43"/>
      <c r="H67" s="31">
        <v>3600</v>
      </c>
      <c r="I67" s="43"/>
      <c r="J67" s="43"/>
      <c r="K67" s="43"/>
      <c r="L67" s="43"/>
      <c r="M67" s="31">
        <v>3600</v>
      </c>
      <c r="N67" s="43"/>
      <c r="O67" s="43"/>
      <c r="P67" s="43"/>
      <c r="Q67" s="43"/>
      <c r="R67" s="31"/>
      <c r="S67" s="43"/>
      <c r="T67" s="43"/>
      <c r="U67" s="82"/>
      <c r="V67" s="82"/>
      <c r="W67" s="83"/>
    </row>
    <row r="68" spans="1:24" s="15" customFormat="1" hidden="1" outlineLevel="1" x14ac:dyDescent="0.3">
      <c r="A68" s="75"/>
      <c r="B68" s="199" t="s">
        <v>207</v>
      </c>
      <c r="C68" s="200"/>
      <c r="D68" s="43"/>
      <c r="E68" s="43"/>
      <c r="F68" s="43"/>
      <c r="G68" s="43"/>
      <c r="H68" s="31">
        <v>1500</v>
      </c>
      <c r="I68" s="43"/>
      <c r="J68" s="43"/>
      <c r="K68" s="43"/>
      <c r="L68" s="43"/>
      <c r="M68" s="31">
        <v>1500</v>
      </c>
      <c r="N68" s="43"/>
      <c r="O68" s="43"/>
      <c r="P68" s="43"/>
      <c r="Q68" s="43"/>
      <c r="R68" s="31"/>
      <c r="S68" s="43"/>
      <c r="T68" s="43"/>
      <c r="U68" s="82"/>
      <c r="V68" s="82"/>
      <c r="W68" s="83"/>
    </row>
    <row r="69" spans="1:24" s="75" customFormat="1" hidden="1" outlineLevel="1" x14ac:dyDescent="0.3">
      <c r="B69" s="185" t="s">
        <v>198</v>
      </c>
      <c r="C69" s="186"/>
      <c r="D69" s="43"/>
      <c r="E69" s="43"/>
      <c r="F69" s="43"/>
      <c r="G69" s="43"/>
      <c r="H69" s="31">
        <f>SUM(H67:H68)/2</f>
        <v>2550</v>
      </c>
      <c r="I69" s="43"/>
      <c r="J69" s="43"/>
      <c r="K69" s="43"/>
      <c r="L69" s="43"/>
      <c r="M69" s="31">
        <f>SUM(M67:M68)/2</f>
        <v>2550</v>
      </c>
      <c r="N69" s="41"/>
      <c r="O69" s="43"/>
      <c r="P69" s="43"/>
      <c r="Q69" s="43"/>
      <c r="R69" s="31"/>
      <c r="S69" s="43"/>
      <c r="T69" s="43"/>
      <c r="U69" s="82"/>
      <c r="V69" s="82"/>
      <c r="W69" s="83"/>
    </row>
    <row r="70" spans="1:24" s="75" customFormat="1" hidden="1" outlineLevel="1" x14ac:dyDescent="0.3">
      <c r="B70" s="185" t="s">
        <v>199</v>
      </c>
      <c r="C70" s="186"/>
      <c r="D70" s="43"/>
      <c r="E70" s="43"/>
      <c r="F70" s="43"/>
      <c r="G70" s="43"/>
      <c r="H70" s="31">
        <v>1200</v>
      </c>
      <c r="I70" s="43"/>
      <c r="J70" s="43"/>
      <c r="K70" s="43"/>
      <c r="L70" s="43"/>
      <c r="M70" s="31">
        <v>1200</v>
      </c>
      <c r="N70" s="43"/>
      <c r="O70" s="43"/>
      <c r="P70" s="43"/>
      <c r="Q70" s="43"/>
      <c r="R70" s="31"/>
      <c r="S70" s="43"/>
      <c r="T70" s="43"/>
      <c r="U70" s="82"/>
      <c r="V70" s="82"/>
      <c r="W70" s="83"/>
    </row>
    <row r="71" spans="1:24" s="75" customFormat="1" hidden="1" outlineLevel="1" x14ac:dyDescent="0.3">
      <c r="B71" s="185" t="s">
        <v>201</v>
      </c>
      <c r="C71" s="186"/>
      <c r="D71" s="82"/>
      <c r="E71" s="82"/>
      <c r="F71" s="82"/>
      <c r="G71" s="143"/>
      <c r="H71" s="187">
        <f>H70/H69</f>
        <v>0.47058823529411764</v>
      </c>
      <c r="I71" s="82"/>
      <c r="J71" s="82"/>
      <c r="K71" s="82"/>
      <c r="L71" s="143"/>
      <c r="M71" s="187">
        <f>M70/M69</f>
        <v>0.47058823529411764</v>
      </c>
      <c r="N71" s="82"/>
      <c r="O71" s="82"/>
      <c r="P71" s="82"/>
      <c r="Q71" s="82"/>
      <c r="R71" s="83"/>
      <c r="S71" s="82"/>
      <c r="T71" s="82"/>
      <c r="U71" s="82"/>
      <c r="V71" s="82"/>
      <c r="W71" s="83"/>
    </row>
    <row r="72" spans="1:24" s="75" customFormat="1" hidden="1" outlineLevel="1" x14ac:dyDescent="0.3">
      <c r="B72" s="173" t="s">
        <v>197</v>
      </c>
      <c r="C72" s="174"/>
      <c r="D72" s="82"/>
      <c r="E72" s="82"/>
      <c r="F72" s="82"/>
      <c r="G72" s="82"/>
      <c r="H72" s="83"/>
      <c r="I72" s="82"/>
      <c r="J72" s="82"/>
      <c r="K72" s="82"/>
      <c r="L72" s="82"/>
      <c r="M72" s="83"/>
      <c r="N72" s="82"/>
      <c r="O72" s="192">
        <v>90</v>
      </c>
      <c r="P72" s="82">
        <v>90</v>
      </c>
      <c r="Q72" s="82">
        <v>90</v>
      </c>
      <c r="R72" s="83"/>
      <c r="S72" s="82">
        <v>90</v>
      </c>
      <c r="T72" s="82">
        <v>90</v>
      </c>
      <c r="U72" s="82">
        <v>90</v>
      </c>
      <c r="V72" s="82">
        <v>90</v>
      </c>
      <c r="W72" s="83"/>
    </row>
    <row r="73" spans="1:24" s="75" customFormat="1" hidden="1" outlineLevel="1" x14ac:dyDescent="0.3">
      <c r="B73" s="255" t="s">
        <v>175</v>
      </c>
      <c r="C73" s="261"/>
      <c r="D73" s="269"/>
      <c r="E73" s="269"/>
      <c r="F73" s="269"/>
      <c r="G73" s="269"/>
      <c r="H73" s="270"/>
      <c r="I73" s="269"/>
      <c r="J73" s="269"/>
      <c r="K73" s="269"/>
      <c r="L73" s="269"/>
      <c r="M73" s="270"/>
      <c r="N73" s="269"/>
      <c r="O73" s="269"/>
      <c r="P73" s="269"/>
      <c r="Q73" s="269"/>
      <c r="R73" s="270"/>
      <c r="S73" s="269"/>
      <c r="T73" s="269"/>
      <c r="U73" s="269"/>
      <c r="V73" s="269"/>
      <c r="W73" s="270"/>
    </row>
    <row r="74" spans="1:24" s="75" customFormat="1" collapsed="1" x14ac:dyDescent="0.3">
      <c r="B74" s="268" t="s">
        <v>185</v>
      </c>
      <c r="C74" s="203"/>
      <c r="D74" s="82"/>
      <c r="E74" s="82"/>
      <c r="F74" s="82"/>
      <c r="G74" s="82"/>
      <c r="H74" s="83"/>
      <c r="I74" s="82"/>
      <c r="J74" s="82"/>
      <c r="K74" s="82"/>
      <c r="L74" s="82"/>
      <c r="M74" s="83"/>
      <c r="N74" s="82"/>
      <c r="O74" s="82"/>
      <c r="P74" s="82"/>
      <c r="Q74" s="82"/>
      <c r="R74" s="83"/>
      <c r="S74" s="82"/>
      <c r="T74" s="82"/>
      <c r="U74" s="82"/>
      <c r="V74" s="82"/>
      <c r="W74" s="83"/>
    </row>
    <row r="75" spans="1:24" s="75" customFormat="1" hidden="1" outlineLevel="1" x14ac:dyDescent="0.3">
      <c r="B75" s="173" t="s">
        <v>186</v>
      </c>
      <c r="C75" s="174"/>
      <c r="D75" s="43">
        <v>4309</v>
      </c>
      <c r="E75" s="43">
        <v>5831</v>
      </c>
      <c r="F75" s="43">
        <v>6282</v>
      </c>
      <c r="G75" s="43">
        <v>9999</v>
      </c>
      <c r="H75" s="277">
        <f>SUM(D75:G75)</f>
        <v>26421</v>
      </c>
      <c r="I75" s="43">
        <v>6764</v>
      </c>
      <c r="J75" s="43">
        <v>7138</v>
      </c>
      <c r="K75" s="43">
        <v>6042</v>
      </c>
      <c r="L75" s="43">
        <v>6496</v>
      </c>
      <c r="M75" s="277">
        <f>SUM(I75:L75)</f>
        <v>26440</v>
      </c>
      <c r="N75" s="43">
        <v>6209</v>
      </c>
      <c r="O75" s="43">
        <v>6900</v>
      </c>
      <c r="P75" s="43">
        <v>6800</v>
      </c>
      <c r="Q75" s="43">
        <v>7391</v>
      </c>
      <c r="R75" s="277">
        <f>SUM(N75:Q75)</f>
        <v>27300</v>
      </c>
      <c r="S75" s="43">
        <f>Q75*(1+S76)</f>
        <v>7151.4580472048929</v>
      </c>
      <c r="T75" s="43">
        <f t="shared" ref="T75" si="87">S75*(1+T76)</f>
        <v>8174.8131923041301</v>
      </c>
      <c r="U75" s="43">
        <f t="shared" ref="U75" si="88">T75*(1+U76)</f>
        <v>8152.5640418555568</v>
      </c>
      <c r="V75" s="43">
        <f t="shared" ref="V75" si="89">U75*(1+V76)</f>
        <v>9120.4292282974166</v>
      </c>
      <c r="W75" s="277">
        <f>SUM(S75:V75)</f>
        <v>32599.264509661996</v>
      </c>
      <c r="X75" s="16"/>
    </row>
    <row r="76" spans="1:24" s="75" customFormat="1" hidden="1" outlineLevel="1" x14ac:dyDescent="0.3">
      <c r="B76" s="255" t="s">
        <v>187</v>
      </c>
      <c r="C76" s="261"/>
      <c r="D76" s="271"/>
      <c r="E76" s="58">
        <f>(E75/D75)-1</f>
        <v>0.35321420283128346</v>
      </c>
      <c r="F76" s="58">
        <f>(F75/E75)-1</f>
        <v>7.7345223803807261E-2</v>
      </c>
      <c r="G76" s="58">
        <f>(G75/F75)-1</f>
        <v>0.59169054441260749</v>
      </c>
      <c r="H76" s="88"/>
      <c r="I76" s="58">
        <f>(I75/G75)-1</f>
        <v>-0.32353235323532348</v>
      </c>
      <c r="J76" s="58">
        <f>(J75/I75)-1</f>
        <v>5.529272619751624E-2</v>
      </c>
      <c r="K76" s="58">
        <f>(K75/J75)-1</f>
        <v>-0.15354441019893528</v>
      </c>
      <c r="L76" s="58">
        <f>(L75/K75)-1</f>
        <v>7.5140681893412831E-2</v>
      </c>
      <c r="M76" s="88">
        <f>(M75/H75)-1</f>
        <v>7.1912493849590753E-4</v>
      </c>
      <c r="N76" s="58">
        <f>(N75/L75)-1</f>
        <v>-4.4181034482758674E-2</v>
      </c>
      <c r="O76" s="58">
        <f>(O75/N75)-1</f>
        <v>0.11129006281204701</v>
      </c>
      <c r="P76" s="58">
        <f>(P75/O75)-1</f>
        <v>-1.4492753623188359E-2</v>
      </c>
      <c r="Q76" s="58">
        <f>(Q75/P75)-1</f>
        <v>8.6911764705882355E-2</v>
      </c>
      <c r="R76" s="88">
        <f>(R75/M75)-1</f>
        <v>3.2526475037821578E-2</v>
      </c>
      <c r="S76" s="272">
        <f>Q76+(N76-L76)</f>
        <v>-3.240995167028915E-2</v>
      </c>
      <c r="T76" s="272">
        <f t="shared" ref="T76:V76" si="90">R76+(O76-M76)</f>
        <v>0.14309741291137268</v>
      </c>
      <c r="U76" s="272">
        <f t="shared" si="90"/>
        <v>-2.7216708107188348E-3</v>
      </c>
      <c r="V76" s="272">
        <f t="shared" si="90"/>
        <v>0.11871911480520803</v>
      </c>
      <c r="W76" s="88">
        <f>(W75/R75)-1</f>
        <v>0.19411225310117208</v>
      </c>
    </row>
    <row r="77" spans="1:24" s="75" customFormat="1" collapsed="1" x14ac:dyDescent="0.3">
      <c r="B77" s="268" t="s">
        <v>190</v>
      </c>
      <c r="C77" s="203"/>
      <c r="D77" s="86"/>
      <c r="E77" s="143"/>
      <c r="F77" s="143"/>
      <c r="G77" s="143"/>
      <c r="H77" s="87"/>
      <c r="I77" s="143"/>
      <c r="J77" s="143"/>
      <c r="K77" s="143"/>
      <c r="L77" s="143"/>
      <c r="M77" s="187"/>
      <c r="N77" s="143"/>
      <c r="O77" s="143"/>
      <c r="P77" s="143"/>
      <c r="Q77" s="143"/>
      <c r="R77" s="187"/>
      <c r="S77" s="30"/>
      <c r="T77" s="30"/>
      <c r="U77" s="30"/>
      <c r="V77" s="30"/>
      <c r="W77" s="187"/>
    </row>
    <row r="78" spans="1:24" s="75" customFormat="1" hidden="1" outlineLevel="1" x14ac:dyDescent="0.3">
      <c r="B78" s="173" t="s">
        <v>188</v>
      </c>
      <c r="C78" s="174"/>
      <c r="D78" s="43">
        <v>9866</v>
      </c>
      <c r="E78" s="43">
        <v>11732</v>
      </c>
      <c r="F78" s="43">
        <v>10833</v>
      </c>
      <c r="G78" s="43">
        <v>8448</v>
      </c>
      <c r="H78" s="277">
        <f>SUM(D78:G78)</f>
        <v>40879</v>
      </c>
      <c r="I78" s="43">
        <v>9093</v>
      </c>
      <c r="J78" s="43">
        <v>9372</v>
      </c>
      <c r="K78" s="43">
        <v>9910</v>
      </c>
      <c r="L78" s="43">
        <v>8760</v>
      </c>
      <c r="M78" s="31">
        <f>SUM(I78:L78)</f>
        <v>37135</v>
      </c>
      <c r="N78" s="43">
        <v>7002</v>
      </c>
      <c r="O78" s="43">
        <f>N78*(1+O79)</f>
        <v>5601.6</v>
      </c>
      <c r="P78" s="43">
        <f t="shared" ref="P78:V78" si="91">O78*(1+P79)</f>
        <v>4481.2800000000007</v>
      </c>
      <c r="Q78" s="43">
        <f t="shared" si="91"/>
        <v>3585.0240000000008</v>
      </c>
      <c r="R78" s="277">
        <f>SUM(N78:Q78)</f>
        <v>20669.904000000002</v>
      </c>
      <c r="S78" s="43">
        <f>Q78*(1+S79)</f>
        <v>2688.7680000000005</v>
      </c>
      <c r="T78" s="43">
        <f t="shared" si="91"/>
        <v>2016.5760000000005</v>
      </c>
      <c r="U78" s="43">
        <f t="shared" si="91"/>
        <v>1512.4320000000002</v>
      </c>
      <c r="V78" s="43">
        <f t="shared" si="91"/>
        <v>1134.3240000000001</v>
      </c>
      <c r="W78" s="277">
        <f>SUM(S78:V78)</f>
        <v>7352.1000000000022</v>
      </c>
    </row>
    <row r="79" spans="1:24" s="75" customFormat="1" hidden="1" outlineLevel="1" x14ac:dyDescent="0.3">
      <c r="B79" s="255" t="s">
        <v>189</v>
      </c>
      <c r="C79" s="261"/>
      <c r="D79" s="271"/>
      <c r="E79" s="58">
        <f>(E78/D78)-1</f>
        <v>0.18913440097303869</v>
      </c>
      <c r="F79" s="58">
        <f>(F78/E78)-1</f>
        <v>-7.6628025912035436E-2</v>
      </c>
      <c r="G79" s="58">
        <f>(G78/F78)-1</f>
        <v>-0.2201606203267793</v>
      </c>
      <c r="H79" s="88"/>
      <c r="I79" s="58">
        <f>(I78/G78)-1</f>
        <v>7.6349431818181879E-2</v>
      </c>
      <c r="J79" s="58">
        <f>(J78/I78)-1</f>
        <v>3.0682942923127676E-2</v>
      </c>
      <c r="K79" s="58">
        <f>(K78/J78)-1</f>
        <v>5.7405036278275645E-2</v>
      </c>
      <c r="L79" s="58">
        <f>(L78/K78)-1</f>
        <v>-0.11604439959636725</v>
      </c>
      <c r="M79" s="88"/>
      <c r="N79" s="58">
        <f>(N78/L78)-1</f>
        <v>-0.2006849315068493</v>
      </c>
      <c r="O79" s="272">
        <v>-0.2</v>
      </c>
      <c r="P79" s="272">
        <v>-0.2</v>
      </c>
      <c r="Q79" s="272">
        <v>-0.2</v>
      </c>
      <c r="R79" s="88"/>
      <c r="S79" s="272">
        <v>-0.25</v>
      </c>
      <c r="T79" s="272">
        <v>-0.25</v>
      </c>
      <c r="U79" s="272">
        <v>-0.25</v>
      </c>
      <c r="V79" s="272">
        <v>-0.25</v>
      </c>
      <c r="W79" s="88"/>
    </row>
    <row r="80" spans="1:24" s="75" customFormat="1" collapsed="1" x14ac:dyDescent="0.3">
      <c r="B80" s="204" t="s">
        <v>233</v>
      </c>
      <c r="C80" s="174"/>
      <c r="D80" s="43">
        <v>11304</v>
      </c>
      <c r="E80" s="43">
        <v>12058</v>
      </c>
      <c r="F80" s="43">
        <v>11942</v>
      </c>
      <c r="G80" s="43">
        <v>11326</v>
      </c>
      <c r="H80" s="277">
        <f>SUM(D80:G80)</f>
        <v>46630</v>
      </c>
      <c r="I80" s="43">
        <v>10772</v>
      </c>
      <c r="J80" s="43">
        <v>6342</v>
      </c>
      <c r="K80" s="43">
        <v>3947</v>
      </c>
      <c r="L80" s="43">
        <v>3004</v>
      </c>
      <c r="M80" s="31">
        <f>SUM(I80:L80)</f>
        <v>24065</v>
      </c>
      <c r="N80" s="43">
        <v>2098</v>
      </c>
      <c r="O80" s="43">
        <f>N80*(1+O81)</f>
        <v>1678.4</v>
      </c>
      <c r="P80" s="43">
        <f t="shared" ref="P80:V80" si="92">O80*(1+P81)</f>
        <v>1342.7200000000003</v>
      </c>
      <c r="Q80" s="43">
        <f t="shared" si="92"/>
        <v>1208.4480000000003</v>
      </c>
      <c r="R80" s="277">
        <f>SUM(N80:Q80)</f>
        <v>6327.5680000000011</v>
      </c>
      <c r="S80" s="43">
        <f>Q80*(1+S81)</f>
        <v>1087.6032000000002</v>
      </c>
      <c r="T80" s="43">
        <f t="shared" si="92"/>
        <v>978.84288000000026</v>
      </c>
      <c r="U80" s="43">
        <f t="shared" si="92"/>
        <v>880.95859200000029</v>
      </c>
      <c r="V80" s="43">
        <f t="shared" si="92"/>
        <v>792.86273280000023</v>
      </c>
      <c r="W80" s="277">
        <f>SUM(S80:V80)</f>
        <v>3740.2674048000013</v>
      </c>
      <c r="X80" s="16"/>
    </row>
    <row r="81" spans="2:24" s="75" customFormat="1" hidden="1" outlineLevel="1" x14ac:dyDescent="0.3">
      <c r="B81" s="202" t="s">
        <v>191</v>
      </c>
      <c r="C81" s="203"/>
      <c r="D81" s="30"/>
      <c r="E81" s="30">
        <f>(E80/D80)-1</f>
        <v>6.6702052370842146E-2</v>
      </c>
      <c r="F81" s="30">
        <f>(F80/E80)-1</f>
        <v>-9.6201691822855873E-3</v>
      </c>
      <c r="G81" s="30">
        <f>(G80/F80)-1</f>
        <v>-5.1582649472450171E-2</v>
      </c>
      <c r="H81" s="40"/>
      <c r="I81" s="30">
        <f>(I80/G80)-1</f>
        <v>-4.8914003178527232E-2</v>
      </c>
      <c r="J81" s="30">
        <f>(J80/I80)-1</f>
        <v>-0.41125139249907172</v>
      </c>
      <c r="K81" s="30">
        <f>(K80/J80)-1</f>
        <v>-0.37764112267423522</v>
      </c>
      <c r="L81" s="30">
        <f>(L80/K80)-1</f>
        <v>-0.23891563212566502</v>
      </c>
      <c r="M81" s="40"/>
      <c r="N81" s="30">
        <f>(N80/L80)-1</f>
        <v>-0.30159786950732359</v>
      </c>
      <c r="O81" s="32">
        <v>-0.2</v>
      </c>
      <c r="P81" s="32">
        <v>-0.2</v>
      </c>
      <c r="Q81" s="32">
        <v>-0.1</v>
      </c>
      <c r="R81" s="40"/>
      <c r="S81" s="32">
        <v>-0.1</v>
      </c>
      <c r="T81" s="32">
        <v>-0.1</v>
      </c>
      <c r="U81" s="32">
        <v>-0.1</v>
      </c>
      <c r="V81" s="32">
        <v>-0.1</v>
      </c>
      <c r="W81" s="40"/>
    </row>
    <row r="82" spans="2:24" s="75" customFormat="1" hidden="1" outlineLevel="1" x14ac:dyDescent="0.3">
      <c r="B82" s="202" t="s">
        <v>119</v>
      </c>
      <c r="C82" s="203"/>
      <c r="D82" s="43">
        <v>1933</v>
      </c>
      <c r="E82" s="43">
        <v>2130</v>
      </c>
      <c r="F82" s="43">
        <v>2177</v>
      </c>
      <c r="G82" s="43">
        <v>3919</v>
      </c>
      <c r="H82" s="31">
        <v>10159</v>
      </c>
      <c r="I82" s="43">
        <v>2268</v>
      </c>
      <c r="J82" s="43">
        <v>1641</v>
      </c>
      <c r="K82" s="43">
        <v>2118</v>
      </c>
      <c r="L82" s="43">
        <v>1957</v>
      </c>
      <c r="M82" s="31">
        <v>7984</v>
      </c>
      <c r="N82" s="43">
        <v>2094</v>
      </c>
      <c r="O82" s="43">
        <f>N82*(1+O83)</f>
        <v>2114.94</v>
      </c>
      <c r="P82" s="43">
        <f t="shared" ref="P82:Q82" si="93">O82*(1+P83)</f>
        <v>2136.0894000000003</v>
      </c>
      <c r="Q82" s="43">
        <f t="shared" si="93"/>
        <v>2157.4502940000002</v>
      </c>
      <c r="R82" s="40"/>
      <c r="S82" s="43">
        <f>Q82*(1+S83)</f>
        <v>2179.0247969400002</v>
      </c>
      <c r="T82" s="43">
        <f>S82*(1+T83)</f>
        <v>2200.8150449094001</v>
      </c>
      <c r="U82" s="43">
        <f t="shared" ref="U82" si="94">T82*(1+U83)</f>
        <v>2222.8231953584941</v>
      </c>
      <c r="V82" s="43">
        <f t="shared" ref="V82" si="95">U82*(1+V83)</f>
        <v>2245.0514273120789</v>
      </c>
      <c r="W82" s="40"/>
    </row>
    <row r="83" spans="2:24" s="75" customFormat="1" hidden="1" outlineLevel="1" x14ac:dyDescent="0.3">
      <c r="B83" s="255" t="s">
        <v>238</v>
      </c>
      <c r="C83" s="261"/>
      <c r="D83" s="58"/>
      <c r="E83" s="58">
        <f>E82/D82-1</f>
        <v>0.10191412312467674</v>
      </c>
      <c r="F83" s="58">
        <f t="shared" ref="F83:G83" si="96">F82/E82-1</f>
        <v>2.2065727699530413E-2</v>
      </c>
      <c r="G83" s="58">
        <f t="shared" si="96"/>
        <v>0.80018373909049156</v>
      </c>
      <c r="H83" s="88"/>
      <c r="I83" s="58">
        <f>I82/G82-1</f>
        <v>-0.42128093901505481</v>
      </c>
      <c r="J83" s="58">
        <f>J82/I82-1</f>
        <v>-0.27645502645502651</v>
      </c>
      <c r="K83" s="58">
        <f t="shared" ref="K83" si="97">K82/J82-1</f>
        <v>0.2906764168190128</v>
      </c>
      <c r="L83" s="58">
        <f t="shared" ref="L83" si="98">L82/K82-1</f>
        <v>-7.6015108593012304E-2</v>
      </c>
      <c r="M83" s="88"/>
      <c r="N83" s="58">
        <f>N82/L82-1</f>
        <v>7.0005109862033787E-2</v>
      </c>
      <c r="O83" s="272">
        <v>0.01</v>
      </c>
      <c r="P83" s="272">
        <v>0.01</v>
      </c>
      <c r="Q83" s="272">
        <v>0.01</v>
      </c>
      <c r="R83" s="88"/>
      <c r="S83" s="272">
        <v>0.01</v>
      </c>
      <c r="T83" s="272">
        <v>0.01</v>
      </c>
      <c r="U83" s="272">
        <v>0.01</v>
      </c>
      <c r="V83" s="272">
        <v>0.01</v>
      </c>
      <c r="W83" s="88"/>
    </row>
    <row r="84" spans="2:24" s="75" customFormat="1" collapsed="1" x14ac:dyDescent="0.3">
      <c r="B84" s="268" t="s">
        <v>58</v>
      </c>
      <c r="C84" s="203"/>
      <c r="D84" s="30"/>
      <c r="E84" s="30"/>
      <c r="F84" s="30"/>
      <c r="G84" s="30"/>
      <c r="H84" s="40"/>
      <c r="I84" s="30"/>
      <c r="J84" s="30"/>
      <c r="K84" s="30"/>
      <c r="L84" s="30"/>
      <c r="M84" s="40"/>
      <c r="N84" s="30"/>
      <c r="O84" s="32"/>
      <c r="P84" s="32"/>
      <c r="Q84" s="32"/>
      <c r="R84" s="40"/>
      <c r="S84" s="32"/>
      <c r="T84" s="32"/>
      <c r="U84" s="32"/>
      <c r="V84" s="32"/>
      <c r="W84" s="40"/>
    </row>
    <row r="85" spans="2:24" s="60" customFormat="1" hidden="1" outlineLevel="1" x14ac:dyDescent="0.3">
      <c r="B85" s="176" t="s">
        <v>234</v>
      </c>
      <c r="C85" s="177"/>
      <c r="D85" s="30">
        <f t="shared" ref="D85:N85" si="99">D18/D11</f>
        <v>0.43415950299200773</v>
      </c>
      <c r="E85" s="30">
        <f t="shared" si="99"/>
        <v>0.34782428225527501</v>
      </c>
      <c r="F85" s="30">
        <f t="shared" si="99"/>
        <v>0.30715785116636607</v>
      </c>
      <c r="G85" s="30">
        <f t="shared" si="99"/>
        <v>0.3259916785669123</v>
      </c>
      <c r="H85" s="40">
        <f t="shared" si="99"/>
        <v>0.34928047777789245</v>
      </c>
      <c r="I85" s="30">
        <f t="shared" si="99"/>
        <v>0.36604295927174424</v>
      </c>
      <c r="J85" s="30">
        <f t="shared" si="99"/>
        <v>0.32258375337994494</v>
      </c>
      <c r="K85" s="30">
        <f t="shared" si="99"/>
        <v>0.30713733269570248</v>
      </c>
      <c r="L85" s="30">
        <f t="shared" si="99"/>
        <v>0.37045178270054646</v>
      </c>
      <c r="M85" s="40">
        <f t="shared" si="99"/>
        <v>0.34106357821386235</v>
      </c>
      <c r="N85" s="30">
        <f t="shared" si="99"/>
        <v>0.3856209346063082</v>
      </c>
      <c r="O85" s="32">
        <v>0.3</v>
      </c>
      <c r="P85" s="32">
        <v>0.3</v>
      </c>
      <c r="Q85" s="32">
        <v>0.32</v>
      </c>
      <c r="R85" s="40">
        <f>R18/R11</f>
        <v>0.32434633088967862</v>
      </c>
      <c r="S85" s="32">
        <f>Q85+(N85-L85)</f>
        <v>0.33516915190576174</v>
      </c>
      <c r="T85" s="32">
        <f t="shared" ref="T85:V86" si="100">S85+(O85-N85)</f>
        <v>0.24954821729945353</v>
      </c>
      <c r="U85" s="32">
        <f t="shared" si="100"/>
        <v>0.24954821729945353</v>
      </c>
      <c r="V85" s="32">
        <f t="shared" si="100"/>
        <v>0.26954821729945355</v>
      </c>
      <c r="W85" s="40">
        <f>W18/W11</f>
        <v>0.27398640539403935</v>
      </c>
    </row>
    <row r="86" spans="2:24" s="55" customFormat="1" hidden="1" outlineLevel="1" x14ac:dyDescent="0.3">
      <c r="B86" s="361" t="s">
        <v>235</v>
      </c>
      <c r="C86" s="362"/>
      <c r="D86" s="30">
        <f t="shared" ref="D86:N86" si="101">D19/D11</f>
        <v>7.3918509629121665E-2</v>
      </c>
      <c r="E86" s="30">
        <f t="shared" si="101"/>
        <v>6.9491525423728814E-2</v>
      </c>
      <c r="F86" s="30">
        <f t="shared" si="101"/>
        <v>7.366124957704652E-2</v>
      </c>
      <c r="G86" s="30">
        <f t="shared" si="101"/>
        <v>7.5747248036073939E-2</v>
      </c>
      <c r="H86" s="40">
        <f t="shared" si="101"/>
        <v>7.3260366245927633E-2</v>
      </c>
      <c r="I86" s="30">
        <f t="shared" si="101"/>
        <v>8.8527366586871201E-2</v>
      </c>
      <c r="J86" s="30">
        <f t="shared" si="101"/>
        <v>8.3807579507747532E-2</v>
      </c>
      <c r="K86" s="30">
        <f t="shared" si="101"/>
        <v>0.14991409695531271</v>
      </c>
      <c r="L86" s="30">
        <f t="shared" si="101"/>
        <v>8.6907389267210353E-2</v>
      </c>
      <c r="M86" s="40">
        <f t="shared" si="101"/>
        <v>0.10271191408993947</v>
      </c>
      <c r="N86" s="30">
        <f t="shared" si="101"/>
        <v>9.359240048395405E-2</v>
      </c>
      <c r="O86" s="32">
        <v>9.5000000000000001E-2</v>
      </c>
      <c r="P86" s="32">
        <v>9.4E-2</v>
      </c>
      <c r="Q86" s="32">
        <v>9.4E-2</v>
      </c>
      <c r="R86" s="40">
        <f>R19/R11</f>
        <v>9.4156938857898345E-2</v>
      </c>
      <c r="S86" s="32">
        <f>Q86+(N86-L86)</f>
        <v>0.1006850112167437</v>
      </c>
      <c r="T86" s="32">
        <f t="shared" si="100"/>
        <v>0.10209261073278965</v>
      </c>
      <c r="U86" s="32">
        <f t="shared" si="100"/>
        <v>0.10109261073278965</v>
      </c>
      <c r="V86" s="32">
        <f t="shared" si="100"/>
        <v>0.10109261073278965</v>
      </c>
      <c r="W86" s="40">
        <f>W19/W11</f>
        <v>0.10124186003093198</v>
      </c>
    </row>
    <row r="87" spans="2:24" s="60" customFormat="1" hidden="1" outlineLevel="1" x14ac:dyDescent="0.3">
      <c r="B87" s="76" t="s">
        <v>236</v>
      </c>
      <c r="C87" s="77"/>
      <c r="D87" s="30"/>
      <c r="E87" s="43">
        <f>AVERAGE(D21,E21)</f>
        <v>31988.5</v>
      </c>
      <c r="F87" s="43">
        <f t="shared" ref="F87:G87" si="102">AVERAGE(E21,F21)</f>
        <v>31712.5</v>
      </c>
      <c r="G87" s="43">
        <f t="shared" si="102"/>
        <v>31303.5</v>
      </c>
      <c r="H87" s="31"/>
      <c r="I87" s="43">
        <f>AVERAGE(G21,I21)</f>
        <v>28327</v>
      </c>
      <c r="J87" s="43">
        <f>AVERAGE(I21,J21)</f>
        <v>24172.5</v>
      </c>
      <c r="K87" s="43">
        <f t="shared" ref="K87:L87" si="103">AVERAGE(J21,K21)</f>
        <v>24897.5</v>
      </c>
      <c r="L87" s="43">
        <f t="shared" si="103"/>
        <v>24908.5</v>
      </c>
      <c r="M87" s="31"/>
      <c r="N87" s="43">
        <f>AVERAGE(L21,N21)</f>
        <v>23166</v>
      </c>
      <c r="O87" s="132">
        <v>22500</v>
      </c>
      <c r="P87" s="132">
        <f>O87</f>
        <v>22500</v>
      </c>
      <c r="Q87" s="132">
        <f>P87</f>
        <v>22500</v>
      </c>
      <c r="R87" s="31"/>
      <c r="S87" s="132">
        <f>Q87</f>
        <v>22500</v>
      </c>
      <c r="T87" s="132">
        <f>S87</f>
        <v>22500</v>
      </c>
      <c r="U87" s="132">
        <f>T87</f>
        <v>22500</v>
      </c>
      <c r="V87" s="132">
        <f>U87</f>
        <v>22500</v>
      </c>
      <c r="W87" s="31"/>
    </row>
    <row r="88" spans="2:24" s="60" customFormat="1" hidden="1" outlineLevel="1" x14ac:dyDescent="0.3">
      <c r="B88" s="76" t="s">
        <v>54</v>
      </c>
      <c r="C88" s="77"/>
      <c r="D88" s="43"/>
      <c r="E88" s="43">
        <f>AVERAGE(E25,D25)</f>
        <v>-10752.5</v>
      </c>
      <c r="F88" s="43">
        <f>AVERAGE(F25,E25)</f>
        <v>-12979.5</v>
      </c>
      <c r="G88" s="43">
        <f>AVERAGE(G25,F25)</f>
        <v>-15604</v>
      </c>
      <c r="H88" s="31">
        <f>SUM(D88:G88)</f>
        <v>-39336</v>
      </c>
      <c r="I88" s="43">
        <f>AVERAGE(I25,G25)</f>
        <v>-16461.5</v>
      </c>
      <c r="J88" s="43">
        <f>AVERAGE(J25,I25)</f>
        <v>-16028.5</v>
      </c>
      <c r="K88" s="43">
        <f>AVERAGE(K25,J25)</f>
        <v>-14231</v>
      </c>
      <c r="L88" s="43">
        <f>AVERAGE(L25,K25)</f>
        <v>-12430</v>
      </c>
      <c r="M88" s="31">
        <f>SUM(I88:L88)</f>
        <v>-59151</v>
      </c>
      <c r="N88" s="43">
        <f>AVERAGE(N25,L25)</f>
        <v>-12201</v>
      </c>
      <c r="O88" s="132">
        <f>N88</f>
        <v>-12201</v>
      </c>
      <c r="P88" s="132">
        <f>O88</f>
        <v>-12201</v>
      </c>
      <c r="Q88" s="132">
        <f t="shared" ref="Q88" si="104">P88</f>
        <v>-12201</v>
      </c>
      <c r="R88" s="31"/>
      <c r="S88" s="132">
        <f>Q88</f>
        <v>-12201</v>
      </c>
      <c r="T88" s="132">
        <f>S88</f>
        <v>-12201</v>
      </c>
      <c r="U88" s="132">
        <f t="shared" ref="U88:V88" si="105">T88</f>
        <v>-12201</v>
      </c>
      <c r="V88" s="132">
        <f t="shared" si="105"/>
        <v>-12201</v>
      </c>
      <c r="W88" s="31"/>
      <c r="X88" s="90"/>
    </row>
    <row r="89" spans="2:24" s="55" customFormat="1" hidden="1" outlineLevel="1" x14ac:dyDescent="0.3">
      <c r="B89" s="361" t="s">
        <v>237</v>
      </c>
      <c r="C89" s="362"/>
      <c r="D89" s="43"/>
      <c r="E89" s="43">
        <f>AVERAGE(D26,E26)</f>
        <v>98.5</v>
      </c>
      <c r="F89" s="43">
        <f t="shared" ref="F89:G89" si="106">AVERAGE(E26,F26)</f>
        <v>3278.5</v>
      </c>
      <c r="G89" s="43">
        <f t="shared" si="106"/>
        <v>4243</v>
      </c>
      <c r="H89" s="31"/>
      <c r="I89" s="43">
        <f>AVERAGE(G26,I26)</f>
        <v>2124</v>
      </c>
      <c r="J89" s="43">
        <f t="shared" ref="J89:L89" si="107">AVERAGE(I26,J26)</f>
        <v>165.5</v>
      </c>
      <c r="K89" s="43">
        <f t="shared" si="107"/>
        <v>-1445.5</v>
      </c>
      <c r="L89" s="43">
        <f t="shared" si="107"/>
        <v>557</v>
      </c>
      <c r="M89" s="31"/>
      <c r="N89" s="43">
        <f>AVERAGE(L26,N26)</f>
        <v>636</v>
      </c>
      <c r="O89" s="132">
        <f>N89</f>
        <v>636</v>
      </c>
      <c r="P89" s="132">
        <f>O89</f>
        <v>636</v>
      </c>
      <c r="Q89" s="286">
        <f>P89</f>
        <v>636</v>
      </c>
      <c r="R89" s="31"/>
      <c r="S89" s="132">
        <f>Q89</f>
        <v>636</v>
      </c>
      <c r="T89" s="132">
        <f>S89</f>
        <v>636</v>
      </c>
      <c r="U89" s="132">
        <f>T89</f>
        <v>636</v>
      </c>
      <c r="V89" s="132">
        <f>U89</f>
        <v>636</v>
      </c>
      <c r="W89" s="31">
        <f>W26/W11</f>
        <v>1.4459856026285236E-3</v>
      </c>
      <c r="X89" s="85"/>
    </row>
    <row r="90" spans="2:24" s="55" customFormat="1" hidden="1" outlineLevel="1" x14ac:dyDescent="0.3">
      <c r="B90" s="361" t="s">
        <v>51</v>
      </c>
      <c r="C90" s="362"/>
      <c r="D90" s="30">
        <f t="shared" ref="D90:N90" si="108">D31/D28</f>
        <v>-0.22224977810264709</v>
      </c>
      <c r="E90" s="30">
        <f t="shared" si="108"/>
        <v>0.30745519257658571</v>
      </c>
      <c r="F90" s="30">
        <f t="shared" si="108"/>
        <v>0.48452659585108726</v>
      </c>
      <c r="G90" s="30">
        <f t="shared" si="108"/>
        <v>0.29184165770018394</v>
      </c>
      <c r="H90" s="40">
        <f t="shared" si="108"/>
        <v>0.62175287185679318</v>
      </c>
      <c r="I90" s="30">
        <f t="shared" si="108"/>
        <v>0.31198240543407391</v>
      </c>
      <c r="J90" s="30">
        <f t="shared" si="108"/>
        <v>0.2580582687773661</v>
      </c>
      <c r="K90" s="30">
        <f t="shared" si="108"/>
        <v>0.25397565836902591</v>
      </c>
      <c r="L90" s="30">
        <f t="shared" si="108"/>
        <v>0.14245303546819468</v>
      </c>
      <c r="M90" s="40">
        <f t="shared" si="108"/>
        <v>0.24407191013297916</v>
      </c>
      <c r="N90" s="30">
        <f t="shared" si="108"/>
        <v>0.31465266155652744</v>
      </c>
      <c r="O90" s="32">
        <v>0.22541027203937375</v>
      </c>
      <c r="P90" s="32">
        <v>0.27622006655048076</v>
      </c>
      <c r="Q90" s="32">
        <v>0.20941493603491002</v>
      </c>
      <c r="R90" s="40">
        <f>R31/R28</f>
        <v>0.25048335536646393</v>
      </c>
      <c r="S90" s="32">
        <v>0.27219670372489152</v>
      </c>
      <c r="T90" s="32">
        <v>0.3</v>
      </c>
      <c r="U90" s="32">
        <v>0.3</v>
      </c>
      <c r="V90" s="32">
        <v>0.3</v>
      </c>
      <c r="W90" s="40">
        <f>W31/W28</f>
        <v>0.29479636891833633</v>
      </c>
    </row>
    <row r="91" spans="2:24" s="55" customFormat="1" hidden="1" outlineLevel="1" x14ac:dyDescent="0.3">
      <c r="B91" s="361" t="s">
        <v>50</v>
      </c>
      <c r="C91" s="362"/>
      <c r="D91" s="30">
        <f t="shared" ref="D91:N91" si="109">D15/D13</f>
        <v>0.87476054900594935</v>
      </c>
      <c r="E91" s="30">
        <f t="shared" si="109"/>
        <v>0.89461250557978234</v>
      </c>
      <c r="F91" s="30">
        <f t="shared" si="109"/>
        <v>0.91195235237324845</v>
      </c>
      <c r="G91" s="30">
        <f t="shared" si="109"/>
        <v>0.91220873889962273</v>
      </c>
      <c r="H91" s="40">
        <f t="shared" si="109"/>
        <v>0.89988873494617927</v>
      </c>
      <c r="I91" s="30">
        <f t="shared" si="109"/>
        <v>0.9085104250524566</v>
      </c>
      <c r="J91" s="30">
        <f t="shared" si="109"/>
        <v>0.93464210914255408</v>
      </c>
      <c r="K91" s="30">
        <f t="shared" si="109"/>
        <v>0.91672827336947593</v>
      </c>
      <c r="L91" s="30">
        <f t="shared" si="109"/>
        <v>0.92950619131016399</v>
      </c>
      <c r="M91" s="40">
        <f t="shared" si="109"/>
        <v>0.92261038056224209</v>
      </c>
      <c r="N91" s="30">
        <f t="shared" si="109"/>
        <v>0.93024314752537129</v>
      </c>
      <c r="O91" s="32">
        <v>0.92</v>
      </c>
      <c r="P91" s="32">
        <v>0.93</v>
      </c>
      <c r="Q91" s="32">
        <v>0.93</v>
      </c>
      <c r="R91" s="40">
        <f>R15/R13</f>
        <v>0.92758475662248396</v>
      </c>
      <c r="S91" s="32">
        <v>0.93</v>
      </c>
      <c r="T91" s="32">
        <v>0.93</v>
      </c>
      <c r="U91" s="32">
        <v>0.93</v>
      </c>
      <c r="V91" s="32">
        <v>0.93</v>
      </c>
      <c r="W91" s="40">
        <f>W15/W13</f>
        <v>0.93</v>
      </c>
    </row>
    <row r="92" spans="2:24" s="60" customFormat="1" hidden="1" outlineLevel="1" x14ac:dyDescent="0.3">
      <c r="B92" s="361" t="s">
        <v>59</v>
      </c>
      <c r="C92" s="362"/>
      <c r="D92" s="30">
        <f t="shared" ref="D92:O92" si="110">D17/D13</f>
        <v>0.90798196979576296</v>
      </c>
      <c r="E92" s="30">
        <f t="shared" si="110"/>
        <v>0.90745115544415067</v>
      </c>
      <c r="F92" s="30">
        <f t="shared" si="110"/>
        <v>0.91273517208986765</v>
      </c>
      <c r="G92" s="30">
        <f t="shared" si="110"/>
        <v>0.9142535853380549</v>
      </c>
      <c r="H92" s="40">
        <f t="shared" si="110"/>
        <v>0.91084727699030166</v>
      </c>
      <c r="I92" s="30">
        <f t="shared" si="110"/>
        <v>0.91075741263421306</v>
      </c>
      <c r="J92" s="30">
        <f t="shared" si="110"/>
        <v>0.93695523854896079</v>
      </c>
      <c r="K92" s="30">
        <f t="shared" si="110"/>
        <v>0.91903412424605135</v>
      </c>
      <c r="L92" s="30">
        <f t="shared" si="110"/>
        <v>0.93328463598733868</v>
      </c>
      <c r="M92" s="40">
        <f t="shared" si="110"/>
        <v>0.92528323078978536</v>
      </c>
      <c r="N92" s="46">
        <f t="shared" si="110"/>
        <v>0.93229368173566263</v>
      </c>
      <c r="O92" s="30">
        <f t="shared" si="110"/>
        <v>0.92203981061499485</v>
      </c>
      <c r="P92" s="30">
        <f>P17/P11</f>
        <v>0.93710411905629953</v>
      </c>
      <c r="Q92" s="30">
        <f>Q17/Q11</f>
        <v>0.93691492646505514</v>
      </c>
      <c r="R92" s="297">
        <f>R17/R13</f>
        <v>0.92962729400286503</v>
      </c>
      <c r="S92" s="30">
        <f>S17/S11</f>
        <v>0.93730406384706699</v>
      </c>
      <c r="T92" s="30">
        <f>T17/T11</f>
        <v>0.93692622290155647</v>
      </c>
      <c r="U92" s="30">
        <f>U17/U11</f>
        <v>0.93658358644383322</v>
      </c>
      <c r="V92" s="30">
        <f>V17/V11</f>
        <v>0.93625187167380453</v>
      </c>
      <c r="W92" s="40">
        <f>W17/W13</f>
        <v>0.93204250234456876</v>
      </c>
    </row>
    <row r="93" spans="2:24" s="60" customFormat="1" hidden="1" outlineLevel="1" x14ac:dyDescent="0.3">
      <c r="B93" s="287" t="s">
        <v>52</v>
      </c>
      <c r="C93" s="288"/>
      <c r="D93" s="58">
        <f t="shared" ref="D93:M93" si="111">D24/D13</f>
        <v>-0.26996302431161634</v>
      </c>
      <c r="E93" s="58">
        <f t="shared" si="111"/>
        <v>0.25509391202829379</v>
      </c>
      <c r="F93" s="58">
        <f t="shared" si="111"/>
        <v>0.18929885447381467</v>
      </c>
      <c r="G93" s="58">
        <f t="shared" si="111"/>
        <v>0.39592310646000817</v>
      </c>
      <c r="H93" s="88">
        <f t="shared" si="111"/>
        <v>0.16675860598955558</v>
      </c>
      <c r="I93" s="58">
        <f t="shared" si="111"/>
        <v>0.3774906806594181</v>
      </c>
      <c r="J93" s="58">
        <f t="shared" si="111"/>
        <v>0.45933296778697635</v>
      </c>
      <c r="K93" s="58">
        <f t="shared" si="111"/>
        <v>0.38586918256706332</v>
      </c>
      <c r="L93" s="58">
        <f t="shared" si="111"/>
        <v>0.31280124148896538</v>
      </c>
      <c r="M93" s="88">
        <f t="shared" si="111"/>
        <v>0.38361930037899977</v>
      </c>
      <c r="N93" s="296">
        <f>N18/N14</f>
        <v>5.4936217415418742</v>
      </c>
      <c r="O93" s="58">
        <f t="shared" ref="O93:W93" si="112">O24/O11</f>
        <v>0.46998105679065438</v>
      </c>
      <c r="P93" s="58">
        <f t="shared" si="112"/>
        <v>0.4838247206700767</v>
      </c>
      <c r="Q93" s="58">
        <f t="shared" si="112"/>
        <v>0.46632373935443794</v>
      </c>
      <c r="R93" s="88">
        <f t="shared" si="112"/>
        <v>0.44894087283411072</v>
      </c>
      <c r="S93" s="58">
        <f t="shared" si="112"/>
        <v>0.4411085455021333</v>
      </c>
      <c r="T93" s="58">
        <f t="shared" si="112"/>
        <v>0.5296521926598422</v>
      </c>
      <c r="U93" s="58">
        <f t="shared" si="112"/>
        <v>0.53457122844007066</v>
      </c>
      <c r="V93" s="58">
        <f t="shared" si="112"/>
        <v>0.51830480840601312</v>
      </c>
      <c r="W93" s="88">
        <f t="shared" si="112"/>
        <v>0.50829351395948863</v>
      </c>
    </row>
    <row r="94" spans="2:24" s="60" customFormat="1" collapsed="1" x14ac:dyDescent="0.3">
      <c r="B94" s="337" t="s">
        <v>61</v>
      </c>
      <c r="C94" s="338"/>
      <c r="D94" s="30"/>
      <c r="E94" s="30"/>
      <c r="F94" s="30"/>
      <c r="G94" s="30"/>
      <c r="H94" s="40"/>
      <c r="I94" s="30"/>
      <c r="J94" s="30"/>
      <c r="K94" s="30"/>
      <c r="L94" s="30"/>
      <c r="M94" s="40"/>
      <c r="N94" s="30"/>
      <c r="O94" s="30"/>
      <c r="P94" s="30"/>
      <c r="Q94" s="30"/>
      <c r="R94" s="40"/>
      <c r="S94" s="30"/>
      <c r="T94" s="30"/>
      <c r="U94" s="30"/>
      <c r="V94" s="30"/>
      <c r="W94" s="40"/>
    </row>
    <row r="95" spans="2:24" s="60" customFormat="1" hidden="1" outlineLevel="1" x14ac:dyDescent="0.3">
      <c r="B95" s="195" t="s">
        <v>216</v>
      </c>
      <c r="C95" s="196"/>
      <c r="D95" s="43">
        <v>31182</v>
      </c>
      <c r="E95" s="43">
        <v>32795</v>
      </c>
      <c r="F95" s="43">
        <v>30630</v>
      </c>
      <c r="G95" s="242">
        <v>31977</v>
      </c>
      <c r="H95" s="31">
        <f t="shared" ref="H95" si="113">SUM(D95:G95)</f>
        <v>126584</v>
      </c>
      <c r="I95" s="243">
        <v>24677</v>
      </c>
      <c r="J95" s="43">
        <v>23668</v>
      </c>
      <c r="K95" s="43">
        <v>26127</v>
      </c>
      <c r="L95" s="242">
        <v>23690</v>
      </c>
      <c r="M95" s="31">
        <f t="shared" ref="M95" si="114">SUM(I95:L95)</f>
        <v>98162</v>
      </c>
      <c r="N95" s="43">
        <v>22642</v>
      </c>
      <c r="O95" s="132">
        <f>N95</f>
        <v>22642</v>
      </c>
      <c r="P95" s="132">
        <f>O95</f>
        <v>22642</v>
      </c>
      <c r="Q95" s="132">
        <f>P95</f>
        <v>22642</v>
      </c>
      <c r="R95" s="31">
        <f t="shared" ref="R95" si="115">SUM(N95:Q95)</f>
        <v>90568</v>
      </c>
      <c r="S95" s="132">
        <f>Q95</f>
        <v>22642</v>
      </c>
      <c r="T95" s="132">
        <f>S95</f>
        <v>22642</v>
      </c>
      <c r="U95" s="132">
        <f>T95</f>
        <v>22642</v>
      </c>
      <c r="V95" s="132">
        <f>U95</f>
        <v>22642</v>
      </c>
      <c r="W95" s="31">
        <f t="shared" ref="W95" si="116">SUM(S95:V95)</f>
        <v>90568</v>
      </c>
    </row>
    <row r="96" spans="2:24" s="28" customFormat="1" ht="15" hidden="1" customHeight="1" outlineLevel="1" x14ac:dyDescent="0.3">
      <c r="B96" s="194" t="s">
        <v>217</v>
      </c>
      <c r="C96" s="45"/>
      <c r="D96" s="85">
        <v>11175</v>
      </c>
      <c r="E96" s="43">
        <v>14042</v>
      </c>
      <c r="F96" s="43">
        <v>14834</v>
      </c>
      <c r="G96" s="242">
        <v>15032</v>
      </c>
      <c r="H96" s="31">
        <f>SUM(D96:G96)</f>
        <v>55083</v>
      </c>
      <c r="I96" s="243">
        <v>16639</v>
      </c>
      <c r="J96" s="43">
        <v>18662</v>
      </c>
      <c r="K96" s="43">
        <v>19542</v>
      </c>
      <c r="L96" s="242">
        <v>19810</v>
      </c>
      <c r="M96" s="31">
        <f>SUM(I96:L96)</f>
        <v>74653</v>
      </c>
      <c r="N96" s="243">
        <v>20204</v>
      </c>
      <c r="O96" s="178">
        <f>N96/N99*O99</f>
        <v>22472.385715638255</v>
      </c>
      <c r="P96" s="43">
        <f t="shared" ref="P96:Q96" si="117">O96/O99*P99</f>
        <v>23650.118793486861</v>
      </c>
      <c r="Q96" s="242">
        <f t="shared" si="117"/>
        <v>24815.808483096473</v>
      </c>
      <c r="R96" s="31">
        <f>SUM(N96:Q96)</f>
        <v>91142.312992221589</v>
      </c>
      <c r="S96" s="243">
        <f>Q96/Q99*S99</f>
        <v>23254.504547866454</v>
      </c>
      <c r="T96" s="43">
        <f>S96/S99*T99</f>
        <v>25269.104720950752</v>
      </c>
      <c r="U96" s="43">
        <f t="shared" ref="U96:V96" si="118">T96/T99*U99</f>
        <v>27455.218711134727</v>
      </c>
      <c r="V96" s="242">
        <f t="shared" si="118"/>
        <v>29925.184494570873</v>
      </c>
      <c r="W96" s="31">
        <f>SUM(S96:V96)</f>
        <v>105904.01247452281</v>
      </c>
      <c r="X96" s="44"/>
    </row>
    <row r="97" spans="1:24" s="60" customFormat="1" ht="15" hidden="1" customHeight="1" outlineLevel="1" x14ac:dyDescent="0.3">
      <c r="B97" s="194" t="s">
        <v>218</v>
      </c>
      <c r="C97" s="45"/>
      <c r="D97" s="43">
        <v>2459</v>
      </c>
      <c r="E97" s="43">
        <v>3226</v>
      </c>
      <c r="F97" s="43">
        <v>3177</v>
      </c>
      <c r="G97" s="242">
        <v>3317</v>
      </c>
      <c r="H97" s="31">
        <f t="shared" ref="H97" si="119">SUM(D97:G97)</f>
        <v>12179</v>
      </c>
      <c r="I97" s="243">
        <v>3485</v>
      </c>
      <c r="J97" s="43">
        <v>3866</v>
      </c>
      <c r="K97" s="43">
        <v>2786</v>
      </c>
      <c r="L97" s="242">
        <v>3219</v>
      </c>
      <c r="M97" s="31">
        <f t="shared" ref="M97" si="120">SUM(I97:L97)</f>
        <v>13356</v>
      </c>
      <c r="N97" s="243">
        <v>3290</v>
      </c>
      <c r="O97" s="43">
        <f>N97/N99*O99</f>
        <v>3659.3817563081498</v>
      </c>
      <c r="P97" s="43">
        <f t="shared" ref="P97:Q97" si="121">O97/O99*P99</f>
        <v>3851.1626821704499</v>
      </c>
      <c r="Q97" s="242">
        <f t="shared" si="121"/>
        <v>4040.9824742322007</v>
      </c>
      <c r="R97" s="31">
        <f t="shared" ref="R97" si="122">SUM(N97:Q97)</f>
        <v>14841.5269127108</v>
      </c>
      <c r="S97" s="243">
        <f>Q97/Q99*S99</f>
        <v>3786.741237501516</v>
      </c>
      <c r="T97" s="43">
        <f>S97/S99*T99</f>
        <v>4114.796799244109</v>
      </c>
      <c r="U97" s="43">
        <f t="shared" ref="U97:V97" si="123">T97/T99*U99</f>
        <v>4470.7815066141975</v>
      </c>
      <c r="V97" s="242">
        <f t="shared" si="123"/>
        <v>4872.9883680032754</v>
      </c>
      <c r="W97" s="31">
        <f t="shared" ref="W97" si="124">SUM(S97:V97)</f>
        <v>17245.307911363099</v>
      </c>
      <c r="X97" s="44"/>
    </row>
    <row r="98" spans="1:24" s="60" customFormat="1" ht="15" hidden="1" customHeight="1" outlineLevel="1" x14ac:dyDescent="0.45">
      <c r="B98" s="79" t="s">
        <v>202</v>
      </c>
      <c r="C98" s="45"/>
      <c r="D98" s="247">
        <v>181</v>
      </c>
      <c r="E98" s="238">
        <v>1284</v>
      </c>
      <c r="F98" s="238">
        <v>240</v>
      </c>
      <c r="G98" s="239">
        <v>671</v>
      </c>
      <c r="H98" s="240">
        <f>SUM(D98:G98)</f>
        <v>2376</v>
      </c>
      <c r="I98" s="241">
        <v>695</v>
      </c>
      <c r="J98" s="238">
        <v>772</v>
      </c>
      <c r="K98" s="238">
        <v>786</v>
      </c>
      <c r="L98" s="239">
        <v>1288</v>
      </c>
      <c r="M98" s="240">
        <f>SUM(I98:L98)</f>
        <v>3541</v>
      </c>
      <c r="N98" s="241">
        <v>689</v>
      </c>
      <c r="O98" s="238">
        <f>N98/N99*O99</f>
        <v>766.35684805359131</v>
      </c>
      <c r="P98" s="238">
        <f t="shared" ref="P98:Q98" si="125">O98/O99*P99</f>
        <v>806.52008754268695</v>
      </c>
      <c r="Q98" s="239">
        <f t="shared" si="125"/>
        <v>846.27262150333934</v>
      </c>
      <c r="R98" s="240">
        <f>SUM(N98:Q98)</f>
        <v>3108.1495570996181</v>
      </c>
      <c r="S98" s="241">
        <f>Q98/Q99*S99</f>
        <v>793.02878803603176</v>
      </c>
      <c r="T98" s="238">
        <f>S98/S99*T99</f>
        <v>861.73100142224655</v>
      </c>
      <c r="U98" s="238">
        <f t="shared" ref="U98" si="126">T98/T99*U99</f>
        <v>936.282206096408</v>
      </c>
      <c r="V98" s="239">
        <f t="shared" ref="V98" si="127">U98/U99*V99</f>
        <v>1020.5133694693789</v>
      </c>
      <c r="W98" s="240">
        <f>SUM(S98:V98)</f>
        <v>3611.5553650240654</v>
      </c>
      <c r="X98" s="44"/>
    </row>
    <row r="99" spans="1:24" s="62" customFormat="1" ht="15" hidden="1" customHeight="1" outlineLevel="1" x14ac:dyDescent="0.3">
      <c r="B99" s="80" t="s">
        <v>203</v>
      </c>
      <c r="C99" s="45"/>
      <c r="D99" s="248">
        <f t="shared" ref="D99:N99" si="128">SUM(D96:D98)</f>
        <v>13815</v>
      </c>
      <c r="E99" s="248">
        <f t="shared" si="128"/>
        <v>18552</v>
      </c>
      <c r="F99" s="248">
        <f t="shared" si="128"/>
        <v>18251</v>
      </c>
      <c r="G99" s="249">
        <f t="shared" si="128"/>
        <v>19020</v>
      </c>
      <c r="H99" s="250">
        <f t="shared" si="128"/>
        <v>69638</v>
      </c>
      <c r="I99" s="251">
        <f t="shared" si="128"/>
        <v>20819</v>
      </c>
      <c r="J99" s="248">
        <f t="shared" si="128"/>
        <v>23300</v>
      </c>
      <c r="K99" s="248">
        <f t="shared" si="128"/>
        <v>23114</v>
      </c>
      <c r="L99" s="248">
        <f t="shared" si="128"/>
        <v>24317</v>
      </c>
      <c r="M99" s="250">
        <f t="shared" si="128"/>
        <v>91550</v>
      </c>
      <c r="N99" s="251">
        <f t="shared" si="128"/>
        <v>24183</v>
      </c>
      <c r="O99" s="248">
        <f>O100*O11</f>
        <v>26898.124319999995</v>
      </c>
      <c r="P99" s="248">
        <f>P100*P11</f>
        <v>28307.801563199995</v>
      </c>
      <c r="Q99" s="249">
        <f>Q100*Q11</f>
        <v>29703.063578832011</v>
      </c>
      <c r="R99" s="250">
        <f t="shared" ref="R99" si="129">SUM(R96:R98)</f>
        <v>109091.98946203201</v>
      </c>
      <c r="S99" s="251">
        <f>S100*S11</f>
        <v>27834.274573404</v>
      </c>
      <c r="T99" s="248">
        <f>T100*T11</f>
        <v>30245.632521617106</v>
      </c>
      <c r="U99" s="248">
        <f>U100*U11</f>
        <v>32862.282423845332</v>
      </c>
      <c r="V99" s="249">
        <f>V100*V11</f>
        <v>35818.686232043525</v>
      </c>
      <c r="W99" s="250">
        <f t="shared" ref="W99" si="130">SUM(W96:W98)</f>
        <v>126760.87575090997</v>
      </c>
      <c r="X99" s="81"/>
    </row>
    <row r="100" spans="1:24" s="60" customFormat="1" ht="15" hidden="1" customHeight="1" outlineLevel="1" x14ac:dyDescent="0.3">
      <c r="B100" s="79" t="s">
        <v>62</v>
      </c>
      <c r="C100" s="45"/>
      <c r="D100" s="30">
        <f t="shared" ref="D100:N100" si="131">D99/D11</f>
        <v>5.6390977443609019E-2</v>
      </c>
      <c r="E100" s="30">
        <f t="shared" si="131"/>
        <v>6.4171566931857493E-2</v>
      </c>
      <c r="F100" s="30">
        <f t="shared" si="131"/>
        <v>5.9955914285808147E-2</v>
      </c>
      <c r="G100" s="47">
        <f t="shared" si="131"/>
        <v>5.866332740120226E-2</v>
      </c>
      <c r="H100" s="40">
        <f t="shared" si="131"/>
        <v>5.9892527495966338E-2</v>
      </c>
      <c r="I100" s="46">
        <f t="shared" si="131"/>
        <v>6.7806601853208914E-2</v>
      </c>
      <c r="J100" s="30">
        <f t="shared" si="131"/>
        <v>7.0158322945083798E-2</v>
      </c>
      <c r="K100" s="30">
        <f t="shared" si="131"/>
        <v>6.8232404635812413E-2</v>
      </c>
      <c r="L100" s="30">
        <f t="shared" si="131"/>
        <v>7.1747648440358316E-2</v>
      </c>
      <c r="M100" s="40">
        <f t="shared" si="131"/>
        <v>6.9523601952887981E-2</v>
      </c>
      <c r="N100" s="30">
        <f t="shared" si="131"/>
        <v>7.2422405634950102E-2</v>
      </c>
      <c r="O100" s="32">
        <v>7.1999999999999995E-2</v>
      </c>
      <c r="P100" s="32">
        <v>7.1999999999999995E-2</v>
      </c>
      <c r="Q100" s="68">
        <v>7.1999999999999995E-2</v>
      </c>
      <c r="R100" s="40">
        <f>R99/R11</f>
        <v>7.2093211273475219E-2</v>
      </c>
      <c r="S100" s="70">
        <f>AVERAGE(Q100,P100,O100,N100)</f>
        <v>7.2105601408737521E-2</v>
      </c>
      <c r="T100" s="32">
        <f>AVERAGE(S100,Q100,P100,O100)</f>
        <v>7.2026400352184383E-2</v>
      </c>
      <c r="U100" s="32">
        <f>AVERAGE(T100,S100,Q100,P100)</f>
        <v>7.2033000440230477E-2</v>
      </c>
      <c r="V100" s="68">
        <f>AVERAGE(U100,T100,S100,Q100)</f>
        <v>7.2041250550288094E-2</v>
      </c>
      <c r="W100" s="40">
        <f>W99/W11</f>
        <v>7.2049686050471282E-2</v>
      </c>
    </row>
    <row r="101" spans="1:24" s="60" customFormat="1" ht="15" hidden="1" customHeight="1" outlineLevel="1" x14ac:dyDescent="0.3">
      <c r="B101" s="79" t="s">
        <v>220</v>
      </c>
      <c r="C101" s="45"/>
      <c r="D101" s="43">
        <v>0</v>
      </c>
      <c r="E101" s="43">
        <v>0</v>
      </c>
      <c r="F101" s="43">
        <v>75000</v>
      </c>
      <c r="G101" s="242">
        <v>626</v>
      </c>
      <c r="H101" s="31">
        <f t="shared" ref="H101" si="132">SUM(D101:G101)</f>
        <v>75626</v>
      </c>
      <c r="I101" s="243">
        <v>0</v>
      </c>
      <c r="J101" s="43">
        <v>0</v>
      </c>
      <c r="K101" s="43">
        <v>25000</v>
      </c>
      <c r="L101" s="242">
        <v>0</v>
      </c>
      <c r="M101" s="31">
        <f t="shared" ref="M101" si="133">SUM(I101:L101)</f>
        <v>25000</v>
      </c>
      <c r="N101" s="243">
        <v>8750</v>
      </c>
      <c r="O101" s="132">
        <f>AVERAGE(N101,L101)</f>
        <v>4375</v>
      </c>
      <c r="P101" s="132">
        <f>AVERAGE(O101,N101)</f>
        <v>6562.5</v>
      </c>
      <c r="Q101" s="252">
        <f>AVERAGE(P101,O101)</f>
        <v>5468.75</v>
      </c>
      <c r="R101" s="31">
        <f t="shared" ref="R101" si="134">SUM(N101:Q101)</f>
        <v>25156.25</v>
      </c>
      <c r="S101" s="253">
        <f>AVERAGE(Q101,P101)</f>
        <v>6015.625</v>
      </c>
      <c r="T101" s="132">
        <f>AVERAGE(S101,Q101)</f>
        <v>5742.1875</v>
      </c>
      <c r="U101" s="132">
        <f>AVERAGE(T101,S101)</f>
        <v>5878.90625</v>
      </c>
      <c r="V101" s="252">
        <f>AVERAGE(U101,T101)</f>
        <v>5810.546875</v>
      </c>
      <c r="W101" s="31">
        <f t="shared" ref="W101" si="135">SUM(S101:V101)</f>
        <v>23447.265625</v>
      </c>
    </row>
    <row r="102" spans="1:24" s="60" customFormat="1" ht="15" hidden="1" customHeight="1" outlineLevel="1" x14ac:dyDescent="0.3">
      <c r="B102" s="97" t="s">
        <v>221</v>
      </c>
      <c r="C102" s="45"/>
      <c r="D102" s="43">
        <v>0</v>
      </c>
      <c r="E102" s="43">
        <v>0</v>
      </c>
      <c r="F102" s="43">
        <v>0</v>
      </c>
      <c r="G102" s="242">
        <v>1941</v>
      </c>
      <c r="H102" s="31">
        <f t="shared" ref="H102" si="136">SUM(D102:G102)</f>
        <v>1941</v>
      </c>
      <c r="I102" s="243">
        <v>553</v>
      </c>
      <c r="J102" s="43">
        <v>0</v>
      </c>
      <c r="K102" s="43">
        <v>0</v>
      </c>
      <c r="L102" s="242">
        <v>1088</v>
      </c>
      <c r="M102" s="31">
        <f t="shared" ref="M102" si="137">SUM(I102:L102)</f>
        <v>1641</v>
      </c>
      <c r="N102" s="243">
        <v>0</v>
      </c>
      <c r="O102" s="132">
        <f>N102</f>
        <v>0</v>
      </c>
      <c r="P102" s="132">
        <f>O102</f>
        <v>0</v>
      </c>
      <c r="Q102" s="132">
        <f>P102</f>
        <v>0</v>
      </c>
      <c r="R102" s="31">
        <f t="shared" ref="R102" si="138">SUM(N102:Q102)</f>
        <v>0</v>
      </c>
      <c r="S102" s="132">
        <f>Q102</f>
        <v>0</v>
      </c>
      <c r="T102" s="132">
        <f>S102</f>
        <v>0</v>
      </c>
      <c r="U102" s="132">
        <f>T102</f>
        <v>0</v>
      </c>
      <c r="V102" s="132">
        <f>U102</f>
        <v>0</v>
      </c>
      <c r="W102" s="31">
        <f t="shared" ref="W102" si="139">SUM(S102:V102)</f>
        <v>0</v>
      </c>
    </row>
    <row r="103" spans="1:24" s="61" customFormat="1" ht="15" hidden="1" customHeight="1" outlineLevel="1" x14ac:dyDescent="0.3">
      <c r="A103" s="60"/>
      <c r="B103" s="197" t="s">
        <v>222</v>
      </c>
      <c r="C103" s="45"/>
      <c r="D103" s="43">
        <v>0</v>
      </c>
      <c r="E103" s="43">
        <v>0</v>
      </c>
      <c r="F103" s="43">
        <v>0</v>
      </c>
      <c r="G103" s="242">
        <v>0</v>
      </c>
      <c r="H103" s="31">
        <f t="shared" ref="H103:H111" si="140">SUM(D103:G103)</f>
        <v>0</v>
      </c>
      <c r="I103" s="243">
        <v>0</v>
      </c>
      <c r="J103" s="43">
        <v>0</v>
      </c>
      <c r="K103" s="43">
        <v>0</v>
      </c>
      <c r="L103" s="43">
        <v>0</v>
      </c>
      <c r="M103" s="31">
        <f t="shared" ref="M103:M107" si="141">SUM(I103:L103)</f>
        <v>0</v>
      </c>
      <c r="N103" s="243">
        <v>6060</v>
      </c>
      <c r="O103" s="132">
        <v>0</v>
      </c>
      <c r="P103" s="132">
        <v>0</v>
      </c>
      <c r="Q103" s="252">
        <v>0</v>
      </c>
      <c r="R103" s="31">
        <f>SUM(N103:Q103)</f>
        <v>6060</v>
      </c>
      <c r="S103" s="253">
        <v>0</v>
      </c>
      <c r="T103" s="132">
        <v>0</v>
      </c>
      <c r="U103" s="132">
        <v>0</v>
      </c>
      <c r="V103" s="252">
        <v>0</v>
      </c>
      <c r="W103" s="31">
        <f>SUM(S103:V103)</f>
        <v>0</v>
      </c>
    </row>
    <row r="104" spans="1:24" s="60" customFormat="1" ht="15" hidden="1" customHeight="1" outlineLevel="1" x14ac:dyDescent="0.3">
      <c r="B104" s="195" t="s">
        <v>223</v>
      </c>
      <c r="C104" s="45"/>
      <c r="D104" s="43">
        <v>17733</v>
      </c>
      <c r="E104" s="43">
        <v>4907</v>
      </c>
      <c r="F104" s="43">
        <v>878</v>
      </c>
      <c r="G104" s="242">
        <v>5322</v>
      </c>
      <c r="H104" s="31">
        <f t="shared" ref="H104" si="142">SUM(D104:G104)</f>
        <v>28840</v>
      </c>
      <c r="I104" s="243">
        <v>155</v>
      </c>
      <c r="J104" s="43">
        <v>0</v>
      </c>
      <c r="K104" s="43">
        <v>0</v>
      </c>
      <c r="L104" s="43">
        <v>18000</v>
      </c>
      <c r="M104" s="31">
        <f t="shared" si="141"/>
        <v>18155</v>
      </c>
      <c r="N104" s="243">
        <v>0</v>
      </c>
      <c r="O104" s="132">
        <f>N104</f>
        <v>0</v>
      </c>
      <c r="P104" s="132">
        <f t="shared" ref="P104:Q107" si="143">O104</f>
        <v>0</v>
      </c>
      <c r="Q104" s="132">
        <f t="shared" si="143"/>
        <v>0</v>
      </c>
      <c r="R104" s="31">
        <f>SUM(N104:Q104)</f>
        <v>0</v>
      </c>
      <c r="S104" s="253">
        <v>0</v>
      </c>
      <c r="T104" s="132">
        <v>0</v>
      </c>
      <c r="U104" s="132">
        <v>0</v>
      </c>
      <c r="V104" s="252">
        <v>0</v>
      </c>
      <c r="W104" s="31">
        <f>SUM(S104:V104)</f>
        <v>0</v>
      </c>
    </row>
    <row r="105" spans="1:24" s="60" customFormat="1" ht="15" hidden="1" customHeight="1" outlineLevel="1" x14ac:dyDescent="0.3">
      <c r="B105" s="195" t="s">
        <v>224</v>
      </c>
      <c r="C105" s="45"/>
      <c r="D105" s="43">
        <v>127000</v>
      </c>
      <c r="E105" s="43">
        <v>0</v>
      </c>
      <c r="F105" s="43">
        <v>0</v>
      </c>
      <c r="G105" s="242">
        <v>0</v>
      </c>
      <c r="H105" s="31">
        <v>0</v>
      </c>
      <c r="I105" s="243">
        <v>0</v>
      </c>
      <c r="J105" s="43">
        <v>0</v>
      </c>
      <c r="K105" s="43">
        <v>0</v>
      </c>
      <c r="L105" s="43">
        <v>0</v>
      </c>
      <c r="M105" s="31">
        <f t="shared" si="141"/>
        <v>0</v>
      </c>
      <c r="N105" s="243">
        <v>0</v>
      </c>
      <c r="O105" s="132">
        <f>N105</f>
        <v>0</v>
      </c>
      <c r="P105" s="132">
        <f t="shared" si="143"/>
        <v>0</v>
      </c>
      <c r="Q105" s="132">
        <f t="shared" si="143"/>
        <v>0</v>
      </c>
      <c r="R105" s="31">
        <f>SUM(N105:Q105)</f>
        <v>0</v>
      </c>
      <c r="S105" s="253">
        <v>0</v>
      </c>
      <c r="T105" s="132">
        <v>0</v>
      </c>
      <c r="U105" s="132">
        <v>0</v>
      </c>
      <c r="V105" s="252">
        <v>0</v>
      </c>
      <c r="W105" s="31">
        <f>SUM(S105:V105)</f>
        <v>0</v>
      </c>
    </row>
    <row r="106" spans="1:24" s="60" customFormat="1" ht="15" hidden="1" customHeight="1" outlineLevel="1" x14ac:dyDescent="0.3">
      <c r="B106" s="197" t="s">
        <v>225</v>
      </c>
      <c r="C106" s="45"/>
      <c r="D106" s="43">
        <v>0</v>
      </c>
      <c r="E106" s="43">
        <v>32806</v>
      </c>
      <c r="F106" s="43">
        <v>0</v>
      </c>
      <c r="G106" s="242">
        <v>6559</v>
      </c>
      <c r="H106" s="31">
        <f t="shared" si="140"/>
        <v>39365</v>
      </c>
      <c r="I106" s="243">
        <v>0</v>
      </c>
      <c r="J106" s="43">
        <v>0</v>
      </c>
      <c r="K106" s="43">
        <v>0</v>
      </c>
      <c r="L106" s="43">
        <v>31523</v>
      </c>
      <c r="M106" s="31">
        <f t="shared" si="141"/>
        <v>31523</v>
      </c>
      <c r="N106" s="243">
        <v>0</v>
      </c>
      <c r="O106" s="132">
        <f>N106</f>
        <v>0</v>
      </c>
      <c r="P106" s="132">
        <f t="shared" si="143"/>
        <v>0</v>
      </c>
      <c r="Q106" s="132">
        <f t="shared" si="143"/>
        <v>0</v>
      </c>
      <c r="R106" s="31">
        <f>SUM(N106:Q106)</f>
        <v>0</v>
      </c>
      <c r="S106" s="253"/>
      <c r="T106" s="132"/>
      <c r="U106" s="132"/>
      <c r="V106" s="252"/>
      <c r="W106" s="31">
        <f t="shared" ref="W106" si="144">SUM(S106:V106)</f>
        <v>0</v>
      </c>
    </row>
    <row r="107" spans="1:24" s="60" customFormat="1" ht="15" hidden="1" customHeight="1" outlineLevel="1" x14ac:dyDescent="0.3">
      <c r="B107" s="195" t="s">
        <v>232</v>
      </c>
      <c r="C107" s="45"/>
      <c r="D107" s="43">
        <v>8022</v>
      </c>
      <c r="E107" s="43">
        <v>2455</v>
      </c>
      <c r="F107" s="43">
        <v>0</v>
      </c>
      <c r="G107" s="242">
        <v>0</v>
      </c>
      <c r="H107" s="31">
        <f t="shared" si="140"/>
        <v>10477</v>
      </c>
      <c r="I107" s="243">
        <v>0</v>
      </c>
      <c r="J107" s="43">
        <v>0</v>
      </c>
      <c r="K107" s="43">
        <v>0</v>
      </c>
      <c r="L107" s="43">
        <v>0</v>
      </c>
      <c r="M107" s="31">
        <f t="shared" si="141"/>
        <v>0</v>
      </c>
      <c r="N107" s="243">
        <v>0</v>
      </c>
      <c r="O107" s="132">
        <f>N107</f>
        <v>0</v>
      </c>
      <c r="P107" s="132">
        <f t="shared" si="143"/>
        <v>0</v>
      </c>
      <c r="Q107" s="132">
        <f t="shared" si="143"/>
        <v>0</v>
      </c>
      <c r="R107" s="31">
        <f t="shared" ref="R107:R109" si="145">SUM(N107:Q107)</f>
        <v>0</v>
      </c>
      <c r="S107" s="253">
        <f>AVERAGE(P107,Q107)</f>
        <v>0</v>
      </c>
      <c r="T107" s="132">
        <f>AVERAGE(S107,Q107)</f>
        <v>0</v>
      </c>
      <c r="U107" s="132">
        <f t="shared" ref="U107:V109" si="146">AVERAGE(T107,S107)</f>
        <v>0</v>
      </c>
      <c r="V107" s="252">
        <f t="shared" si="146"/>
        <v>0</v>
      </c>
      <c r="W107" s="31">
        <f t="shared" ref="W107:W111" si="147">SUM(S107:V107)</f>
        <v>0</v>
      </c>
    </row>
    <row r="108" spans="1:24" s="61" customFormat="1" ht="15" hidden="1" customHeight="1" outlineLevel="1" x14ac:dyDescent="0.3">
      <c r="B108" s="79" t="s">
        <v>226</v>
      </c>
      <c r="C108" s="92"/>
      <c r="D108" s="43">
        <v>1638</v>
      </c>
      <c r="E108" s="43">
        <v>1900</v>
      </c>
      <c r="F108" s="43">
        <v>4065</v>
      </c>
      <c r="G108" s="242">
        <v>6122</v>
      </c>
      <c r="H108" s="31">
        <f t="shared" si="140"/>
        <v>13725</v>
      </c>
      <c r="I108" s="243">
        <v>7405.9999999999845</v>
      </c>
      <c r="J108" s="43">
        <v>6032</v>
      </c>
      <c r="K108" s="43">
        <v>5300</v>
      </c>
      <c r="L108" s="242">
        <v>5390</v>
      </c>
      <c r="M108" s="31">
        <f t="shared" ref="M108:M111" si="148">SUM(I108:L108)</f>
        <v>24127.999999999985</v>
      </c>
      <c r="N108" s="243">
        <v>5362</v>
      </c>
      <c r="O108" s="132">
        <f>AVERAGE(N108,L108)</f>
        <v>5376</v>
      </c>
      <c r="P108" s="132">
        <f>AVERAGE(O108,N108)</f>
        <v>5369</v>
      </c>
      <c r="Q108" s="252">
        <f>AVERAGE(P108,O108)</f>
        <v>5372.5</v>
      </c>
      <c r="R108" s="31">
        <f t="shared" si="145"/>
        <v>21479.5</v>
      </c>
      <c r="S108" s="253">
        <f>AVERAGE(P108,Q108)</f>
        <v>5370.75</v>
      </c>
      <c r="T108" s="132">
        <f>AVERAGE(S108,Q108)</f>
        <v>5371.625</v>
      </c>
      <c r="U108" s="132">
        <f t="shared" si="146"/>
        <v>5371.1875</v>
      </c>
      <c r="V108" s="252">
        <f t="shared" si="146"/>
        <v>5371.40625</v>
      </c>
      <c r="W108" s="31">
        <f t="shared" si="147"/>
        <v>21484.96875</v>
      </c>
    </row>
    <row r="109" spans="1:24" s="61" customFormat="1" ht="15" hidden="1" customHeight="1" outlineLevel="1" x14ac:dyDescent="0.3">
      <c r="B109" s="197" t="s">
        <v>227</v>
      </c>
      <c r="C109" s="92"/>
      <c r="D109" s="43">
        <v>0</v>
      </c>
      <c r="E109" s="43">
        <v>0</v>
      </c>
      <c r="F109" s="43">
        <v>0</v>
      </c>
      <c r="G109" s="242">
        <v>0</v>
      </c>
      <c r="H109" s="31">
        <f t="shared" si="140"/>
        <v>0</v>
      </c>
      <c r="I109" s="243">
        <v>0</v>
      </c>
      <c r="J109" s="43">
        <v>16815</v>
      </c>
      <c r="K109" s="43">
        <v>0</v>
      </c>
      <c r="L109" s="242">
        <v>0</v>
      </c>
      <c r="M109" s="31">
        <f t="shared" si="148"/>
        <v>16815</v>
      </c>
      <c r="N109" s="243">
        <v>0</v>
      </c>
      <c r="O109" s="132">
        <f>AVERAGE(N109,L109)</f>
        <v>0</v>
      </c>
      <c r="P109" s="132">
        <f>AVERAGE(O109,N109)</f>
        <v>0</v>
      </c>
      <c r="Q109" s="132">
        <f>AVERAGE(P109,O109)</f>
        <v>0</v>
      </c>
      <c r="R109" s="31">
        <f t="shared" si="145"/>
        <v>0</v>
      </c>
      <c r="S109" s="132">
        <f>AVERAGE(Q109,P109)</f>
        <v>0</v>
      </c>
      <c r="T109" s="132">
        <f>AVERAGE(S109,Q109)</f>
        <v>0</v>
      </c>
      <c r="U109" s="132">
        <f t="shared" si="146"/>
        <v>0</v>
      </c>
      <c r="V109" s="132">
        <f t="shared" si="146"/>
        <v>0</v>
      </c>
      <c r="W109" s="31">
        <f t="shared" si="147"/>
        <v>0</v>
      </c>
    </row>
    <row r="110" spans="1:24" s="61" customFormat="1" ht="15" hidden="1" customHeight="1" outlineLevel="1" x14ac:dyDescent="0.3">
      <c r="B110" s="79" t="s">
        <v>215</v>
      </c>
      <c r="C110" s="92"/>
      <c r="D110" s="43">
        <v>-5944</v>
      </c>
      <c r="E110" s="43">
        <v>-10900</v>
      </c>
      <c r="F110" s="254">
        <v>-10649</v>
      </c>
      <c r="G110" s="242">
        <v>-2127</v>
      </c>
      <c r="H110" s="31">
        <f t="shared" si="140"/>
        <v>-29620</v>
      </c>
      <c r="I110" s="243">
        <v>2148</v>
      </c>
      <c r="J110" s="43">
        <v>-5748</v>
      </c>
      <c r="K110" s="43">
        <v>-8162</v>
      </c>
      <c r="L110" s="242">
        <v>-23247</v>
      </c>
      <c r="M110" s="31">
        <f t="shared" si="148"/>
        <v>-35009</v>
      </c>
      <c r="N110" s="243">
        <v>-123</v>
      </c>
      <c r="O110" s="132">
        <f t="shared" ref="O110:O111" si="149">AVERAGE(N110,L110)</f>
        <v>-11685</v>
      </c>
      <c r="P110" s="132">
        <f t="shared" ref="P110:Q110" si="150">AVERAGE(O110,N110)</f>
        <v>-5904</v>
      </c>
      <c r="Q110" s="252">
        <f t="shared" si="150"/>
        <v>-8794.5</v>
      </c>
      <c r="R110" s="31">
        <f t="shared" ref="R110:R111" si="151">SUM(N110:Q110)</f>
        <v>-26506.5</v>
      </c>
      <c r="S110" s="253">
        <f t="shared" ref="S110:S111" si="152">AVERAGE(P110,Q110)</f>
        <v>-7349.25</v>
      </c>
      <c r="T110" s="132">
        <f t="shared" ref="T110:T111" si="153">AVERAGE(S110,Q110)</f>
        <v>-8071.875</v>
      </c>
      <c r="U110" s="132">
        <f t="shared" ref="U110:V110" si="154">AVERAGE(T110,S110)</f>
        <v>-7710.5625</v>
      </c>
      <c r="V110" s="252">
        <f t="shared" si="154"/>
        <v>-7891.21875</v>
      </c>
      <c r="W110" s="31">
        <f t="shared" si="147"/>
        <v>-31022.90625</v>
      </c>
    </row>
    <row r="111" spans="1:24" s="61" customFormat="1" ht="15" hidden="1" customHeight="1" outlineLevel="1" x14ac:dyDescent="0.3">
      <c r="B111" s="255" t="s">
        <v>219</v>
      </c>
      <c r="C111" s="256"/>
      <c r="D111" s="57">
        <v>-1258</v>
      </c>
      <c r="E111" s="57">
        <v>-244</v>
      </c>
      <c r="F111" s="57">
        <v>-2</v>
      </c>
      <c r="G111" s="56">
        <v>-2</v>
      </c>
      <c r="H111" s="49">
        <f t="shared" si="140"/>
        <v>-1506</v>
      </c>
      <c r="I111" s="48">
        <v>0</v>
      </c>
      <c r="J111" s="57">
        <v>-2</v>
      </c>
      <c r="K111" s="57">
        <v>0</v>
      </c>
      <c r="L111" s="56">
        <v>0</v>
      </c>
      <c r="M111" s="49">
        <f t="shared" si="148"/>
        <v>-2</v>
      </c>
      <c r="N111" s="48">
        <v>0</v>
      </c>
      <c r="O111" s="257">
        <f t="shared" si="149"/>
        <v>0</v>
      </c>
      <c r="P111" s="257">
        <f t="shared" ref="P111:Q111" si="155">AVERAGE(O111,N111)</f>
        <v>0</v>
      </c>
      <c r="Q111" s="258">
        <f t="shared" si="155"/>
        <v>0</v>
      </c>
      <c r="R111" s="49">
        <f t="shared" si="151"/>
        <v>0</v>
      </c>
      <c r="S111" s="259">
        <f t="shared" si="152"/>
        <v>0</v>
      </c>
      <c r="T111" s="257">
        <f t="shared" si="153"/>
        <v>0</v>
      </c>
      <c r="U111" s="257">
        <f t="shared" ref="U111:V111" si="156">AVERAGE(T111,S111)</f>
        <v>0</v>
      </c>
      <c r="V111" s="258">
        <f t="shared" si="156"/>
        <v>0</v>
      </c>
      <c r="W111" s="49">
        <f t="shared" si="147"/>
        <v>0</v>
      </c>
    </row>
    <row r="112" spans="1:24" s="61" customFormat="1" ht="15" customHeight="1" collapsed="1" x14ac:dyDescent="0.3">
      <c r="B112" s="268" t="s">
        <v>32</v>
      </c>
      <c r="C112" s="92"/>
      <c r="D112" s="43"/>
      <c r="E112" s="43"/>
      <c r="F112" s="43"/>
      <c r="G112" s="43"/>
      <c r="H112" s="31"/>
      <c r="I112" s="43"/>
      <c r="J112" s="43"/>
      <c r="K112" s="43"/>
      <c r="L112" s="43"/>
      <c r="M112" s="31"/>
      <c r="N112" s="43"/>
      <c r="O112" s="43"/>
      <c r="P112" s="43"/>
      <c r="Q112" s="43"/>
      <c r="R112" s="31"/>
      <c r="S112" s="43"/>
      <c r="T112" s="43"/>
      <c r="U112" s="43"/>
      <c r="V112" s="43"/>
      <c r="W112" s="31"/>
    </row>
    <row r="113" spans="2:37" s="28" customFormat="1" ht="15" hidden="1" customHeight="1" outlineLevel="1" x14ac:dyDescent="0.45">
      <c r="B113" s="349" t="s">
        <v>33</v>
      </c>
      <c r="C113" s="350"/>
      <c r="D113" s="2"/>
      <c r="E113" s="30"/>
      <c r="F113" s="30"/>
      <c r="G113" s="30"/>
      <c r="H113" s="40"/>
      <c r="I113" s="143">
        <f>(I37+I117)/G37-1</f>
        <v>4.390035382563906E-2</v>
      </c>
      <c r="J113" s="143">
        <f>(J37+J117)/I37-1</f>
        <v>6.503523427129565E-3</v>
      </c>
      <c r="K113" s="143">
        <f>(K37+K117)/J37-1</f>
        <v>4.9004272406789617E-3</v>
      </c>
      <c r="L113" s="143">
        <f>(L37+L117)/K37-1</f>
        <v>4.534789793467775E-3</v>
      </c>
      <c r="M113" s="10"/>
      <c r="N113" s="143">
        <f>(N37+N117)/L37-1</f>
        <v>-4.6291836934990727E-3</v>
      </c>
      <c r="O113" s="32">
        <v>4.0000000000000001E-3</v>
      </c>
      <c r="P113" s="32">
        <v>4.0000000000000001E-3</v>
      </c>
      <c r="Q113" s="32">
        <v>4.0000000000000001E-3</v>
      </c>
      <c r="R113" s="10"/>
      <c r="S113" s="32">
        <f>AVERAGE(Q113,P113)</f>
        <v>4.0000000000000001E-3</v>
      </c>
      <c r="T113" s="32">
        <f t="shared" ref="T113" si="157">AVERAGE(Q113,S113)</f>
        <v>4.0000000000000001E-3</v>
      </c>
      <c r="U113" s="32">
        <f t="shared" ref="U113:U114" si="158">AVERAGE(S113,T113)</f>
        <v>4.0000000000000001E-3</v>
      </c>
      <c r="V113" s="32">
        <f t="shared" ref="V113:V114" si="159">AVERAGE(T113,U113)</f>
        <v>4.0000000000000001E-3</v>
      </c>
      <c r="W113" s="10"/>
    </row>
    <row r="114" spans="2:37" s="28" customFormat="1" ht="15" hidden="1" customHeight="1" outlineLevel="1" x14ac:dyDescent="0.45">
      <c r="B114" s="349" t="s">
        <v>34</v>
      </c>
      <c r="C114" s="350"/>
      <c r="D114" s="2"/>
      <c r="E114" s="30"/>
      <c r="F114" s="30"/>
      <c r="G114" s="30"/>
      <c r="H114" s="40"/>
      <c r="I114" s="143">
        <f>(I38+I117)/G38-1</f>
        <v>2.7779348338938803E-3</v>
      </c>
      <c r="J114" s="143">
        <f>(J38+J117)/I38-1</f>
        <v>2.1350888593443251E-3</v>
      </c>
      <c r="K114" s="143">
        <f>(K38+K117)/J38-1</f>
        <v>1.8839299866404424E-3</v>
      </c>
      <c r="L114" s="143">
        <f>(L38+L117)/K38-1</f>
        <v>7.4028256639468992E-4</v>
      </c>
      <c r="M114" s="10"/>
      <c r="N114" s="143">
        <f>(N38+N117)/L38-1</f>
        <v>-6.9859127687001976E-3</v>
      </c>
      <c r="O114" s="32">
        <v>2E-3</v>
      </c>
      <c r="P114" s="32">
        <v>2E-3</v>
      </c>
      <c r="Q114" s="32">
        <v>2E-3</v>
      </c>
      <c r="R114" s="10"/>
      <c r="S114" s="32">
        <f>AVERAGE(Q114,P114)</f>
        <v>2E-3</v>
      </c>
      <c r="T114" s="32">
        <f>AVERAGE(Q114,S114)</f>
        <v>2E-3</v>
      </c>
      <c r="U114" s="32">
        <f t="shared" si="158"/>
        <v>2E-3</v>
      </c>
      <c r="V114" s="32">
        <f t="shared" si="159"/>
        <v>2E-3</v>
      </c>
      <c r="W114" s="10"/>
    </row>
    <row r="115" spans="2:37" s="75" customFormat="1" ht="15" hidden="1" customHeight="1" outlineLevel="1" x14ac:dyDescent="0.45">
      <c r="B115" s="349" t="s">
        <v>35</v>
      </c>
      <c r="C115" s="350"/>
      <c r="D115" s="291"/>
      <c r="E115" s="292"/>
      <c r="F115" s="292"/>
      <c r="G115" s="292"/>
      <c r="H115" s="293"/>
      <c r="I115" s="82">
        <v>164.54</v>
      </c>
      <c r="J115" s="82">
        <v>166</v>
      </c>
      <c r="K115" s="82">
        <v>175</v>
      </c>
      <c r="L115" s="82">
        <v>140.66999999999999</v>
      </c>
      <c r="M115" s="293"/>
      <c r="N115" s="82">
        <v>123.77</v>
      </c>
      <c r="O115" s="190">
        <v>125</v>
      </c>
      <c r="P115" s="190">
        <v>125</v>
      </c>
      <c r="Q115" s="190">
        <v>125</v>
      </c>
      <c r="R115" s="293"/>
      <c r="S115" s="190">
        <v>125</v>
      </c>
      <c r="T115" s="190">
        <v>125</v>
      </c>
      <c r="U115" s="190">
        <v>125</v>
      </c>
      <c r="V115" s="190">
        <v>125</v>
      </c>
      <c r="W115" s="293"/>
      <c r="X115" s="16"/>
    </row>
    <row r="116" spans="2:37" s="75" customFormat="1" ht="15" hidden="1" customHeight="1" outlineLevel="1" x14ac:dyDescent="0.45">
      <c r="B116" s="349" t="s">
        <v>240</v>
      </c>
      <c r="C116" s="350"/>
      <c r="D116" s="131"/>
      <c r="E116" s="2"/>
      <c r="F116" s="2"/>
      <c r="G116" s="2"/>
      <c r="H116" s="10"/>
      <c r="I116" s="43">
        <v>10300</v>
      </c>
      <c r="J116" s="41">
        <f>11700-I116</f>
        <v>1400</v>
      </c>
      <c r="K116" s="43">
        <f>21300-J116-I116</f>
        <v>9600</v>
      </c>
      <c r="L116" s="43">
        <v>40252.720500000003</v>
      </c>
      <c r="M116" s="31"/>
      <c r="N116" s="43">
        <v>134.4</v>
      </c>
      <c r="O116" s="132">
        <v>100</v>
      </c>
      <c r="P116" s="132">
        <v>100</v>
      </c>
      <c r="Q116" s="132">
        <v>100</v>
      </c>
      <c r="R116" s="31"/>
      <c r="S116" s="132">
        <v>100</v>
      </c>
      <c r="T116" s="132">
        <v>100</v>
      </c>
      <c r="U116" s="132">
        <v>100</v>
      </c>
      <c r="V116" s="132">
        <v>100</v>
      </c>
      <c r="W116" s="31"/>
      <c r="X116" s="16"/>
    </row>
    <row r="117" spans="2:37" s="75" customFormat="1" ht="15" hidden="1" customHeight="1" outlineLevel="1" x14ac:dyDescent="0.45">
      <c r="B117" s="353" t="s">
        <v>239</v>
      </c>
      <c r="C117" s="354"/>
      <c r="D117" s="289">
        <f>IF((D116)&gt;0,(D116/D115),0)</f>
        <v>0</v>
      </c>
      <c r="E117" s="289">
        <f t="shared" ref="E117:G117" si="160">IF((E116)&gt;0,(E116/E115),0)</f>
        <v>0</v>
      </c>
      <c r="F117" s="289">
        <f t="shared" si="160"/>
        <v>0</v>
      </c>
      <c r="G117" s="289">
        <f t="shared" si="160"/>
        <v>0</v>
      </c>
      <c r="H117" s="130"/>
      <c r="I117" s="289">
        <f>IF((I116)&gt;0,(I116/I115),0)</f>
        <v>62.598760179895471</v>
      </c>
      <c r="J117" s="289">
        <f t="shared" ref="J117" si="161">IF((J116)&gt;0,(J116/J115),0)</f>
        <v>8.4337349397590362</v>
      </c>
      <c r="K117" s="289">
        <f t="shared" ref="K117" si="162">IF((K116)&gt;0,(K116/K115),0)</f>
        <v>54.857142857142854</v>
      </c>
      <c r="L117" s="289">
        <f>IF((L116)&gt;0,(L116/L115),0)</f>
        <v>286.15000000000003</v>
      </c>
      <c r="M117" s="290"/>
      <c r="N117" s="289">
        <f>IF((N116)&gt;0,(N116/N115),0)</f>
        <v>1.0858851094772564</v>
      </c>
      <c r="O117" s="289">
        <f t="shared" ref="O117" si="163">IF((O116)&gt;0,(O116/O115),0)</f>
        <v>0.8</v>
      </c>
      <c r="P117" s="289">
        <f t="shared" ref="P117" si="164">IF((P116)&gt;0,(P116/P115),0)</f>
        <v>0.8</v>
      </c>
      <c r="Q117" s="289">
        <f t="shared" ref="Q117" si="165">IF((Q116)&gt;0,(Q116/Q115),0)</f>
        <v>0.8</v>
      </c>
      <c r="R117" s="290"/>
      <c r="S117" s="289">
        <f>IF((S116)&gt;0,(S116/S115),0)</f>
        <v>0.8</v>
      </c>
      <c r="T117" s="289">
        <f t="shared" ref="T117" si="166">IF((T116)&gt;0,(T116/T115),0)</f>
        <v>0.8</v>
      </c>
      <c r="U117" s="289">
        <f t="shared" ref="U117" si="167">IF((U116)&gt;0,(U116/U115),0)</f>
        <v>0.8</v>
      </c>
      <c r="V117" s="289">
        <f t="shared" ref="V117" si="168">IF((V116)&gt;0,(V116/V115),0)</f>
        <v>0.8</v>
      </c>
      <c r="W117" s="290"/>
      <c r="X117" s="16"/>
    </row>
    <row r="118" spans="2:37" s="60" customFormat="1" ht="15" customHeight="1" collapsed="1" x14ac:dyDescent="0.3">
      <c r="B118" s="23"/>
      <c r="C118" s="120"/>
      <c r="D118" s="43"/>
      <c r="E118" s="43"/>
      <c r="F118" s="43"/>
      <c r="G118" s="43"/>
      <c r="H118" s="43"/>
      <c r="I118" s="43"/>
      <c r="J118" s="43"/>
      <c r="K118" s="43"/>
      <c r="L118" s="43"/>
      <c r="M118" s="43"/>
      <c r="N118" s="43"/>
      <c r="O118" s="43"/>
      <c r="P118" s="43"/>
      <c r="Q118" s="43"/>
      <c r="R118" s="43"/>
      <c r="S118" s="43"/>
      <c r="T118" s="43"/>
      <c r="U118" s="43"/>
      <c r="V118" s="43"/>
      <c r="W118" s="43"/>
      <c r="X118" s="85"/>
    </row>
    <row r="119" spans="2:37" s="60" customFormat="1" ht="15.6" x14ac:dyDescent="0.3">
      <c r="B119" s="345" t="s">
        <v>76</v>
      </c>
      <c r="C119" s="346"/>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row>
    <row r="120" spans="2:37" s="60" customFormat="1" hidden="1" outlineLevel="1" x14ac:dyDescent="0.3">
      <c r="B120" s="355" t="s">
        <v>0</v>
      </c>
      <c r="C120" s="356"/>
      <c r="D120" s="63" t="s">
        <v>5</v>
      </c>
      <c r="E120" s="63" t="s">
        <v>4</v>
      </c>
      <c r="F120" s="63" t="s">
        <v>3</v>
      </c>
      <c r="G120" s="63" t="s">
        <v>6</v>
      </c>
      <c r="H120" s="63" t="s">
        <v>6</v>
      </c>
      <c r="I120" s="63" t="s">
        <v>7</v>
      </c>
      <c r="J120" s="63" t="s">
        <v>8</v>
      </c>
      <c r="K120" s="63" t="s">
        <v>9</v>
      </c>
      <c r="L120" s="63" t="s">
        <v>11</v>
      </c>
      <c r="M120" s="63" t="s">
        <v>11</v>
      </c>
      <c r="N120" s="63" t="s">
        <v>12</v>
      </c>
    </row>
    <row r="121" spans="2:37" s="60" customFormat="1" ht="16.2" hidden="1" outlineLevel="1" x14ac:dyDescent="0.45">
      <c r="B121" s="355"/>
      <c r="C121" s="356"/>
      <c r="D121" s="64" t="s">
        <v>36</v>
      </c>
      <c r="E121" s="64" t="s">
        <v>37</v>
      </c>
      <c r="F121" s="64" t="s">
        <v>38</v>
      </c>
      <c r="G121" s="64" t="s">
        <v>39</v>
      </c>
      <c r="H121" s="64" t="s">
        <v>26</v>
      </c>
      <c r="I121" s="64" t="s">
        <v>40</v>
      </c>
      <c r="J121" s="64" t="s">
        <v>41</v>
      </c>
      <c r="K121" s="64" t="s">
        <v>49</v>
      </c>
      <c r="L121" s="64" t="s">
        <v>65</v>
      </c>
      <c r="M121" s="64" t="s">
        <v>66</v>
      </c>
      <c r="N121" s="64" t="s">
        <v>117</v>
      </c>
    </row>
    <row r="122" spans="2:37" s="60" customFormat="1" hidden="1" outlineLevel="1" x14ac:dyDescent="0.3">
      <c r="B122" s="357" t="s">
        <v>77</v>
      </c>
      <c r="C122" s="358"/>
      <c r="D122" s="160"/>
      <c r="E122" s="161"/>
      <c r="F122" s="161"/>
      <c r="G122" s="162"/>
      <c r="H122" s="122"/>
      <c r="I122" s="123"/>
      <c r="J122" s="124"/>
      <c r="K122" s="125"/>
      <c r="L122" s="125"/>
      <c r="M122" s="126"/>
      <c r="N122" s="298"/>
    </row>
    <row r="123" spans="2:37" s="60" customFormat="1" hidden="1" outlineLevel="1" x14ac:dyDescent="0.3">
      <c r="B123" s="349" t="s">
        <v>78</v>
      </c>
      <c r="C123" s="350"/>
      <c r="D123" s="233">
        <v>245874</v>
      </c>
      <c r="E123" s="131">
        <v>268255</v>
      </c>
      <c r="F123" s="131">
        <v>575040</v>
      </c>
      <c r="G123" s="131">
        <v>684042</v>
      </c>
      <c r="H123" s="235">
        <f>G123</f>
        <v>684042</v>
      </c>
      <c r="I123" s="212">
        <v>782603</v>
      </c>
      <c r="J123" s="212">
        <v>921643</v>
      </c>
      <c r="K123" s="299">
        <v>998859</v>
      </c>
      <c r="L123" s="212">
        <v>988785</v>
      </c>
      <c r="M123" s="235">
        <f>L123</f>
        <v>988785</v>
      </c>
      <c r="N123" s="301">
        <v>979780</v>
      </c>
    </row>
    <row r="124" spans="2:37" s="60" customFormat="1" hidden="1" outlineLevel="1" x14ac:dyDescent="0.3">
      <c r="B124" s="349" t="s">
        <v>105</v>
      </c>
      <c r="C124" s="350"/>
      <c r="D124" s="233">
        <v>5502</v>
      </c>
      <c r="E124" s="131">
        <v>0</v>
      </c>
      <c r="F124" s="131">
        <v>0</v>
      </c>
      <c r="G124" s="131">
        <v>0</v>
      </c>
      <c r="H124" s="235">
        <f t="shared" ref="H124:H130" si="169">G124</f>
        <v>0</v>
      </c>
      <c r="I124" s="212">
        <v>0</v>
      </c>
      <c r="J124" s="212">
        <v>0</v>
      </c>
      <c r="K124" s="212">
        <v>0</v>
      </c>
      <c r="L124" s="212">
        <v>0</v>
      </c>
      <c r="M124" s="235">
        <f t="shared" ref="M124:M130" si="170">L124</f>
        <v>0</v>
      </c>
      <c r="N124" s="301">
        <v>764</v>
      </c>
    </row>
    <row r="125" spans="2:37" s="60" customFormat="1" hidden="1" outlineLevel="1" x14ac:dyDescent="0.3">
      <c r="B125" s="349" t="s">
        <v>79</v>
      </c>
      <c r="C125" s="350"/>
      <c r="D125" s="233">
        <v>154986</v>
      </c>
      <c r="E125" s="131">
        <v>160775</v>
      </c>
      <c r="F125" s="131">
        <v>187604</v>
      </c>
      <c r="G125" s="131">
        <v>186371</v>
      </c>
      <c r="H125" s="235">
        <f t="shared" si="169"/>
        <v>186371</v>
      </c>
      <c r="I125" s="212">
        <v>189682</v>
      </c>
      <c r="J125" s="212">
        <v>193647</v>
      </c>
      <c r="K125" s="212">
        <v>195816</v>
      </c>
      <c r="L125" s="212">
        <v>209685</v>
      </c>
      <c r="M125" s="235">
        <f t="shared" si="170"/>
        <v>209685</v>
      </c>
      <c r="N125" s="301">
        <v>223802</v>
      </c>
      <c r="O125" s="158"/>
    </row>
    <row r="126" spans="2:37" s="60" customFormat="1" hidden="1" outlineLevel="1" x14ac:dyDescent="0.3">
      <c r="B126" s="145" t="s">
        <v>129</v>
      </c>
      <c r="C126" s="146"/>
      <c r="D126" s="233">
        <v>36988</v>
      </c>
      <c r="E126" s="131">
        <v>33098</v>
      </c>
      <c r="F126" s="131">
        <v>37612</v>
      </c>
      <c r="G126" s="131">
        <v>30037</v>
      </c>
      <c r="H126" s="235">
        <f t="shared" si="169"/>
        <v>30037</v>
      </c>
      <c r="I126" s="212">
        <v>30692</v>
      </c>
      <c r="J126" s="212">
        <v>30781</v>
      </c>
      <c r="K126" s="212">
        <v>30018</v>
      </c>
      <c r="L126" s="212">
        <v>19451</v>
      </c>
      <c r="M126" s="235">
        <f t="shared" si="170"/>
        <v>19451</v>
      </c>
      <c r="N126" s="301">
        <v>25369</v>
      </c>
    </row>
    <row r="127" spans="2:37" s="60" customFormat="1" hidden="1" outlineLevel="1" x14ac:dyDescent="0.3">
      <c r="B127" s="349" t="s">
        <v>131</v>
      </c>
      <c r="C127" s="350"/>
      <c r="D127" s="233">
        <v>14335</v>
      </c>
      <c r="E127" s="131">
        <v>28447</v>
      </c>
      <c r="F127" s="131">
        <v>24206</v>
      </c>
      <c r="G127" s="131">
        <v>12800</v>
      </c>
      <c r="H127" s="235">
        <f t="shared" si="169"/>
        <v>12800</v>
      </c>
      <c r="I127" s="212">
        <v>27614</v>
      </c>
      <c r="J127" s="212">
        <v>26250</v>
      </c>
      <c r="K127" s="212">
        <v>21275</v>
      </c>
      <c r="L127" s="212">
        <v>20699</v>
      </c>
      <c r="M127" s="235">
        <f t="shared" si="170"/>
        <v>20699</v>
      </c>
      <c r="N127" s="301">
        <v>18472</v>
      </c>
    </row>
    <row r="128" spans="2:37" s="60" customFormat="1" hidden="1" outlineLevel="1" x14ac:dyDescent="0.3">
      <c r="B128" s="145" t="s">
        <v>132</v>
      </c>
      <c r="C128" s="146"/>
      <c r="D128" s="131">
        <v>35888</v>
      </c>
      <c r="E128" s="131">
        <v>35869</v>
      </c>
      <c r="F128" s="131">
        <v>35696</v>
      </c>
      <c r="G128" s="131">
        <v>48440</v>
      </c>
      <c r="H128" s="235">
        <f t="shared" si="169"/>
        <v>48440</v>
      </c>
      <c r="I128" s="212">
        <v>50822</v>
      </c>
      <c r="J128" s="212">
        <v>50604</v>
      </c>
      <c r="K128" s="212">
        <v>50006</v>
      </c>
      <c r="L128" s="212">
        <v>0</v>
      </c>
      <c r="M128" s="235">
        <f t="shared" si="170"/>
        <v>0</v>
      </c>
      <c r="N128" s="301">
        <v>0</v>
      </c>
    </row>
    <row r="129" spans="2:14" s="60" customFormat="1" hidden="1" outlineLevel="1" x14ac:dyDescent="0.3">
      <c r="B129" s="145" t="s">
        <v>130</v>
      </c>
      <c r="C129" s="146"/>
      <c r="D129" s="131">
        <v>23747</v>
      </c>
      <c r="E129" s="131">
        <v>18468</v>
      </c>
      <c r="F129" s="131">
        <v>18362</v>
      </c>
      <c r="G129" s="131">
        <v>21322</v>
      </c>
      <c r="H129" s="235">
        <f t="shared" si="169"/>
        <v>21322</v>
      </c>
      <c r="I129" s="212">
        <v>21522</v>
      </c>
      <c r="J129" s="212">
        <v>21985</v>
      </c>
      <c r="K129" s="212">
        <v>18969</v>
      </c>
      <c r="L129" s="212">
        <v>19047</v>
      </c>
      <c r="M129" s="235">
        <f t="shared" si="170"/>
        <v>19047</v>
      </c>
      <c r="N129" s="301">
        <v>22431</v>
      </c>
    </row>
    <row r="130" spans="2:14" s="60" customFormat="1" ht="16.2" hidden="1" outlineLevel="1" x14ac:dyDescent="0.45">
      <c r="B130" s="145" t="s">
        <v>143</v>
      </c>
      <c r="C130" s="146"/>
      <c r="D130" s="214">
        <v>0</v>
      </c>
      <c r="E130" s="214">
        <v>0</v>
      </c>
      <c r="F130" s="214">
        <v>0</v>
      </c>
      <c r="G130" s="214">
        <v>32833</v>
      </c>
      <c r="H130" s="216">
        <f t="shared" si="169"/>
        <v>32833</v>
      </c>
      <c r="I130" s="217">
        <v>0</v>
      </c>
      <c r="J130" s="217">
        <v>0</v>
      </c>
      <c r="K130" s="217">
        <v>0</v>
      </c>
      <c r="L130" s="217">
        <v>0</v>
      </c>
      <c r="M130" s="216">
        <f t="shared" si="170"/>
        <v>0</v>
      </c>
      <c r="N130" s="315">
        <v>0</v>
      </c>
    </row>
    <row r="131" spans="2:14" s="60" customFormat="1" hidden="1" outlineLevel="1" x14ac:dyDescent="0.3">
      <c r="B131" s="335" t="s">
        <v>80</v>
      </c>
      <c r="C131" s="336"/>
      <c r="D131" s="218">
        <f>SUM(D123:D130)</f>
        <v>517320</v>
      </c>
      <c r="E131" s="218">
        <f t="shared" ref="E131:N131" si="171">SUM(E123:E130)</f>
        <v>544912</v>
      </c>
      <c r="F131" s="218">
        <f t="shared" si="171"/>
        <v>878520</v>
      </c>
      <c r="G131" s="218">
        <f t="shared" si="171"/>
        <v>1015845</v>
      </c>
      <c r="H131" s="219">
        <f t="shared" si="171"/>
        <v>1015845</v>
      </c>
      <c r="I131" s="221">
        <f t="shared" si="171"/>
        <v>1102935</v>
      </c>
      <c r="J131" s="221">
        <f t="shared" si="171"/>
        <v>1244910</v>
      </c>
      <c r="K131" s="221">
        <f t="shared" si="171"/>
        <v>1314943</v>
      </c>
      <c r="L131" s="221">
        <f t="shared" si="171"/>
        <v>1257667</v>
      </c>
      <c r="M131" s="219">
        <f t="shared" ref="M131" si="172">SUM(M123:M130)</f>
        <v>1257667</v>
      </c>
      <c r="N131" s="303">
        <f t="shared" si="171"/>
        <v>1270618</v>
      </c>
    </row>
    <row r="132" spans="2:14" s="60" customFormat="1" hidden="1" outlineLevel="1" x14ac:dyDescent="0.3">
      <c r="B132" s="349" t="s">
        <v>81</v>
      </c>
      <c r="C132" s="350"/>
      <c r="D132" s="233">
        <v>30048</v>
      </c>
      <c r="E132" s="131">
        <v>38462</v>
      </c>
      <c r="F132" s="131">
        <v>44205</v>
      </c>
      <c r="G132" s="131">
        <v>58363</v>
      </c>
      <c r="H132" s="235">
        <f t="shared" ref="H132:H137" si="173">G132</f>
        <v>58363</v>
      </c>
      <c r="I132" s="212">
        <v>71283</v>
      </c>
      <c r="J132" s="212">
        <v>80428</v>
      </c>
      <c r="K132" s="212">
        <v>83452</v>
      </c>
      <c r="L132" s="212">
        <v>85572</v>
      </c>
      <c r="M132" s="235">
        <f t="shared" ref="M132:M137" si="174">L132</f>
        <v>85572</v>
      </c>
      <c r="N132" s="301">
        <v>86788</v>
      </c>
    </row>
    <row r="133" spans="2:14" s="60" customFormat="1" hidden="1" outlineLevel="1" x14ac:dyDescent="0.3">
      <c r="B133" s="114" t="s">
        <v>106</v>
      </c>
      <c r="C133" s="115"/>
      <c r="D133" s="233">
        <v>1755861</v>
      </c>
      <c r="E133" s="131">
        <v>1680004</v>
      </c>
      <c r="F133" s="131">
        <v>1550624</v>
      </c>
      <c r="G133" s="131">
        <v>1437435</v>
      </c>
      <c r="H133" s="235">
        <f t="shared" si="173"/>
        <v>1437435</v>
      </c>
      <c r="I133" s="212">
        <v>1284308</v>
      </c>
      <c r="J133" s="212">
        <v>1282955</v>
      </c>
      <c r="K133" s="212">
        <v>1270777</v>
      </c>
      <c r="L133" s="212">
        <v>1185606</v>
      </c>
      <c r="M133" s="235">
        <f t="shared" si="174"/>
        <v>1185606</v>
      </c>
      <c r="N133" s="301">
        <v>1348160</v>
      </c>
    </row>
    <row r="134" spans="2:14" s="60" customFormat="1" hidden="1" outlineLevel="1" x14ac:dyDescent="0.3">
      <c r="B134" s="133" t="s">
        <v>107</v>
      </c>
      <c r="C134" s="134"/>
      <c r="D134" s="233">
        <v>763763</v>
      </c>
      <c r="E134" s="131">
        <v>760314</v>
      </c>
      <c r="F134" s="131">
        <v>724388</v>
      </c>
      <c r="G134" s="131">
        <v>702713</v>
      </c>
      <c r="H134" s="235">
        <f t="shared" si="173"/>
        <v>702713</v>
      </c>
      <c r="I134" s="212">
        <v>654470</v>
      </c>
      <c r="J134" s="212">
        <v>664015</v>
      </c>
      <c r="K134" s="212">
        <v>669029</v>
      </c>
      <c r="L134" s="212">
        <v>657139</v>
      </c>
      <c r="M134" s="235">
        <f t="shared" si="174"/>
        <v>657139</v>
      </c>
      <c r="N134" s="301">
        <v>670991</v>
      </c>
    </row>
    <row r="135" spans="2:14" s="60" customFormat="1" hidden="1" outlineLevel="1" x14ac:dyDescent="0.3">
      <c r="B135" s="145" t="s">
        <v>132</v>
      </c>
      <c r="C135" s="146"/>
      <c r="D135" s="233">
        <v>94250</v>
      </c>
      <c r="E135" s="131">
        <v>96495</v>
      </c>
      <c r="F135" s="131">
        <v>101249</v>
      </c>
      <c r="G135" s="131">
        <v>75494</v>
      </c>
      <c r="H135" s="235">
        <f t="shared" si="173"/>
        <v>75494</v>
      </c>
      <c r="I135" s="212">
        <v>74185</v>
      </c>
      <c r="J135" s="212">
        <v>73280</v>
      </c>
      <c r="K135" s="212">
        <v>76391</v>
      </c>
      <c r="L135" s="212">
        <v>122863</v>
      </c>
      <c r="M135" s="235">
        <f t="shared" si="174"/>
        <v>122863</v>
      </c>
      <c r="N135" s="301">
        <v>122036</v>
      </c>
    </row>
    <row r="136" spans="2:14" s="60" customFormat="1" hidden="1" outlineLevel="1" x14ac:dyDescent="0.3">
      <c r="B136" s="145" t="s">
        <v>133</v>
      </c>
      <c r="C136" s="146"/>
      <c r="D136" s="233">
        <v>25896</v>
      </c>
      <c r="E136" s="131">
        <v>24427</v>
      </c>
      <c r="F136" s="131">
        <v>35068</v>
      </c>
      <c r="G136" s="131">
        <v>33174</v>
      </c>
      <c r="H136" s="235">
        <f t="shared" si="173"/>
        <v>33174</v>
      </c>
      <c r="I136" s="212">
        <v>31223</v>
      </c>
      <c r="J136" s="212">
        <v>25188</v>
      </c>
      <c r="K136" s="212">
        <v>24315</v>
      </c>
      <c r="L136" s="212">
        <v>7209</v>
      </c>
      <c r="M136" s="235">
        <f t="shared" si="174"/>
        <v>7209</v>
      </c>
      <c r="N136" s="301">
        <v>6843</v>
      </c>
    </row>
    <row r="137" spans="2:14" s="60" customFormat="1" ht="16.2" hidden="1" outlineLevel="1" x14ac:dyDescent="0.45">
      <c r="B137" s="349" t="s">
        <v>144</v>
      </c>
      <c r="C137" s="350"/>
      <c r="D137" s="213">
        <v>9296</v>
      </c>
      <c r="E137" s="214">
        <v>11135</v>
      </c>
      <c r="F137" s="214">
        <v>13482</v>
      </c>
      <c r="G137" s="214">
        <v>15931</v>
      </c>
      <c r="H137" s="216">
        <f t="shared" si="173"/>
        <v>15931</v>
      </c>
      <c r="I137" s="217">
        <v>19189</v>
      </c>
      <c r="J137" s="217">
        <v>22498</v>
      </c>
      <c r="K137" s="217">
        <v>25393</v>
      </c>
      <c r="L137" s="217">
        <v>27548</v>
      </c>
      <c r="M137" s="216">
        <f t="shared" si="174"/>
        <v>27548</v>
      </c>
      <c r="N137" s="315">
        <v>29543</v>
      </c>
    </row>
    <row r="138" spans="2:14" s="60" customFormat="1" hidden="1" outlineLevel="1" x14ac:dyDescent="0.3">
      <c r="B138" s="335" t="s">
        <v>82</v>
      </c>
      <c r="C138" s="336"/>
      <c r="D138" s="218">
        <f t="shared" ref="D138:I138" si="175">SUM(D131:D137)</f>
        <v>3196434</v>
      </c>
      <c r="E138" s="218">
        <f t="shared" si="175"/>
        <v>3155749</v>
      </c>
      <c r="F138" s="218">
        <f t="shared" si="175"/>
        <v>3347536</v>
      </c>
      <c r="G138" s="218">
        <f>SUM(G131:G137)</f>
        <v>3338955</v>
      </c>
      <c r="H138" s="219">
        <f>SUM(H131:H137)</f>
        <v>3338955</v>
      </c>
      <c r="I138" s="221">
        <f t="shared" si="175"/>
        <v>3237593</v>
      </c>
      <c r="J138" s="221">
        <f t="shared" ref="J138:L138" si="176">SUM(J131:J137)</f>
        <v>3393274</v>
      </c>
      <c r="K138" s="221">
        <f t="shared" si="176"/>
        <v>3464300</v>
      </c>
      <c r="L138" s="221">
        <f t="shared" si="176"/>
        <v>3343604</v>
      </c>
      <c r="M138" s="219">
        <f>SUM(M131:M137)</f>
        <v>3343604</v>
      </c>
      <c r="N138" s="303">
        <f>N131+SUM(N132:N137)</f>
        <v>3534979</v>
      </c>
    </row>
    <row r="139" spans="2:14" s="60" customFormat="1" ht="6" hidden="1" customHeight="1" outlineLevel="1" x14ac:dyDescent="0.3">
      <c r="B139" s="359"/>
      <c r="C139" s="360"/>
      <c r="D139" s="233"/>
      <c r="E139" s="131"/>
      <c r="F139" s="131"/>
      <c r="G139" s="131"/>
      <c r="H139" s="235"/>
      <c r="I139" s="212"/>
      <c r="J139" s="212"/>
      <c r="K139" s="212"/>
      <c r="L139" s="212"/>
      <c r="M139" s="235"/>
      <c r="N139" s="301"/>
    </row>
    <row r="140" spans="2:14" s="60" customFormat="1" hidden="1" outlineLevel="1" x14ac:dyDescent="0.3">
      <c r="B140" s="357" t="s">
        <v>83</v>
      </c>
      <c r="C140" s="358"/>
      <c r="D140" s="233"/>
      <c r="E140" s="131"/>
      <c r="F140" s="131"/>
      <c r="G140" s="131"/>
      <c r="H140" s="235"/>
      <c r="I140" s="212"/>
      <c r="J140" s="212"/>
      <c r="K140" s="212"/>
      <c r="L140" s="212"/>
      <c r="M140" s="235"/>
      <c r="N140" s="301"/>
    </row>
    <row r="141" spans="2:14" s="60" customFormat="1" hidden="1" outlineLevel="1" x14ac:dyDescent="0.3">
      <c r="B141" s="349" t="s">
        <v>84</v>
      </c>
      <c r="C141" s="350"/>
      <c r="D141" s="208">
        <v>72538</v>
      </c>
      <c r="E141" s="209">
        <v>32555</v>
      </c>
      <c r="F141" s="209">
        <v>29671</v>
      </c>
      <c r="G141" s="209">
        <v>25126</v>
      </c>
      <c r="H141" s="211">
        <f t="shared" ref="H141:H146" si="177">G141</f>
        <v>25126</v>
      </c>
      <c r="I141" s="212">
        <v>27317</v>
      </c>
      <c r="J141" s="212">
        <v>26409</v>
      </c>
      <c r="K141" s="212">
        <v>29124</v>
      </c>
      <c r="L141" s="212">
        <v>21807</v>
      </c>
      <c r="M141" s="211">
        <f t="shared" ref="M141:M146" si="178">L141</f>
        <v>21807</v>
      </c>
      <c r="N141" s="301">
        <v>32622</v>
      </c>
    </row>
    <row r="142" spans="2:14" s="60" customFormat="1" hidden="1" outlineLevel="1" x14ac:dyDescent="0.3">
      <c r="B142" s="361" t="s">
        <v>108</v>
      </c>
      <c r="C142" s="362"/>
      <c r="D142" s="208">
        <v>147737</v>
      </c>
      <c r="E142" s="209">
        <v>142843</v>
      </c>
      <c r="F142" s="209">
        <v>161476</v>
      </c>
      <c r="G142" s="209">
        <v>164091</v>
      </c>
      <c r="H142" s="211">
        <f t="shared" si="177"/>
        <v>164091</v>
      </c>
      <c r="I142" s="212">
        <v>146975</v>
      </c>
      <c r="J142" s="212">
        <v>146053</v>
      </c>
      <c r="K142" s="212">
        <v>166375</v>
      </c>
      <c r="L142" s="212">
        <v>164070</v>
      </c>
      <c r="M142" s="211">
        <f t="shared" si="178"/>
        <v>164070</v>
      </c>
      <c r="N142" s="301">
        <v>307504</v>
      </c>
    </row>
    <row r="143" spans="2:14" s="60" customFormat="1" hidden="1" outlineLevel="1" x14ac:dyDescent="0.3">
      <c r="B143" s="147" t="s">
        <v>134</v>
      </c>
      <c r="C143" s="148"/>
      <c r="D143" s="208">
        <v>9513</v>
      </c>
      <c r="E143" s="209">
        <v>9473</v>
      </c>
      <c r="F143" s="209">
        <v>9444</v>
      </c>
      <c r="G143" s="209">
        <v>9428</v>
      </c>
      <c r="H143" s="211">
        <f t="shared" si="177"/>
        <v>9428</v>
      </c>
      <c r="I143" s="212">
        <v>9388</v>
      </c>
      <c r="J143" s="212">
        <v>28478</v>
      </c>
      <c r="K143" s="212">
        <v>117589</v>
      </c>
      <c r="L143" s="212">
        <v>37587</v>
      </c>
      <c r="M143" s="211">
        <f t="shared" si="178"/>
        <v>37587</v>
      </c>
      <c r="N143" s="301">
        <v>37592</v>
      </c>
    </row>
    <row r="144" spans="2:14" s="60" customFormat="1" hidden="1" outlineLevel="1" x14ac:dyDescent="0.3">
      <c r="B144" s="147" t="s">
        <v>135</v>
      </c>
      <c r="C144" s="148"/>
      <c r="D144" s="208">
        <v>824</v>
      </c>
      <c r="E144" s="209">
        <v>5500</v>
      </c>
      <c r="F144" s="209">
        <v>15755</v>
      </c>
      <c r="G144" s="209">
        <v>7588</v>
      </c>
      <c r="H144" s="211">
        <f t="shared" si="177"/>
        <v>7588</v>
      </c>
      <c r="I144" s="212">
        <v>26334</v>
      </c>
      <c r="J144" s="212">
        <v>13456</v>
      </c>
      <c r="K144" s="212">
        <v>16357</v>
      </c>
      <c r="L144" s="212">
        <v>1808</v>
      </c>
      <c r="M144" s="211">
        <f t="shared" si="178"/>
        <v>1808</v>
      </c>
      <c r="N144" s="301">
        <v>19735</v>
      </c>
    </row>
    <row r="145" spans="2:14" s="60" customFormat="1" hidden="1" outlineLevel="1" x14ac:dyDescent="0.3">
      <c r="B145" s="147" t="s">
        <v>145</v>
      </c>
      <c r="C145" s="148"/>
      <c r="D145" s="209">
        <v>6259</v>
      </c>
      <c r="E145" s="209">
        <v>6259</v>
      </c>
      <c r="F145" s="209">
        <v>6259</v>
      </c>
      <c r="G145" s="209">
        <v>9430</v>
      </c>
      <c r="H145" s="211">
        <f t="shared" si="177"/>
        <v>9430</v>
      </c>
      <c r="I145" s="212">
        <v>9430</v>
      </c>
      <c r="J145" s="212">
        <v>9438</v>
      </c>
      <c r="K145" s="212">
        <v>9417</v>
      </c>
      <c r="L145" s="212">
        <v>0</v>
      </c>
      <c r="M145" s="211">
        <f t="shared" si="178"/>
        <v>0</v>
      </c>
      <c r="N145" s="301">
        <v>0</v>
      </c>
    </row>
    <row r="146" spans="2:14" s="60" customFormat="1" ht="16.2" hidden="1" outlineLevel="1" x14ac:dyDescent="0.45">
      <c r="B146" s="147" t="s">
        <v>137</v>
      </c>
      <c r="C146" s="148"/>
      <c r="D146" s="214">
        <v>1138</v>
      </c>
      <c r="E146" s="214">
        <v>1138</v>
      </c>
      <c r="F146" s="214">
        <v>1138</v>
      </c>
      <c r="G146" s="214">
        <v>1138</v>
      </c>
      <c r="H146" s="216">
        <f t="shared" si="177"/>
        <v>1138</v>
      </c>
      <c r="I146" s="217">
        <v>1138</v>
      </c>
      <c r="J146" s="217">
        <v>1330</v>
      </c>
      <c r="K146" s="217">
        <v>1330</v>
      </c>
      <c r="L146" s="217">
        <v>1370</v>
      </c>
      <c r="M146" s="216">
        <f t="shared" si="178"/>
        <v>1370</v>
      </c>
      <c r="N146" s="315">
        <v>1378</v>
      </c>
    </row>
    <row r="147" spans="2:14" s="60" customFormat="1" hidden="1" outlineLevel="1" x14ac:dyDescent="0.3">
      <c r="B147" s="335" t="s">
        <v>85</v>
      </c>
      <c r="C147" s="336"/>
      <c r="D147" s="218">
        <f t="shared" ref="D147:N147" si="179">SUM(D141:D146)</f>
        <v>238009</v>
      </c>
      <c r="E147" s="218">
        <f t="shared" si="179"/>
        <v>197768</v>
      </c>
      <c r="F147" s="218">
        <f t="shared" si="179"/>
        <v>223743</v>
      </c>
      <c r="G147" s="218">
        <f t="shared" si="179"/>
        <v>216801</v>
      </c>
      <c r="H147" s="219">
        <f t="shared" si="179"/>
        <v>216801</v>
      </c>
      <c r="I147" s="221">
        <f t="shared" si="179"/>
        <v>220582</v>
      </c>
      <c r="J147" s="221">
        <f t="shared" si="179"/>
        <v>225164</v>
      </c>
      <c r="K147" s="221">
        <f t="shared" si="179"/>
        <v>340192</v>
      </c>
      <c r="L147" s="221">
        <f t="shared" si="179"/>
        <v>226642</v>
      </c>
      <c r="M147" s="219">
        <f t="shared" ref="M147" si="180">SUM(M141:M146)</f>
        <v>226642</v>
      </c>
      <c r="N147" s="303">
        <f t="shared" si="179"/>
        <v>398831</v>
      </c>
    </row>
    <row r="148" spans="2:14" s="61" customFormat="1" hidden="1" outlineLevel="1" x14ac:dyDescent="0.3">
      <c r="B148" s="116" t="s">
        <v>136</v>
      </c>
      <c r="C148" s="117"/>
      <c r="D148" s="208">
        <v>5433</v>
      </c>
      <c r="E148" s="209">
        <v>5148</v>
      </c>
      <c r="F148" s="209">
        <v>4784</v>
      </c>
      <c r="G148" s="209">
        <v>4499</v>
      </c>
      <c r="H148" s="211">
        <f t="shared" ref="H148:H151" si="181">G148</f>
        <v>4499</v>
      </c>
      <c r="I148" s="212">
        <v>4215</v>
      </c>
      <c r="J148" s="212">
        <v>3930</v>
      </c>
      <c r="K148" s="212">
        <v>3646</v>
      </c>
      <c r="L148" s="212">
        <v>3721</v>
      </c>
      <c r="M148" s="211">
        <f t="shared" ref="M148:M151" si="182">L148</f>
        <v>3721</v>
      </c>
      <c r="N148" s="305">
        <v>3441</v>
      </c>
    </row>
    <row r="149" spans="2:14" s="61" customFormat="1" hidden="1" outlineLevel="1" x14ac:dyDescent="0.3">
      <c r="B149" s="135" t="s">
        <v>138</v>
      </c>
      <c r="C149" s="136"/>
      <c r="D149" s="208">
        <v>1189096</v>
      </c>
      <c r="E149" s="209">
        <v>1186960</v>
      </c>
      <c r="F149" s="209">
        <v>1331340</v>
      </c>
      <c r="G149" s="209">
        <v>1333000</v>
      </c>
      <c r="H149" s="211">
        <f t="shared" si="181"/>
        <v>1333000</v>
      </c>
      <c r="I149" s="212">
        <v>1334661</v>
      </c>
      <c r="J149" s="212">
        <v>1337986</v>
      </c>
      <c r="K149" s="212">
        <v>1172103</v>
      </c>
      <c r="L149" s="212">
        <v>1150857</v>
      </c>
      <c r="M149" s="211">
        <f t="shared" si="182"/>
        <v>1150857</v>
      </c>
      <c r="N149" s="305">
        <v>1146433</v>
      </c>
    </row>
    <row r="150" spans="2:14" s="61" customFormat="1" hidden="1" outlineLevel="1" x14ac:dyDescent="0.3">
      <c r="B150" s="135" t="s">
        <v>139</v>
      </c>
      <c r="C150" s="136"/>
      <c r="D150" s="208">
        <v>471993</v>
      </c>
      <c r="E150" s="209">
        <v>456611</v>
      </c>
      <c r="F150" s="209">
        <v>413460</v>
      </c>
      <c r="G150" s="209">
        <v>375054</v>
      </c>
      <c r="H150" s="211">
        <f t="shared" si="181"/>
        <v>375054</v>
      </c>
      <c r="I150" s="212">
        <v>327683</v>
      </c>
      <c r="J150" s="212">
        <v>326707</v>
      </c>
      <c r="K150" s="212">
        <v>325216</v>
      </c>
      <c r="L150" s="212">
        <v>294485</v>
      </c>
      <c r="M150" s="211">
        <f t="shared" si="182"/>
        <v>294485</v>
      </c>
      <c r="N150" s="305">
        <v>299627</v>
      </c>
    </row>
    <row r="151" spans="2:14" s="60" customFormat="1" ht="15.75" hidden="1" customHeight="1" outlineLevel="1" x14ac:dyDescent="0.45">
      <c r="B151" s="349" t="s">
        <v>86</v>
      </c>
      <c r="C151" s="350"/>
      <c r="D151" s="213">
        <v>25395</v>
      </c>
      <c r="E151" s="214">
        <v>29175</v>
      </c>
      <c r="F151" s="214">
        <v>33596</v>
      </c>
      <c r="G151" s="214">
        <v>38393</v>
      </c>
      <c r="H151" s="216">
        <f t="shared" si="181"/>
        <v>38393</v>
      </c>
      <c r="I151" s="217">
        <v>45122</v>
      </c>
      <c r="J151" s="217">
        <v>52664</v>
      </c>
      <c r="K151" s="217">
        <v>59666</v>
      </c>
      <c r="L151" s="217">
        <v>69253</v>
      </c>
      <c r="M151" s="216">
        <f t="shared" si="182"/>
        <v>69253</v>
      </c>
      <c r="N151" s="315">
        <v>79207</v>
      </c>
    </row>
    <row r="152" spans="2:14" s="60" customFormat="1" hidden="1" outlineLevel="1" x14ac:dyDescent="0.3">
      <c r="B152" s="335" t="s">
        <v>87</v>
      </c>
      <c r="C152" s="336"/>
      <c r="D152" s="218">
        <f t="shared" ref="D152:K152" si="183">SUM(D147:D151)</f>
        <v>1929926</v>
      </c>
      <c r="E152" s="218">
        <f t="shared" si="183"/>
        <v>1875662</v>
      </c>
      <c r="F152" s="218">
        <f t="shared" si="183"/>
        <v>2006923</v>
      </c>
      <c r="G152" s="218">
        <f>SUM(G147:G151)</f>
        <v>1967747</v>
      </c>
      <c r="H152" s="219">
        <f>SUM(H147:H151)</f>
        <v>1967747</v>
      </c>
      <c r="I152" s="221">
        <f t="shared" si="183"/>
        <v>1932263</v>
      </c>
      <c r="J152" s="221">
        <f t="shared" si="183"/>
        <v>1946451</v>
      </c>
      <c r="K152" s="306">
        <f t="shared" si="183"/>
        <v>1900823</v>
      </c>
      <c r="L152" s="221">
        <f>SUM(L147:L151)</f>
        <v>1744958</v>
      </c>
      <c r="M152" s="219">
        <f>SUM(M147:M151)</f>
        <v>1744958</v>
      </c>
      <c r="N152" s="303">
        <f>N147+SUM(N148:N151)</f>
        <v>1927539</v>
      </c>
    </row>
    <row r="153" spans="2:14" s="60" customFormat="1" ht="6.75" hidden="1" customHeight="1" outlineLevel="1" x14ac:dyDescent="0.3">
      <c r="B153" s="359"/>
      <c r="C153" s="360"/>
      <c r="D153" s="208"/>
      <c r="E153" s="209"/>
      <c r="F153" s="209"/>
      <c r="G153" s="210"/>
      <c r="H153" s="211"/>
      <c r="I153" s="212"/>
      <c r="J153" s="212"/>
      <c r="K153" s="299"/>
      <c r="L153" s="212"/>
      <c r="M153" s="211"/>
      <c r="N153" s="301"/>
    </row>
    <row r="154" spans="2:14" s="60" customFormat="1" ht="15.6" hidden="1" customHeight="1" outlineLevel="1" x14ac:dyDescent="0.3">
      <c r="B154" s="137" t="s">
        <v>109</v>
      </c>
      <c r="C154" s="138"/>
      <c r="D154" s="208">
        <v>0</v>
      </c>
      <c r="E154" s="209">
        <v>0</v>
      </c>
      <c r="F154" s="209">
        <v>0</v>
      </c>
      <c r="G154" s="210">
        <v>0</v>
      </c>
      <c r="H154" s="211">
        <v>0</v>
      </c>
      <c r="I154" s="212">
        <v>0</v>
      </c>
      <c r="J154" s="212">
        <v>0</v>
      </c>
      <c r="K154" s="299">
        <v>0</v>
      </c>
      <c r="L154" s="212">
        <v>0</v>
      </c>
      <c r="M154" s="211">
        <v>0</v>
      </c>
      <c r="N154" s="301">
        <v>0</v>
      </c>
    </row>
    <row r="155" spans="2:14" s="60" customFormat="1" hidden="1" outlineLevel="1" x14ac:dyDescent="0.3">
      <c r="B155" s="357" t="s">
        <v>88</v>
      </c>
      <c r="C155" s="358"/>
      <c r="D155" s="208"/>
      <c r="E155" s="209"/>
      <c r="F155" s="209"/>
      <c r="G155" s="210"/>
      <c r="H155" s="211"/>
      <c r="I155" s="212"/>
      <c r="J155" s="212"/>
      <c r="K155" s="299"/>
      <c r="L155" s="212"/>
      <c r="M155" s="211"/>
      <c r="N155" s="301"/>
    </row>
    <row r="156" spans="2:14" s="61" customFormat="1" hidden="1" outlineLevel="1" x14ac:dyDescent="0.3">
      <c r="B156" s="116" t="s">
        <v>110</v>
      </c>
      <c r="C156" s="117"/>
      <c r="D156" s="233">
        <v>0</v>
      </c>
      <c r="E156" s="131">
        <v>0</v>
      </c>
      <c r="F156" s="212">
        <v>0</v>
      </c>
      <c r="G156" s="234">
        <v>0</v>
      </c>
      <c r="H156" s="235">
        <v>0</v>
      </c>
      <c r="I156" s="212">
        <v>0</v>
      </c>
      <c r="J156" s="212">
        <v>0</v>
      </c>
      <c r="K156" s="299">
        <v>0</v>
      </c>
      <c r="L156" s="299">
        <v>0</v>
      </c>
      <c r="M156" s="235">
        <v>0</v>
      </c>
      <c r="N156" s="305">
        <v>0</v>
      </c>
    </row>
    <row r="157" spans="2:14" s="60" customFormat="1" hidden="1" outlineLevel="1" x14ac:dyDescent="0.3">
      <c r="B157" s="361" t="s">
        <v>112</v>
      </c>
      <c r="C157" s="362"/>
      <c r="D157" s="208">
        <v>6</v>
      </c>
      <c r="E157" s="307">
        <v>6</v>
      </c>
      <c r="F157" s="131">
        <v>6</v>
      </c>
      <c r="G157" s="210">
        <v>6</v>
      </c>
      <c r="H157" s="211">
        <f t="shared" ref="H157:H162" si="184">G157</f>
        <v>6</v>
      </c>
      <c r="I157" s="212">
        <v>6</v>
      </c>
      <c r="J157" s="212">
        <v>6</v>
      </c>
      <c r="K157" s="299">
        <v>6</v>
      </c>
      <c r="L157" s="299">
        <v>6</v>
      </c>
      <c r="M157" s="211">
        <f t="shared" ref="M157:M162" si="185">L157</f>
        <v>6</v>
      </c>
      <c r="N157" s="301">
        <v>6</v>
      </c>
    </row>
    <row r="158" spans="2:14" s="60" customFormat="1" hidden="1" outlineLevel="1" x14ac:dyDescent="0.3">
      <c r="B158" s="147" t="s">
        <v>141</v>
      </c>
      <c r="C158" s="148"/>
      <c r="D158" s="208">
        <v>55</v>
      </c>
      <c r="E158" s="307">
        <v>55</v>
      </c>
      <c r="F158" s="209">
        <v>55</v>
      </c>
      <c r="G158" s="210">
        <v>55</v>
      </c>
      <c r="H158" s="211">
        <f t="shared" si="184"/>
        <v>55</v>
      </c>
      <c r="I158" s="212">
        <v>55</v>
      </c>
      <c r="J158" s="212">
        <v>55</v>
      </c>
      <c r="K158" s="299">
        <v>55</v>
      </c>
      <c r="L158" s="299">
        <v>55</v>
      </c>
      <c r="M158" s="211">
        <f t="shared" si="185"/>
        <v>55</v>
      </c>
      <c r="N158" s="301">
        <v>55</v>
      </c>
    </row>
    <row r="159" spans="2:14" s="60" customFormat="1" hidden="1" outlineLevel="1" x14ac:dyDescent="0.3">
      <c r="B159" s="147" t="s">
        <v>142</v>
      </c>
      <c r="C159" s="148"/>
      <c r="D159" s="208">
        <v>471</v>
      </c>
      <c r="E159" s="307">
        <v>471</v>
      </c>
      <c r="F159" s="209">
        <v>471</v>
      </c>
      <c r="G159" s="210">
        <v>471</v>
      </c>
      <c r="H159" s="211">
        <f t="shared" si="184"/>
        <v>471</v>
      </c>
      <c r="I159" s="212">
        <v>471</v>
      </c>
      <c r="J159" s="212">
        <v>471</v>
      </c>
      <c r="K159" s="299">
        <v>471</v>
      </c>
      <c r="L159" s="299">
        <v>471</v>
      </c>
      <c r="M159" s="211">
        <f t="shared" si="185"/>
        <v>471</v>
      </c>
      <c r="N159" s="301">
        <v>472</v>
      </c>
    </row>
    <row r="160" spans="2:14" s="60" customFormat="1" hidden="1" outlineLevel="1" x14ac:dyDescent="0.3">
      <c r="B160" s="135" t="s">
        <v>111</v>
      </c>
      <c r="C160" s="136"/>
      <c r="D160" s="208">
        <v>1251587</v>
      </c>
      <c r="E160" s="307">
        <v>1273159</v>
      </c>
      <c r="F160" s="209">
        <v>1431790</v>
      </c>
      <c r="G160" s="210">
        <v>1458005</v>
      </c>
      <c r="H160" s="211">
        <f t="shared" si="184"/>
        <v>1458005</v>
      </c>
      <c r="I160" s="212">
        <v>1488262</v>
      </c>
      <c r="J160" s="212">
        <v>1512450</v>
      </c>
      <c r="K160" s="299">
        <v>1534032</v>
      </c>
      <c r="L160" s="299">
        <v>1562900</v>
      </c>
      <c r="M160" s="211">
        <f t="shared" si="185"/>
        <v>1562900</v>
      </c>
      <c r="N160" s="301">
        <v>1586750</v>
      </c>
    </row>
    <row r="161" spans="2:15" s="60" customFormat="1" hidden="1" outlineLevel="1" x14ac:dyDescent="0.3">
      <c r="B161" s="135" t="s">
        <v>148</v>
      </c>
      <c r="C161" s="136"/>
      <c r="D161" s="208">
        <v>70892</v>
      </c>
      <c r="E161" s="307">
        <v>59946</v>
      </c>
      <c r="F161" s="209">
        <v>-57133</v>
      </c>
      <c r="G161" s="209">
        <v>-122097</v>
      </c>
      <c r="H161" s="211">
        <f t="shared" si="184"/>
        <v>-122097</v>
      </c>
      <c r="I161" s="212">
        <v>-278584</v>
      </c>
      <c r="J161" s="212">
        <v>-248042</v>
      </c>
      <c r="K161" s="299">
        <v>-231277</v>
      </c>
      <c r="L161" s="299">
        <v>-267472</v>
      </c>
      <c r="M161" s="211">
        <f t="shared" si="185"/>
        <v>-267472</v>
      </c>
      <c r="N161" s="301">
        <v>-222284</v>
      </c>
    </row>
    <row r="162" spans="2:15" s="60" customFormat="1" ht="16.2" hidden="1" outlineLevel="1" x14ac:dyDescent="0.45">
      <c r="B162" s="375" t="s">
        <v>140</v>
      </c>
      <c r="C162" s="376"/>
      <c r="D162" s="213">
        <v>-74118</v>
      </c>
      <c r="E162" s="316">
        <v>-53946</v>
      </c>
      <c r="F162" s="214">
        <v>-34666</v>
      </c>
      <c r="G162" s="214">
        <v>34704</v>
      </c>
      <c r="H162" s="216">
        <f t="shared" si="184"/>
        <v>34704</v>
      </c>
      <c r="I162" s="217">
        <v>95066</v>
      </c>
      <c r="J162" s="217">
        <v>181828</v>
      </c>
      <c r="K162" s="217">
        <v>260176</v>
      </c>
      <c r="L162" s="217">
        <v>302686</v>
      </c>
      <c r="M162" s="216">
        <f t="shared" si="185"/>
        <v>302686</v>
      </c>
      <c r="N162" s="315">
        <v>242441</v>
      </c>
    </row>
    <row r="163" spans="2:15" s="60" customFormat="1" hidden="1" outlineLevel="1" x14ac:dyDescent="0.3">
      <c r="B163" s="159" t="s">
        <v>146</v>
      </c>
      <c r="C163" s="150"/>
      <c r="D163" s="218">
        <f t="shared" ref="D163:I163" si="186">SUM(D156:D162)</f>
        <v>1248893</v>
      </c>
      <c r="E163" s="308">
        <f t="shared" si="186"/>
        <v>1279691</v>
      </c>
      <c r="F163" s="218">
        <f t="shared" si="186"/>
        <v>1340523</v>
      </c>
      <c r="G163" s="218">
        <f t="shared" si="186"/>
        <v>1371144</v>
      </c>
      <c r="H163" s="211">
        <f t="shared" si="186"/>
        <v>1371144</v>
      </c>
      <c r="I163" s="221">
        <f t="shared" si="186"/>
        <v>1305276</v>
      </c>
      <c r="J163" s="221">
        <f t="shared" ref="J163:K163" si="187">SUM(J156:J162)</f>
        <v>1446768</v>
      </c>
      <c r="K163" s="221">
        <f t="shared" si="187"/>
        <v>1563463</v>
      </c>
      <c r="L163" s="221">
        <f>SUM(L156:L162)</f>
        <v>1598646</v>
      </c>
      <c r="M163" s="211">
        <f t="shared" ref="M163" si="188">SUM(M156:M162)</f>
        <v>1598646</v>
      </c>
      <c r="N163" s="303">
        <f>SUM(N156:N162)</f>
        <v>1607440</v>
      </c>
    </row>
    <row r="164" spans="2:15" s="60" customFormat="1" ht="16.2" hidden="1" outlineLevel="1" x14ac:dyDescent="0.45">
      <c r="B164" s="149" t="s">
        <v>147</v>
      </c>
      <c r="C164" s="150"/>
      <c r="D164" s="214">
        <v>17615</v>
      </c>
      <c r="E164" s="316">
        <v>396</v>
      </c>
      <c r="F164" s="214">
        <v>90</v>
      </c>
      <c r="G164" s="214">
        <v>64</v>
      </c>
      <c r="H164" s="216">
        <f t="shared" ref="H164" si="189">G164</f>
        <v>64</v>
      </c>
      <c r="I164" s="217">
        <v>54</v>
      </c>
      <c r="J164" s="217">
        <v>55</v>
      </c>
      <c r="K164" s="217">
        <v>14</v>
      </c>
      <c r="L164" s="217">
        <v>0</v>
      </c>
      <c r="M164" s="216">
        <f t="shared" ref="M164" si="190">L164</f>
        <v>0</v>
      </c>
      <c r="N164" s="315">
        <v>0</v>
      </c>
    </row>
    <row r="165" spans="2:15" s="60" customFormat="1" hidden="1" outlineLevel="1" x14ac:dyDescent="0.3">
      <c r="B165" s="335" t="s">
        <v>89</v>
      </c>
      <c r="C165" s="336"/>
      <c r="D165" s="218">
        <f t="shared" ref="D165:E165" si="191">D163+D164</f>
        <v>1266508</v>
      </c>
      <c r="E165" s="218">
        <f t="shared" si="191"/>
        <v>1280087</v>
      </c>
      <c r="F165" s="218">
        <f>F163+F164</f>
        <v>1340613</v>
      </c>
      <c r="G165" s="218">
        <f>G163+G164</f>
        <v>1371208</v>
      </c>
      <c r="H165" s="219">
        <f>H163+H164</f>
        <v>1371208</v>
      </c>
      <c r="I165" s="218">
        <f>I163+I164</f>
        <v>1305330</v>
      </c>
      <c r="J165" s="218">
        <f t="shared" ref="J165:K165" si="192">J163+J164</f>
        <v>1446823</v>
      </c>
      <c r="K165" s="218">
        <f t="shared" si="192"/>
        <v>1563477</v>
      </c>
      <c r="L165" s="218">
        <f>L163+L164</f>
        <v>1598646</v>
      </c>
      <c r="M165" s="219">
        <f>M163+M164</f>
        <v>1598646</v>
      </c>
      <c r="N165" s="303">
        <f>N163+N164</f>
        <v>1607440</v>
      </c>
    </row>
    <row r="166" spans="2:15" s="60" customFormat="1" hidden="1" outlineLevel="1" x14ac:dyDescent="0.3">
      <c r="B166" s="373" t="s">
        <v>90</v>
      </c>
      <c r="C166" s="374"/>
      <c r="D166" s="309">
        <f t="shared" ref="D166:I166" si="193">D165+D152</f>
        <v>3196434</v>
      </c>
      <c r="E166" s="309">
        <f t="shared" si="193"/>
        <v>3155749</v>
      </c>
      <c r="F166" s="309">
        <f>F165+F152</f>
        <v>3347536</v>
      </c>
      <c r="G166" s="310">
        <f t="shared" si="193"/>
        <v>3338955</v>
      </c>
      <c r="H166" s="311">
        <f>H165+H152</f>
        <v>3338955</v>
      </c>
      <c r="I166" s="309">
        <f t="shared" si="193"/>
        <v>3237593</v>
      </c>
      <c r="J166" s="309">
        <f t="shared" ref="J166:L166" si="194">J165+J152</f>
        <v>3393274</v>
      </c>
      <c r="K166" s="312">
        <f>K165+K152</f>
        <v>3464300</v>
      </c>
      <c r="L166" s="312">
        <f t="shared" si="194"/>
        <v>3343604</v>
      </c>
      <c r="M166" s="311">
        <f>M165+M152</f>
        <v>3343604</v>
      </c>
      <c r="N166" s="313">
        <f>N152+N165</f>
        <v>3534979</v>
      </c>
    </row>
    <row r="167" spans="2:15" s="60" customFormat="1" collapsed="1" x14ac:dyDescent="0.3">
      <c r="B167" s="20"/>
      <c r="C167" s="127"/>
      <c r="D167" s="157">
        <f t="shared" ref="D167:N167" si="195">D166-D138</f>
        <v>0</v>
      </c>
      <c r="E167" s="157">
        <f t="shared" si="195"/>
        <v>0</v>
      </c>
      <c r="F167" s="157">
        <f t="shared" si="195"/>
        <v>0</v>
      </c>
      <c r="G167" s="157">
        <f t="shared" si="195"/>
        <v>0</v>
      </c>
      <c r="H167" s="157">
        <f t="shared" si="195"/>
        <v>0</v>
      </c>
      <c r="I167" s="157">
        <f t="shared" si="195"/>
        <v>0</v>
      </c>
      <c r="J167" s="157">
        <f t="shared" si="195"/>
        <v>0</v>
      </c>
      <c r="K167" s="157">
        <f t="shared" si="195"/>
        <v>0</v>
      </c>
      <c r="L167" s="157">
        <f t="shared" si="195"/>
        <v>0</v>
      </c>
      <c r="M167" s="157">
        <f t="shared" si="195"/>
        <v>0</v>
      </c>
      <c r="N167" s="157">
        <f t="shared" si="195"/>
        <v>0</v>
      </c>
    </row>
    <row r="168" spans="2:15" s="60" customFormat="1" ht="15.6" x14ac:dyDescent="0.3">
      <c r="B168" s="345" t="s">
        <v>91</v>
      </c>
      <c r="C168" s="346"/>
      <c r="D168" s="1"/>
      <c r="E168" s="1"/>
      <c r="F168" s="1"/>
      <c r="G168" s="1"/>
      <c r="H168" s="1"/>
      <c r="I168" s="9"/>
      <c r="J168" s="1"/>
      <c r="K168" s="3"/>
      <c r="L168" s="3"/>
      <c r="M168" s="128"/>
    </row>
    <row r="169" spans="2:15" s="60" customFormat="1" hidden="1" outlineLevel="1" x14ac:dyDescent="0.3">
      <c r="B169" s="355" t="s">
        <v>0</v>
      </c>
      <c r="C169" s="356"/>
      <c r="D169" s="63" t="s">
        <v>5</v>
      </c>
      <c r="E169" s="63" t="s">
        <v>4</v>
      </c>
      <c r="F169" s="63" t="s">
        <v>3</v>
      </c>
      <c r="G169" s="63" t="s">
        <v>6</v>
      </c>
      <c r="H169" s="63" t="s">
        <v>6</v>
      </c>
      <c r="I169" s="63" t="s">
        <v>7</v>
      </c>
      <c r="J169" s="63" t="s">
        <v>8</v>
      </c>
      <c r="K169" s="63" t="s">
        <v>9</v>
      </c>
      <c r="L169" s="63" t="s">
        <v>11</v>
      </c>
      <c r="M169" s="63" t="s">
        <v>11</v>
      </c>
      <c r="N169" s="63" t="s">
        <v>12</v>
      </c>
    </row>
    <row r="170" spans="2:15" s="60" customFormat="1" ht="16.2" hidden="1" outlineLevel="1" x14ac:dyDescent="0.45">
      <c r="B170" s="355"/>
      <c r="C170" s="356"/>
      <c r="D170" s="64" t="s">
        <v>36</v>
      </c>
      <c r="E170" s="64" t="s">
        <v>37</v>
      </c>
      <c r="F170" s="64" t="s">
        <v>38</v>
      </c>
      <c r="G170" s="64" t="s">
        <v>39</v>
      </c>
      <c r="H170" s="64" t="s">
        <v>26</v>
      </c>
      <c r="I170" s="64" t="s">
        <v>40</v>
      </c>
      <c r="J170" s="64" t="s">
        <v>41</v>
      </c>
      <c r="K170" s="64" t="s">
        <v>49</v>
      </c>
      <c r="L170" s="64" t="s">
        <v>65</v>
      </c>
      <c r="M170" s="64" t="s">
        <v>66</v>
      </c>
      <c r="N170" s="64" t="s">
        <v>117</v>
      </c>
    </row>
    <row r="171" spans="2:15" s="60" customFormat="1" hidden="1" outlineLevel="1" x14ac:dyDescent="0.3">
      <c r="B171" s="357" t="s">
        <v>92</v>
      </c>
      <c r="C171" s="358"/>
      <c r="D171" s="152"/>
      <c r="E171" s="163"/>
      <c r="F171" s="163"/>
      <c r="G171" s="164"/>
      <c r="H171" s="156"/>
      <c r="I171" s="165"/>
      <c r="J171" s="166"/>
      <c r="K171" s="167"/>
      <c r="L171" s="167"/>
      <c r="M171" s="168"/>
      <c r="N171" s="175"/>
    </row>
    <row r="172" spans="2:15" s="60" customFormat="1" hidden="1" outlineLevel="1" x14ac:dyDescent="0.3">
      <c r="B172" s="349" t="s">
        <v>93</v>
      </c>
      <c r="C172" s="350"/>
      <c r="D172" s="44">
        <v>-93639</v>
      </c>
      <c r="E172" s="44">
        <f>-50053-D172</f>
        <v>43586</v>
      </c>
      <c r="F172" s="44">
        <f>-24285-E172-D172</f>
        <v>25768</v>
      </c>
      <c r="G172" s="44">
        <f>57326-F172-E172-D172</f>
        <v>81611</v>
      </c>
      <c r="H172" s="301">
        <f>SUM(D172:G172)</f>
        <v>57326</v>
      </c>
      <c r="I172" s="44">
        <f t="shared" ref="I172:N172" si="196">I34</f>
        <v>70700</v>
      </c>
      <c r="J172" s="44">
        <f>158813-I172</f>
        <v>88113</v>
      </c>
      <c r="K172" s="44">
        <f t="shared" si="196"/>
        <v>87960</v>
      </c>
      <c r="L172" s="44">
        <f t="shared" si="196"/>
        <v>82761</v>
      </c>
      <c r="M172" s="301">
        <f t="shared" si="196"/>
        <v>329535</v>
      </c>
      <c r="N172" s="301">
        <f t="shared" si="196"/>
        <v>74121</v>
      </c>
      <c r="O172" s="158"/>
    </row>
    <row r="173" spans="2:15" s="60" customFormat="1" hidden="1" outlineLevel="1" x14ac:dyDescent="0.3">
      <c r="B173" s="349" t="s">
        <v>124</v>
      </c>
      <c r="C173" s="350"/>
      <c r="D173" s="44">
        <f t="shared" ref="D173:N173" si="197">D21</f>
        <v>31182</v>
      </c>
      <c r="E173" s="44">
        <f t="shared" si="197"/>
        <v>32795</v>
      </c>
      <c r="F173" s="44">
        <f t="shared" si="197"/>
        <v>30630</v>
      </c>
      <c r="G173" s="44">
        <f t="shared" si="197"/>
        <v>31977</v>
      </c>
      <c r="H173" s="301">
        <f t="shared" si="197"/>
        <v>126584</v>
      </c>
      <c r="I173" s="44">
        <f t="shared" si="197"/>
        <v>24677</v>
      </c>
      <c r="J173" s="44">
        <f t="shared" si="197"/>
        <v>23668</v>
      </c>
      <c r="K173" s="44">
        <f t="shared" si="197"/>
        <v>26127</v>
      </c>
      <c r="L173" s="44">
        <f t="shared" si="197"/>
        <v>23690</v>
      </c>
      <c r="M173" s="301">
        <f t="shared" si="197"/>
        <v>98162</v>
      </c>
      <c r="N173" s="301">
        <f t="shared" si="197"/>
        <v>22642</v>
      </c>
      <c r="O173" s="158"/>
    </row>
    <row r="174" spans="2:15" s="60" customFormat="1" hidden="1" outlineLevel="1" x14ac:dyDescent="0.3">
      <c r="B174" s="114" t="s">
        <v>151</v>
      </c>
      <c r="C174" s="115"/>
      <c r="D174" s="233">
        <v>13815</v>
      </c>
      <c r="E174" s="317">
        <f>32367-D174</f>
        <v>18552</v>
      </c>
      <c r="F174" s="317">
        <f>50618-E174-D174</f>
        <v>18251</v>
      </c>
      <c r="G174" s="318">
        <f>69638-F174-E174-D174</f>
        <v>19020</v>
      </c>
      <c r="H174" s="300">
        <f>SUM(D174:G174)</f>
        <v>69638</v>
      </c>
      <c r="I174" s="319">
        <v>20819</v>
      </c>
      <c r="J174" s="317">
        <f>44119-I174</f>
        <v>23300</v>
      </c>
      <c r="K174" s="317">
        <f>67233-J174-I174</f>
        <v>23114</v>
      </c>
      <c r="L174" s="131">
        <f>91550-K174-J174-I174</f>
        <v>24317</v>
      </c>
      <c r="M174" s="235">
        <f t="shared" ref="M174:M197" si="198">SUM(I174:L174)</f>
        <v>91550</v>
      </c>
      <c r="N174" s="301">
        <v>24183</v>
      </c>
      <c r="O174" s="158"/>
    </row>
    <row r="175" spans="2:15" s="60" customFormat="1" hidden="1" outlineLevel="1" x14ac:dyDescent="0.3">
      <c r="B175" s="169" t="s">
        <v>173</v>
      </c>
      <c r="C175" s="170"/>
      <c r="D175" s="233">
        <v>0</v>
      </c>
      <c r="E175" s="317">
        <v>32806</v>
      </c>
      <c r="F175" s="317">
        <v>0</v>
      </c>
      <c r="G175" s="318">
        <f>39365-E175</f>
        <v>6559</v>
      </c>
      <c r="H175" s="300">
        <f>SUM(D175:G175)</f>
        <v>39365</v>
      </c>
      <c r="I175" s="319">
        <v>0</v>
      </c>
      <c r="J175" s="317">
        <v>0</v>
      </c>
      <c r="K175" s="317">
        <v>0</v>
      </c>
      <c r="L175" s="131">
        <v>31523</v>
      </c>
      <c r="M175" s="235">
        <f t="shared" si="198"/>
        <v>31523</v>
      </c>
      <c r="N175" s="301">
        <v>0</v>
      </c>
      <c r="O175" s="158"/>
    </row>
    <row r="176" spans="2:15" s="60" customFormat="1" hidden="1" outlineLevel="1" x14ac:dyDescent="0.3">
      <c r="B176" s="133" t="s">
        <v>149</v>
      </c>
      <c r="C176" s="134"/>
      <c r="D176" s="233">
        <v>1309</v>
      </c>
      <c r="E176" s="317">
        <f>3169-D176</f>
        <v>1860</v>
      </c>
      <c r="F176" s="317">
        <f>5037-E176-D176</f>
        <v>1868</v>
      </c>
      <c r="G176" s="318">
        <f>7097-F176-E176-D176</f>
        <v>2060</v>
      </c>
      <c r="H176" s="300">
        <f t="shared" ref="H176:H180" si="199">SUM(D176:G176)</f>
        <v>7097</v>
      </c>
      <c r="I176" s="319">
        <v>2232</v>
      </c>
      <c r="J176" s="317">
        <f>4595-I176</f>
        <v>2363</v>
      </c>
      <c r="K176" s="317">
        <f>7143-J176-I176</f>
        <v>2548</v>
      </c>
      <c r="L176" s="131">
        <f>9894-K176-J176-I176</f>
        <v>2751</v>
      </c>
      <c r="M176" s="235">
        <f t="shared" si="198"/>
        <v>9894</v>
      </c>
      <c r="N176" s="301">
        <v>2527</v>
      </c>
      <c r="O176" s="158"/>
    </row>
    <row r="177" spans="2:15" s="60" customFormat="1" hidden="1" outlineLevel="1" x14ac:dyDescent="0.3">
      <c r="B177" s="145" t="s">
        <v>123</v>
      </c>
      <c r="C177" s="146"/>
      <c r="D177" s="44">
        <f t="shared" ref="D177:N177" si="200">D20</f>
        <v>127000</v>
      </c>
      <c r="E177" s="44">
        <f t="shared" si="200"/>
        <v>0</v>
      </c>
      <c r="F177" s="44">
        <f t="shared" si="200"/>
        <v>75000</v>
      </c>
      <c r="G177" s="44">
        <f t="shared" si="200"/>
        <v>626</v>
      </c>
      <c r="H177" s="320">
        <f t="shared" si="200"/>
        <v>202626</v>
      </c>
      <c r="I177" s="44">
        <f t="shared" si="200"/>
        <v>0</v>
      </c>
      <c r="J177" s="44">
        <f t="shared" si="200"/>
        <v>0</v>
      </c>
      <c r="K177" s="44">
        <f t="shared" si="200"/>
        <v>0</v>
      </c>
      <c r="L177" s="44">
        <f t="shared" si="200"/>
        <v>0</v>
      </c>
      <c r="M177" s="301">
        <f t="shared" si="200"/>
        <v>0</v>
      </c>
      <c r="N177" s="301">
        <f t="shared" si="200"/>
        <v>8750</v>
      </c>
      <c r="O177" s="158"/>
    </row>
    <row r="178" spans="2:15" s="60" customFormat="1" hidden="1" outlineLevel="1" x14ac:dyDescent="0.3">
      <c r="B178" s="133" t="s">
        <v>155</v>
      </c>
      <c r="C178" s="134"/>
      <c r="D178" s="233">
        <v>2</v>
      </c>
      <c r="E178" s="317">
        <v>-2</v>
      </c>
      <c r="F178" s="317">
        <v>0</v>
      </c>
      <c r="G178" s="318">
        <f>24-F178-E178-D178</f>
        <v>24</v>
      </c>
      <c r="H178" s="300">
        <f t="shared" si="199"/>
        <v>24</v>
      </c>
      <c r="I178" s="319">
        <v>8</v>
      </c>
      <c r="J178" s="317">
        <f>46-I178</f>
        <v>38</v>
      </c>
      <c r="K178" s="317">
        <f>117-J178-I178</f>
        <v>71</v>
      </c>
      <c r="L178" s="131">
        <f>172-K178-J178-I178</f>
        <v>55</v>
      </c>
      <c r="M178" s="235">
        <f t="shared" si="198"/>
        <v>172</v>
      </c>
      <c r="N178" s="301">
        <v>37</v>
      </c>
      <c r="O178" s="158"/>
    </row>
    <row r="179" spans="2:15" s="60" customFormat="1" hidden="1" outlineLevel="1" x14ac:dyDescent="0.3">
      <c r="B179" s="145" t="s">
        <v>150</v>
      </c>
      <c r="C179" s="146"/>
      <c r="D179" s="233">
        <v>-5777</v>
      </c>
      <c r="E179" s="317">
        <f>-792-D179</f>
        <v>4985</v>
      </c>
      <c r="F179" s="317">
        <f>-4075-E179-D179</f>
        <v>-3283</v>
      </c>
      <c r="G179" s="318">
        <f>-1841-F179-E179-D179</f>
        <v>2234</v>
      </c>
      <c r="H179" s="300">
        <f t="shared" si="199"/>
        <v>-1841</v>
      </c>
      <c r="I179" s="319">
        <v>-10635</v>
      </c>
      <c r="J179" s="317">
        <v>10635</v>
      </c>
      <c r="K179" s="317">
        <v>320</v>
      </c>
      <c r="L179" s="131">
        <v>-320</v>
      </c>
      <c r="M179" s="235">
        <f t="shared" si="198"/>
        <v>0</v>
      </c>
      <c r="N179" s="301">
        <v>-7938</v>
      </c>
      <c r="O179" s="158"/>
    </row>
    <row r="180" spans="2:15" s="60" customFormat="1" hidden="1" outlineLevel="1" x14ac:dyDescent="0.3">
      <c r="B180" s="169" t="s">
        <v>169</v>
      </c>
      <c r="C180" s="170"/>
      <c r="D180" s="233">
        <v>8022</v>
      </c>
      <c r="E180" s="317">
        <f>10477-D180</f>
        <v>2455</v>
      </c>
      <c r="F180" s="317">
        <v>0</v>
      </c>
      <c r="G180" s="318">
        <v>0</v>
      </c>
      <c r="H180" s="300">
        <f t="shared" si="199"/>
        <v>10477</v>
      </c>
      <c r="I180" s="319">
        <v>0</v>
      </c>
      <c r="J180" s="317">
        <v>0</v>
      </c>
      <c r="K180" s="317">
        <v>0</v>
      </c>
      <c r="L180" s="131">
        <v>0</v>
      </c>
      <c r="M180" s="235">
        <f t="shared" si="198"/>
        <v>0</v>
      </c>
      <c r="N180" s="301">
        <v>0</v>
      </c>
      <c r="O180" s="158"/>
    </row>
    <row r="181" spans="2:15" s="60" customFormat="1" hidden="1" outlineLevel="1" x14ac:dyDescent="0.3">
      <c r="B181" s="349" t="s">
        <v>113</v>
      </c>
      <c r="C181" s="350"/>
      <c r="D181" s="233">
        <v>-4378</v>
      </c>
      <c r="E181" s="317">
        <f>-18598-D181</f>
        <v>-14220</v>
      </c>
      <c r="F181" s="317">
        <f>-36246-E181-D181</f>
        <v>-17648</v>
      </c>
      <c r="G181" s="318">
        <f>-43423-F181-E181-D181</f>
        <v>-7177</v>
      </c>
      <c r="H181" s="300">
        <f t="shared" ref="H181:H197" si="201">SUM(D181:G181)</f>
        <v>-43423</v>
      </c>
      <c r="I181" s="319">
        <v>-9261</v>
      </c>
      <c r="J181" s="317">
        <f>-16873-I181</f>
        <v>-7612</v>
      </c>
      <c r="K181" s="317">
        <f>-25368-J181-I181</f>
        <v>-8495</v>
      </c>
      <c r="L181" s="131">
        <f>-61209-K181-J181-I181</f>
        <v>-35841</v>
      </c>
      <c r="M181" s="235">
        <f t="shared" si="198"/>
        <v>-61209</v>
      </c>
      <c r="N181" s="301">
        <v>-1962</v>
      </c>
      <c r="O181" s="158"/>
    </row>
    <row r="182" spans="2:15" s="60" customFormat="1" hidden="1" outlineLevel="1" x14ac:dyDescent="0.3">
      <c r="B182" s="145" t="s">
        <v>152</v>
      </c>
      <c r="C182" s="146"/>
      <c r="D182" s="233">
        <v>813</v>
      </c>
      <c r="E182" s="317">
        <f>1925-D182</f>
        <v>1112</v>
      </c>
      <c r="F182" s="317">
        <f>2873-E182-D182</f>
        <v>948</v>
      </c>
      <c r="G182" s="318">
        <f>2493-F182-E182-D182</f>
        <v>-380</v>
      </c>
      <c r="H182" s="300">
        <f t="shared" si="201"/>
        <v>2493</v>
      </c>
      <c r="I182" s="319">
        <v>426</v>
      </c>
      <c r="J182" s="317">
        <f>610-I182</f>
        <v>184</v>
      </c>
      <c r="K182" s="317">
        <f>4021-J182-I182</f>
        <v>3411</v>
      </c>
      <c r="L182" s="131">
        <f>4062-K182-J182-I182</f>
        <v>41</v>
      </c>
      <c r="M182" s="235">
        <f t="shared" si="198"/>
        <v>4062</v>
      </c>
      <c r="N182" s="301">
        <v>898</v>
      </c>
      <c r="O182" s="158"/>
    </row>
    <row r="183" spans="2:15" s="60" customFormat="1" hidden="1" outlineLevel="1" x14ac:dyDescent="0.3">
      <c r="B183" s="145" t="s">
        <v>153</v>
      </c>
      <c r="C183" s="146"/>
      <c r="D183" s="233">
        <v>0</v>
      </c>
      <c r="E183" s="317">
        <v>0</v>
      </c>
      <c r="F183" s="317">
        <v>0</v>
      </c>
      <c r="G183" s="318">
        <v>13725</v>
      </c>
      <c r="H183" s="318">
        <v>13725</v>
      </c>
      <c r="I183" s="319">
        <v>0</v>
      </c>
      <c r="J183" s="317">
        <v>0</v>
      </c>
      <c r="K183" s="317">
        <v>17348</v>
      </c>
      <c r="L183" s="131">
        <f>22738-K183</f>
        <v>5390</v>
      </c>
      <c r="M183" s="235">
        <f t="shared" si="198"/>
        <v>22738</v>
      </c>
      <c r="N183" s="301">
        <v>5362</v>
      </c>
      <c r="O183" s="158"/>
    </row>
    <row r="184" spans="2:15" s="60" customFormat="1" hidden="1" outlineLevel="1" x14ac:dyDescent="0.3">
      <c r="B184" s="173" t="s">
        <v>127</v>
      </c>
      <c r="C184" s="174"/>
      <c r="D184" s="233">
        <v>0</v>
      </c>
      <c r="E184" s="317">
        <v>0</v>
      </c>
      <c r="F184" s="317">
        <v>0</v>
      </c>
      <c r="G184" s="318">
        <v>0</v>
      </c>
      <c r="H184" s="318">
        <v>0</v>
      </c>
      <c r="I184" s="319">
        <v>0</v>
      </c>
      <c r="J184" s="317">
        <v>16815</v>
      </c>
      <c r="K184" s="317">
        <v>0</v>
      </c>
      <c r="L184" s="131">
        <v>0</v>
      </c>
      <c r="M184" s="235">
        <f t="shared" si="198"/>
        <v>16815</v>
      </c>
      <c r="N184" s="301"/>
      <c r="O184" s="158"/>
    </row>
    <row r="185" spans="2:15" s="60" customFormat="1" hidden="1" outlineLevel="1" x14ac:dyDescent="0.3">
      <c r="B185" s="114" t="s">
        <v>154</v>
      </c>
      <c r="C185" s="115"/>
      <c r="D185" s="233">
        <v>1868</v>
      </c>
      <c r="E185" s="317">
        <f>2907-D185</f>
        <v>1039</v>
      </c>
      <c r="F185" s="317">
        <f>221-E185-D185</f>
        <v>-2686</v>
      </c>
      <c r="G185" s="318">
        <f>-11986-F185-E185-D185</f>
        <v>-12207</v>
      </c>
      <c r="H185" s="300">
        <f t="shared" ref="H185" si="202">SUM(D185:G185)</f>
        <v>-11986</v>
      </c>
      <c r="I185" s="319">
        <v>632</v>
      </c>
      <c r="J185" s="317">
        <f>7938-I185</f>
        <v>7306</v>
      </c>
      <c r="K185" s="317">
        <f>-3834-J185-I185</f>
        <v>-11772</v>
      </c>
      <c r="L185" s="131">
        <f>-5187-K185-J185-I185</f>
        <v>-1353</v>
      </c>
      <c r="M185" s="235">
        <f t="shared" si="198"/>
        <v>-5187</v>
      </c>
      <c r="N185" s="301">
        <v>1579</v>
      </c>
      <c r="O185" s="158"/>
    </row>
    <row r="186" spans="2:15" s="60" customFormat="1" ht="4.5" hidden="1" customHeight="1" outlineLevel="1" x14ac:dyDescent="0.3">
      <c r="B186" s="359"/>
      <c r="C186" s="360"/>
      <c r="D186" s="233"/>
      <c r="E186" s="317"/>
      <c r="F186" s="317"/>
      <c r="G186" s="318"/>
      <c r="H186" s="300"/>
      <c r="I186" s="319"/>
      <c r="J186" s="317"/>
      <c r="K186" s="317"/>
      <c r="L186" s="131"/>
      <c r="M186" s="235">
        <f t="shared" si="198"/>
        <v>0</v>
      </c>
      <c r="N186" s="301"/>
      <c r="O186" s="158"/>
    </row>
    <row r="187" spans="2:15" s="60" customFormat="1" hidden="1" outlineLevel="1" x14ac:dyDescent="0.3">
      <c r="B187" s="357" t="s">
        <v>94</v>
      </c>
      <c r="C187" s="358"/>
      <c r="D187" s="233"/>
      <c r="E187" s="317"/>
      <c r="F187" s="317"/>
      <c r="G187" s="318"/>
      <c r="H187" s="300"/>
      <c r="I187" s="319"/>
      <c r="J187" s="317"/>
      <c r="K187" s="317"/>
      <c r="L187" s="317"/>
      <c r="M187" s="235"/>
      <c r="N187" s="301"/>
      <c r="O187" s="158"/>
    </row>
    <row r="188" spans="2:15" s="60" customFormat="1" hidden="1" outlineLevel="1" x14ac:dyDescent="0.3">
      <c r="B188" s="361" t="s">
        <v>95</v>
      </c>
      <c r="C188" s="362"/>
      <c r="D188" s="233">
        <v>-16014</v>
      </c>
      <c r="E188" s="131">
        <f>-21889-D188</f>
        <v>-5875</v>
      </c>
      <c r="F188" s="131">
        <f>-50690-E188-D188</f>
        <v>-28801</v>
      </c>
      <c r="G188" s="234">
        <f>-55041-F188-E188-D188</f>
        <v>-4351</v>
      </c>
      <c r="H188" s="300">
        <f t="shared" si="201"/>
        <v>-55041</v>
      </c>
      <c r="I188" s="233">
        <v>-4769</v>
      </c>
      <c r="J188" s="131">
        <f>-8479-I188</f>
        <v>-3710</v>
      </c>
      <c r="K188" s="131">
        <f>-10661-J188-I188</f>
        <v>-2182</v>
      </c>
      <c r="L188" s="131">
        <f>-24841-K188-J188-I188</f>
        <v>-14180</v>
      </c>
      <c r="M188" s="235">
        <f t="shared" si="198"/>
        <v>-24841</v>
      </c>
      <c r="N188" s="301">
        <v>-13802</v>
      </c>
      <c r="O188" s="158"/>
    </row>
    <row r="189" spans="2:15" s="60" customFormat="1" hidden="1" outlineLevel="1" x14ac:dyDescent="0.3">
      <c r="B189" s="147" t="s">
        <v>129</v>
      </c>
      <c r="C189" s="148"/>
      <c r="D189" s="233">
        <v>-3071</v>
      </c>
      <c r="E189" s="131">
        <f>-3302-D189</f>
        <v>-231</v>
      </c>
      <c r="F189" s="131">
        <f>-10184-E189-D189</f>
        <v>-6882</v>
      </c>
      <c r="G189" s="234">
        <f>-7630-F189-E189-D189</f>
        <v>2554</v>
      </c>
      <c r="H189" s="300">
        <f t="shared" si="201"/>
        <v>-7630</v>
      </c>
      <c r="I189" s="233">
        <v>-1842</v>
      </c>
      <c r="J189" s="131">
        <f>-1849-I189</f>
        <v>-7</v>
      </c>
      <c r="K189" s="131">
        <f>-3595-J189-I189</f>
        <v>-1746</v>
      </c>
      <c r="L189" s="131">
        <f>6271-K189-J189-I189</f>
        <v>9866</v>
      </c>
      <c r="M189" s="235">
        <f t="shared" si="198"/>
        <v>6271</v>
      </c>
      <c r="N189" s="301">
        <v>-6307</v>
      </c>
      <c r="O189" s="158"/>
    </row>
    <row r="190" spans="2:15" s="60" customFormat="1" hidden="1" outlineLevel="1" x14ac:dyDescent="0.3">
      <c r="B190" s="361" t="s">
        <v>96</v>
      </c>
      <c r="C190" s="362"/>
      <c r="D190" s="233">
        <v>4357</v>
      </c>
      <c r="E190" s="131">
        <f>936-D190</f>
        <v>-3421</v>
      </c>
      <c r="F190" s="131">
        <f>4262-E190-D190</f>
        <v>3326</v>
      </c>
      <c r="G190" s="234">
        <f>11936-F190-E190-D190</f>
        <v>7674</v>
      </c>
      <c r="H190" s="300">
        <f t="shared" si="201"/>
        <v>11936</v>
      </c>
      <c r="I190" s="233">
        <v>-15670</v>
      </c>
      <c r="J190" s="131">
        <f>-13676-I190</f>
        <v>1994</v>
      </c>
      <c r="K190" s="131">
        <f>-5298-J190-I190</f>
        <v>8378</v>
      </c>
      <c r="L190" s="131">
        <f>3720-K190-J190-I190</f>
        <v>9018</v>
      </c>
      <c r="M190" s="235">
        <f t="shared" si="198"/>
        <v>3720</v>
      </c>
      <c r="N190" s="301">
        <v>-1231</v>
      </c>
      <c r="O190" s="158"/>
    </row>
    <row r="191" spans="2:15" s="60" customFormat="1" hidden="1" outlineLevel="1" x14ac:dyDescent="0.3">
      <c r="B191" s="147" t="s">
        <v>156</v>
      </c>
      <c r="C191" s="148"/>
      <c r="D191" s="233">
        <v>-1545</v>
      </c>
      <c r="E191" s="131">
        <f>-3365-D191</f>
        <v>-1820</v>
      </c>
      <c r="F191" s="131">
        <f>-5775-E191-D191</f>
        <v>-2410</v>
      </c>
      <c r="G191" s="234">
        <f>-8891-F191-E191-D191</f>
        <v>-3116</v>
      </c>
      <c r="H191" s="300">
        <f t="shared" si="201"/>
        <v>-8891</v>
      </c>
      <c r="I191" s="233">
        <v>-3278</v>
      </c>
      <c r="J191" s="131">
        <f>-6658-I191</f>
        <v>-3380</v>
      </c>
      <c r="K191" s="131">
        <f>-9555-J191-I191</f>
        <v>-2897</v>
      </c>
      <c r="L191" s="131">
        <f>-11722-K191-J191-I191</f>
        <v>-2167</v>
      </c>
      <c r="M191" s="235">
        <f t="shared" si="198"/>
        <v>-11722</v>
      </c>
      <c r="N191" s="301">
        <v>-1985</v>
      </c>
      <c r="O191" s="158"/>
    </row>
    <row r="192" spans="2:15" s="60" customFormat="1" hidden="1" outlineLevel="1" x14ac:dyDescent="0.3">
      <c r="B192" s="361" t="s">
        <v>84</v>
      </c>
      <c r="C192" s="362"/>
      <c r="D192" s="233">
        <v>8579</v>
      </c>
      <c r="E192" s="131">
        <f>-31555-D192</f>
        <v>-40134</v>
      </c>
      <c r="F192" s="131">
        <f>-33865-E192-D192</f>
        <v>-2310</v>
      </c>
      <c r="G192" s="234">
        <f>-37966-F192-E192-D192</f>
        <v>-4101</v>
      </c>
      <c r="H192" s="300">
        <f t="shared" si="201"/>
        <v>-37966</v>
      </c>
      <c r="I192" s="233">
        <v>3303</v>
      </c>
      <c r="J192" s="131">
        <f>2129-I192</f>
        <v>-1174</v>
      </c>
      <c r="K192" s="131">
        <f>4826-J192-I192</f>
        <v>2697</v>
      </c>
      <c r="L192" s="131">
        <f>-2280-K192-J192-I192</f>
        <v>-7106</v>
      </c>
      <c r="M192" s="235">
        <f t="shared" si="198"/>
        <v>-2280</v>
      </c>
      <c r="N192" s="301">
        <v>10664</v>
      </c>
      <c r="O192" s="158"/>
    </row>
    <row r="193" spans="2:15" s="60" customFormat="1" hidden="1" outlineLevel="1" x14ac:dyDescent="0.3">
      <c r="B193" s="116" t="s">
        <v>157</v>
      </c>
      <c r="C193" s="117"/>
      <c r="D193" s="233">
        <v>927</v>
      </c>
      <c r="E193" s="131">
        <f>-821-D193</f>
        <v>-1748</v>
      </c>
      <c r="F193" s="131">
        <f>19468-E193-D193</f>
        <v>20289</v>
      </c>
      <c r="G193" s="234">
        <f>20997-F193-E193-D193</f>
        <v>1529</v>
      </c>
      <c r="H193" s="300">
        <f t="shared" si="201"/>
        <v>20997</v>
      </c>
      <c r="I193" s="233">
        <v>-17485</v>
      </c>
      <c r="J193" s="131">
        <f>-18135-I193</f>
        <v>-650</v>
      </c>
      <c r="K193" s="131">
        <f>4642-J193-I193</f>
        <v>22777</v>
      </c>
      <c r="L193" s="131">
        <f>2986-K193-J193-I193</f>
        <v>-1656</v>
      </c>
      <c r="M193" s="235">
        <f t="shared" si="198"/>
        <v>2986</v>
      </c>
      <c r="N193" s="301">
        <v>-6706</v>
      </c>
      <c r="O193" s="158"/>
    </row>
    <row r="194" spans="2:15" s="60" customFormat="1" hidden="1" outlineLevel="1" x14ac:dyDescent="0.3">
      <c r="B194" s="147" t="s">
        <v>135</v>
      </c>
      <c r="C194" s="148"/>
      <c r="D194" s="233">
        <v>5757</v>
      </c>
      <c r="E194" s="131">
        <f>5454-D194</f>
        <v>-303</v>
      </c>
      <c r="F194" s="131">
        <f>19003-E194-D194</f>
        <v>13549</v>
      </c>
      <c r="G194" s="234">
        <f>8634-F194-E194-D194</f>
        <v>-10369</v>
      </c>
      <c r="H194" s="300">
        <f t="shared" si="201"/>
        <v>8634</v>
      </c>
      <c r="I194" s="233">
        <v>30163</v>
      </c>
      <c r="J194" s="131">
        <f>6497-I194</f>
        <v>-23666</v>
      </c>
      <c r="K194" s="131">
        <f>8993-J194-I194</f>
        <v>2496</v>
      </c>
      <c r="L194" s="131">
        <f>-6271-K194-J194-I194</f>
        <v>-15264</v>
      </c>
      <c r="M194" s="235">
        <f t="shared" si="198"/>
        <v>-6271</v>
      </c>
      <c r="N194" s="301">
        <v>25758</v>
      </c>
      <c r="O194" s="158"/>
    </row>
    <row r="195" spans="2:15" s="60" customFormat="1" hidden="1" outlineLevel="1" x14ac:dyDescent="0.3">
      <c r="B195" s="147" t="s">
        <v>137</v>
      </c>
      <c r="C195" s="148"/>
      <c r="D195" s="233">
        <v>-273</v>
      </c>
      <c r="E195" s="131">
        <f>-557-D195</f>
        <v>-284</v>
      </c>
      <c r="F195" s="131">
        <f>-918-E195-D195</f>
        <v>-361</v>
      </c>
      <c r="G195" s="234">
        <f>-1203-F195-E195-D195</f>
        <v>-285</v>
      </c>
      <c r="H195" s="300">
        <f t="shared" si="201"/>
        <v>-1203</v>
      </c>
      <c r="I195" s="233">
        <v>-285</v>
      </c>
      <c r="J195" s="131">
        <f>-382-I195</f>
        <v>-97</v>
      </c>
      <c r="K195" s="131">
        <f>-659-J195-I195</f>
        <v>-277</v>
      </c>
      <c r="L195" s="131">
        <f>-536-K195-J195-I195</f>
        <v>123</v>
      </c>
      <c r="M195" s="235">
        <f t="shared" si="198"/>
        <v>-536</v>
      </c>
      <c r="N195" s="301">
        <v>-266</v>
      </c>
      <c r="O195" s="158"/>
    </row>
    <row r="196" spans="2:15" s="60" customFormat="1" hidden="1" outlineLevel="1" x14ac:dyDescent="0.3">
      <c r="B196" s="171" t="s">
        <v>168</v>
      </c>
      <c r="C196" s="172"/>
      <c r="D196" s="233">
        <v>-14900</v>
      </c>
      <c r="E196" s="131">
        <v>0</v>
      </c>
      <c r="F196" s="131">
        <v>0</v>
      </c>
      <c r="G196" s="234">
        <v>0</v>
      </c>
      <c r="H196" s="300">
        <f t="shared" si="201"/>
        <v>-14900</v>
      </c>
      <c r="I196" s="233">
        <v>0</v>
      </c>
      <c r="J196" s="131">
        <v>0</v>
      </c>
      <c r="K196" s="131">
        <v>0</v>
      </c>
      <c r="L196" s="131">
        <v>0</v>
      </c>
      <c r="M196" s="235">
        <f t="shared" si="198"/>
        <v>0</v>
      </c>
      <c r="N196" s="301">
        <v>0</v>
      </c>
      <c r="O196" s="158"/>
    </row>
    <row r="197" spans="2:15" s="60" customFormat="1" ht="16.2" hidden="1" outlineLevel="1" x14ac:dyDescent="0.45">
      <c r="B197" s="147" t="s">
        <v>158</v>
      </c>
      <c r="C197" s="148"/>
      <c r="D197" s="213">
        <v>4689</v>
      </c>
      <c r="E197" s="214">
        <f>8461-D197</f>
        <v>3772</v>
      </c>
      <c r="F197" s="214">
        <f>12910-E197-D197</f>
        <v>4449</v>
      </c>
      <c r="G197" s="215">
        <f>17724-F197-E197-D197</f>
        <v>4814</v>
      </c>
      <c r="H197" s="314">
        <f t="shared" si="201"/>
        <v>17724</v>
      </c>
      <c r="I197" s="213">
        <v>6820</v>
      </c>
      <c r="J197" s="214">
        <f>13271-I197</f>
        <v>6451</v>
      </c>
      <c r="K197" s="214">
        <f>18469-J197-I197</f>
        <v>5198</v>
      </c>
      <c r="L197" s="214">
        <f>26562-K197-J197-I197</f>
        <v>8093</v>
      </c>
      <c r="M197" s="216">
        <f t="shared" si="198"/>
        <v>26562</v>
      </c>
      <c r="N197" s="315">
        <v>7392</v>
      </c>
      <c r="O197" s="158"/>
    </row>
    <row r="198" spans="2:15" s="60" customFormat="1" hidden="1" outlineLevel="1" x14ac:dyDescent="0.3">
      <c r="B198" s="335" t="s">
        <v>97</v>
      </c>
      <c r="C198" s="336"/>
      <c r="D198" s="220">
        <f t="shared" ref="D198:L198" si="203">SUM(D172:D197)</f>
        <v>68723</v>
      </c>
      <c r="E198" s="218">
        <f t="shared" si="203"/>
        <v>74924</v>
      </c>
      <c r="F198" s="218">
        <f t="shared" si="203"/>
        <v>129697</v>
      </c>
      <c r="G198" s="230">
        <f t="shared" si="203"/>
        <v>132421</v>
      </c>
      <c r="H198" s="230">
        <f t="shared" si="203"/>
        <v>405765</v>
      </c>
      <c r="I198" s="218">
        <f t="shared" si="203"/>
        <v>96555</v>
      </c>
      <c r="J198" s="218">
        <f t="shared" si="203"/>
        <v>140571</v>
      </c>
      <c r="K198" s="218">
        <f t="shared" si="203"/>
        <v>175076</v>
      </c>
      <c r="L198" s="218">
        <f t="shared" si="203"/>
        <v>119741</v>
      </c>
      <c r="M198" s="219">
        <f t="shared" ref="M198:M205" si="204">SUM(I198:L198)</f>
        <v>531943</v>
      </c>
      <c r="N198" s="303">
        <f>SUM(N172:N197)</f>
        <v>143716</v>
      </c>
      <c r="O198" s="158"/>
    </row>
    <row r="199" spans="2:15" s="60" customFormat="1" ht="4.5" hidden="1" customHeight="1" outlineLevel="1" x14ac:dyDescent="0.3">
      <c r="B199" s="359"/>
      <c r="C199" s="360"/>
      <c r="D199" s="233"/>
      <c r="E199" s="131"/>
      <c r="F199" s="131"/>
      <c r="G199" s="234"/>
      <c r="H199" s="235"/>
      <c r="I199" s="233"/>
      <c r="J199" s="131"/>
      <c r="K199" s="131"/>
      <c r="L199" s="131"/>
      <c r="M199" s="235">
        <f t="shared" si="204"/>
        <v>0</v>
      </c>
      <c r="N199" s="301"/>
    </row>
    <row r="200" spans="2:15" s="60" customFormat="1" hidden="1" outlineLevel="1" x14ac:dyDescent="0.3">
      <c r="B200" s="357" t="s">
        <v>98</v>
      </c>
      <c r="C200" s="358"/>
      <c r="D200" s="233"/>
      <c r="E200" s="131"/>
      <c r="F200" s="131"/>
      <c r="G200" s="234"/>
      <c r="H200" s="235"/>
      <c r="I200" s="233"/>
      <c r="J200" s="131"/>
      <c r="K200" s="131"/>
      <c r="L200" s="131"/>
      <c r="M200" s="235">
        <f t="shared" si="204"/>
        <v>0</v>
      </c>
      <c r="N200" s="301"/>
    </row>
    <row r="201" spans="2:15" s="60" customFormat="1" hidden="1" outlineLevel="1" x14ac:dyDescent="0.3">
      <c r="B201" s="361" t="s">
        <v>115</v>
      </c>
      <c r="C201" s="362"/>
      <c r="D201" s="233">
        <v>-3527</v>
      </c>
      <c r="E201" s="131">
        <f>-14660-D201</f>
        <v>-11133</v>
      </c>
      <c r="F201" s="131">
        <f>-22799-E201-D201</f>
        <v>-8139</v>
      </c>
      <c r="G201" s="234">
        <f>-36347-F201-E201-D201</f>
        <v>-13548</v>
      </c>
      <c r="H201" s="235">
        <f>SUM(D201:G201)</f>
        <v>-36347</v>
      </c>
      <c r="I201" s="233">
        <v>-14410</v>
      </c>
      <c r="J201" s="131">
        <f>-27432-I201</f>
        <v>-13022</v>
      </c>
      <c r="K201" s="131">
        <f>-32591-J201-I201</f>
        <v>-5159</v>
      </c>
      <c r="L201" s="131">
        <f>-35958-K201-J201-I201</f>
        <v>-3367</v>
      </c>
      <c r="M201" s="235">
        <f t="shared" ref="M201" si="205">SUM(I201:L201)</f>
        <v>-35958</v>
      </c>
      <c r="N201" s="301">
        <v>-2472</v>
      </c>
    </row>
    <row r="202" spans="2:15" s="60" customFormat="1" hidden="1" outlineLevel="1" x14ac:dyDescent="0.3">
      <c r="B202" s="361" t="s">
        <v>159</v>
      </c>
      <c r="C202" s="362"/>
      <c r="D202" s="233">
        <v>-125000</v>
      </c>
      <c r="E202" s="131">
        <v>-2000</v>
      </c>
      <c r="F202" s="131">
        <f>-202000-E202-D202</f>
        <v>-75000</v>
      </c>
      <c r="G202" s="234">
        <f>-202626-F202-E202-D202</f>
        <v>-626</v>
      </c>
      <c r="H202" s="235">
        <f>SUM(D202:G202)</f>
        <v>-202626</v>
      </c>
      <c r="I202" s="233">
        <v>0</v>
      </c>
      <c r="J202" s="131">
        <v>0</v>
      </c>
      <c r="K202" s="131">
        <v>0</v>
      </c>
      <c r="L202" s="131">
        <v>0</v>
      </c>
      <c r="M202" s="235">
        <f t="shared" si="204"/>
        <v>0</v>
      </c>
      <c r="N202" s="301">
        <v>-8750</v>
      </c>
    </row>
    <row r="203" spans="2:15" s="60" customFormat="1" hidden="1" outlineLevel="1" x14ac:dyDescent="0.3">
      <c r="B203" s="135" t="s">
        <v>160</v>
      </c>
      <c r="C203" s="136"/>
      <c r="D203" s="233">
        <v>-828676</v>
      </c>
      <c r="E203" s="131">
        <v>0</v>
      </c>
      <c r="F203" s="131">
        <v>0</v>
      </c>
      <c r="G203" s="234">
        <v>0</v>
      </c>
      <c r="H203" s="235">
        <f t="shared" ref="H203:H204" si="206">SUM(D203:G203)</f>
        <v>-828676</v>
      </c>
      <c r="I203" s="233">
        <v>0</v>
      </c>
      <c r="J203" s="131">
        <v>0</v>
      </c>
      <c r="K203" s="131">
        <v>0</v>
      </c>
      <c r="L203" s="131">
        <v>0</v>
      </c>
      <c r="M203" s="235">
        <f t="shared" si="204"/>
        <v>0</v>
      </c>
      <c r="N203" s="301">
        <v>-773</v>
      </c>
    </row>
    <row r="204" spans="2:15" s="60" customFormat="1" hidden="1" outlineLevel="1" x14ac:dyDescent="0.3">
      <c r="B204" s="135" t="s">
        <v>161</v>
      </c>
      <c r="C204" s="136"/>
      <c r="D204" s="233">
        <v>0</v>
      </c>
      <c r="E204" s="131">
        <v>0</v>
      </c>
      <c r="F204" s="131">
        <v>0</v>
      </c>
      <c r="G204" s="234">
        <v>0</v>
      </c>
      <c r="H204" s="235">
        <f t="shared" si="206"/>
        <v>0</v>
      </c>
      <c r="I204" s="233">
        <v>32703</v>
      </c>
      <c r="J204" s="131">
        <f>33703-I204</f>
        <v>1000</v>
      </c>
      <c r="K204" s="131">
        <v>0</v>
      </c>
      <c r="L204" s="131">
        <v>0</v>
      </c>
      <c r="M204" s="235">
        <f t="shared" si="204"/>
        <v>33703</v>
      </c>
      <c r="N204" s="301">
        <v>0</v>
      </c>
    </row>
    <row r="205" spans="2:15" s="60" customFormat="1" ht="16.2" hidden="1" outlineLevel="1" x14ac:dyDescent="0.45">
      <c r="B205" s="116" t="s">
        <v>114</v>
      </c>
      <c r="C205" s="129"/>
      <c r="D205" s="213">
        <v>0</v>
      </c>
      <c r="E205" s="214">
        <v>0</v>
      </c>
      <c r="F205" s="214">
        <v>0</v>
      </c>
      <c r="G205" s="215">
        <v>0</v>
      </c>
      <c r="H205" s="216">
        <f t="shared" ref="H205" si="207">SUM(D205:G205)</f>
        <v>0</v>
      </c>
      <c r="I205" s="213">
        <v>0</v>
      </c>
      <c r="J205" s="214">
        <v>0</v>
      </c>
      <c r="K205" s="214">
        <v>0</v>
      </c>
      <c r="L205" s="214">
        <v>0</v>
      </c>
      <c r="M205" s="216">
        <f t="shared" si="204"/>
        <v>0</v>
      </c>
      <c r="N205" s="315">
        <v>0</v>
      </c>
    </row>
    <row r="206" spans="2:15" s="60" customFormat="1" hidden="1" outlineLevel="1" x14ac:dyDescent="0.3">
      <c r="B206" s="335" t="s">
        <v>166</v>
      </c>
      <c r="C206" s="336"/>
      <c r="D206" s="220">
        <f t="shared" ref="D206:N206" si="208">SUM(D201:D205)</f>
        <v>-957203</v>
      </c>
      <c r="E206" s="218">
        <f t="shared" si="208"/>
        <v>-13133</v>
      </c>
      <c r="F206" s="218">
        <f t="shared" si="208"/>
        <v>-83139</v>
      </c>
      <c r="G206" s="230">
        <f t="shared" si="208"/>
        <v>-14174</v>
      </c>
      <c r="H206" s="219">
        <f t="shared" si="208"/>
        <v>-1067649</v>
      </c>
      <c r="I206" s="220">
        <f t="shared" si="208"/>
        <v>18293</v>
      </c>
      <c r="J206" s="218">
        <f t="shared" si="208"/>
        <v>-12022</v>
      </c>
      <c r="K206" s="218">
        <f t="shared" si="208"/>
        <v>-5159</v>
      </c>
      <c r="L206" s="218">
        <f t="shared" si="208"/>
        <v>-3367</v>
      </c>
      <c r="M206" s="219">
        <f t="shared" si="208"/>
        <v>-2255</v>
      </c>
      <c r="N206" s="303">
        <f t="shared" si="208"/>
        <v>-11995</v>
      </c>
    </row>
    <row r="207" spans="2:15" s="60" customFormat="1" ht="4.5" hidden="1" customHeight="1" outlineLevel="1" x14ac:dyDescent="0.3">
      <c r="B207" s="359"/>
      <c r="C207" s="360"/>
      <c r="D207" s="233"/>
      <c r="E207" s="131"/>
      <c r="F207" s="131"/>
      <c r="G207" s="234"/>
      <c r="H207" s="235"/>
      <c r="I207" s="233"/>
      <c r="J207" s="131"/>
      <c r="K207" s="131"/>
      <c r="L207" s="131"/>
      <c r="M207" s="235"/>
      <c r="N207" s="301"/>
    </row>
    <row r="208" spans="2:15" s="60" customFormat="1" hidden="1" outlineLevel="1" x14ac:dyDescent="0.3">
      <c r="B208" s="357" t="s">
        <v>99</v>
      </c>
      <c r="C208" s="358"/>
      <c r="D208" s="233"/>
      <c r="E208" s="131"/>
      <c r="F208" s="131"/>
      <c r="G208" s="234"/>
      <c r="H208" s="235"/>
      <c r="I208" s="233"/>
      <c r="J208" s="131"/>
      <c r="K208" s="131"/>
      <c r="L208" s="131"/>
      <c r="M208" s="235"/>
      <c r="N208" s="301"/>
    </row>
    <row r="209" spans="2:24" s="60" customFormat="1" hidden="1" outlineLevel="1" x14ac:dyDescent="0.3">
      <c r="B209" s="116" t="s">
        <v>162</v>
      </c>
      <c r="C209" s="117"/>
      <c r="D209" s="233">
        <v>21467</v>
      </c>
      <c r="E209" s="131">
        <f>31642-D209</f>
        <v>10175</v>
      </c>
      <c r="F209" s="131">
        <f>48452-E209-D209</f>
        <v>16810</v>
      </c>
      <c r="G209" s="234">
        <f>58487-F209-E209-D209</f>
        <v>10035</v>
      </c>
      <c r="H209" s="235">
        <f t="shared" ref="H209:H217" si="209">SUM(D209:G209)</f>
        <v>58487</v>
      </c>
      <c r="I209" s="233">
        <v>13504</v>
      </c>
      <c r="J209" s="131">
        <f>26730-I209</f>
        <v>13226</v>
      </c>
      <c r="K209" s="131">
        <f>34025-J209-I209</f>
        <v>7295</v>
      </c>
      <c r="L209" s="131">
        <f>40523-K209-J209-I209</f>
        <v>6498</v>
      </c>
      <c r="M209" s="235">
        <f t="shared" ref="M209:M216" si="210">SUM(I209:L209)</f>
        <v>40523</v>
      </c>
      <c r="N209" s="301">
        <v>3780</v>
      </c>
    </row>
    <row r="210" spans="2:24" s="60" customFormat="1" hidden="1" outlineLevel="1" x14ac:dyDescent="0.3">
      <c r="B210" s="116" t="s">
        <v>163</v>
      </c>
      <c r="C210" s="117"/>
      <c r="D210" s="233">
        <v>-2299</v>
      </c>
      <c r="E210" s="131">
        <f>-4804-D210</f>
        <v>-2505</v>
      </c>
      <c r="F210" s="131">
        <f>-7090-E210-D210</f>
        <v>-2286</v>
      </c>
      <c r="G210" s="234">
        <f>-9524-F210-E210-D210</f>
        <v>-2434</v>
      </c>
      <c r="H210" s="235">
        <f t="shared" si="209"/>
        <v>-9524</v>
      </c>
      <c r="I210" s="233">
        <v>-2284</v>
      </c>
      <c r="J210" s="131">
        <f>-895402-I210</f>
        <v>-893118</v>
      </c>
      <c r="K210" s="131">
        <f>-896363-J210-I210</f>
        <v>-961</v>
      </c>
      <c r="L210" s="131">
        <f>-905760-K210-J210-I210</f>
        <v>-9397</v>
      </c>
      <c r="M210" s="235">
        <f t="shared" si="210"/>
        <v>-905760</v>
      </c>
      <c r="N210" s="301">
        <v>-9397</v>
      </c>
    </row>
    <row r="211" spans="2:24" s="60" customFormat="1" hidden="1" outlineLevel="1" x14ac:dyDescent="0.3">
      <c r="B211" s="171" t="s">
        <v>174</v>
      </c>
      <c r="C211" s="172"/>
      <c r="D211" s="233">
        <v>0</v>
      </c>
      <c r="E211" s="131">
        <v>0</v>
      </c>
      <c r="F211" s="131">
        <v>-300000</v>
      </c>
      <c r="G211" s="234">
        <v>0</v>
      </c>
      <c r="H211" s="235">
        <f t="shared" si="209"/>
        <v>-300000</v>
      </c>
      <c r="I211" s="233">
        <v>0</v>
      </c>
      <c r="J211" s="131">
        <v>0</v>
      </c>
      <c r="K211" s="131">
        <v>-80000</v>
      </c>
      <c r="L211" s="131">
        <v>-80000</v>
      </c>
      <c r="M211" s="235">
        <f t="shared" si="210"/>
        <v>-160000</v>
      </c>
      <c r="N211" s="301"/>
    </row>
    <row r="212" spans="2:24" s="60" customFormat="1" hidden="1" outlineLevel="1" x14ac:dyDescent="0.3">
      <c r="B212" s="361" t="s">
        <v>164</v>
      </c>
      <c r="C212" s="362"/>
      <c r="D212" s="233">
        <v>-9363</v>
      </c>
      <c r="E212" s="131">
        <f>-10551-D212</f>
        <v>-1188</v>
      </c>
      <c r="F212" s="131">
        <f>-17306-E212-D212</f>
        <v>-6755</v>
      </c>
      <c r="G212" s="234">
        <f>-18030-F212-E212-D212</f>
        <v>-724</v>
      </c>
      <c r="H212" s="235">
        <f t="shared" si="209"/>
        <v>-18030</v>
      </c>
      <c r="I212" s="233">
        <v>-14778</v>
      </c>
      <c r="J212" s="131">
        <f>-16679-I212</f>
        <v>-1901</v>
      </c>
      <c r="K212" s="131">
        <f>-25402-J212-I212</f>
        <v>-8723</v>
      </c>
      <c r="L212" s="131">
        <f>-26102-K212-J212-I212</f>
        <v>-700</v>
      </c>
      <c r="M212" s="235">
        <f t="shared" si="210"/>
        <v>-26102</v>
      </c>
      <c r="N212" s="301">
        <v>-12476</v>
      </c>
    </row>
    <row r="213" spans="2:24" s="60" customFormat="1" hidden="1" outlineLevel="1" x14ac:dyDescent="0.3">
      <c r="B213" s="154" t="s">
        <v>167</v>
      </c>
      <c r="C213" s="155"/>
      <c r="D213" s="233">
        <v>0</v>
      </c>
      <c r="E213" s="131">
        <v>-23487</v>
      </c>
      <c r="F213" s="131">
        <f>-29973-E213</f>
        <v>-6486</v>
      </c>
      <c r="G213" s="234">
        <f>-42215-F213-E213-D213</f>
        <v>-12242</v>
      </c>
      <c r="H213" s="235">
        <f t="shared" si="209"/>
        <v>-42215</v>
      </c>
      <c r="I213" s="233">
        <v>-10338</v>
      </c>
      <c r="J213" s="131">
        <f>-11690-I213</f>
        <v>-1352</v>
      </c>
      <c r="K213" s="131">
        <f>-21302-J213-I213</f>
        <v>-9612</v>
      </c>
      <c r="L213" s="131">
        <f>-61553-K213-J213-I213</f>
        <v>-40251</v>
      </c>
      <c r="M213" s="235">
        <f t="shared" si="210"/>
        <v>-61553</v>
      </c>
      <c r="N213" s="301">
        <v>-134365</v>
      </c>
    </row>
    <row r="214" spans="2:24" s="60" customFormat="1" ht="15" hidden="1" customHeight="1" outlineLevel="1" x14ac:dyDescent="0.3">
      <c r="B214" s="361" t="s">
        <v>150</v>
      </c>
      <c r="C214" s="379"/>
      <c r="D214" s="209">
        <v>5777</v>
      </c>
      <c r="E214" s="209">
        <f>792-D214</f>
        <v>-4985</v>
      </c>
      <c r="F214" s="209">
        <f>4075-E214-D214</f>
        <v>3283</v>
      </c>
      <c r="G214" s="209">
        <f>1841-F214-E214-D214</f>
        <v>-2234</v>
      </c>
      <c r="H214" s="235">
        <f t="shared" si="209"/>
        <v>1841</v>
      </c>
      <c r="I214" s="209">
        <v>10635</v>
      </c>
      <c r="J214" s="209">
        <v>-10635</v>
      </c>
      <c r="K214" s="209">
        <v>-320</v>
      </c>
      <c r="L214" s="209">
        <v>320</v>
      </c>
      <c r="M214" s="235">
        <f t="shared" si="210"/>
        <v>0</v>
      </c>
      <c r="N214" s="327">
        <v>7938</v>
      </c>
    </row>
    <row r="215" spans="2:24" s="60" customFormat="1" hidden="1" outlineLevel="1" x14ac:dyDescent="0.3">
      <c r="B215" s="171" t="s">
        <v>170</v>
      </c>
      <c r="C215" s="172"/>
      <c r="D215" s="233">
        <v>636355</v>
      </c>
      <c r="E215" s="131">
        <v>0</v>
      </c>
      <c r="F215" s="131">
        <f>1195366-E215-D215</f>
        <v>559011</v>
      </c>
      <c r="G215" s="234">
        <f>1194385-F215-E215-D215</f>
        <v>-981</v>
      </c>
      <c r="H215" s="235">
        <f t="shared" si="209"/>
        <v>1194385</v>
      </c>
      <c r="I215" s="233">
        <v>0</v>
      </c>
      <c r="J215" s="131">
        <v>901003</v>
      </c>
      <c r="K215" s="131">
        <f>898960-J215</f>
        <v>-2043</v>
      </c>
      <c r="L215" s="131">
        <f>898642-K215-J215-I215</f>
        <v>-318</v>
      </c>
      <c r="M215" s="235">
        <f t="shared" si="210"/>
        <v>898642</v>
      </c>
      <c r="N215" s="301">
        <v>0</v>
      </c>
    </row>
    <row r="216" spans="2:24" s="60" customFormat="1" hidden="1" outlineLevel="1" x14ac:dyDescent="0.3">
      <c r="B216" s="171" t="s">
        <v>171</v>
      </c>
      <c r="C216" s="172"/>
      <c r="D216" s="233">
        <v>-119175</v>
      </c>
      <c r="E216" s="131">
        <f>-136640-D216</f>
        <v>-17465</v>
      </c>
      <c r="F216" s="131">
        <f>-136950-E216-D216</f>
        <v>-310</v>
      </c>
      <c r="G216" s="234">
        <f>-136969-F216-E216-D216</f>
        <v>-19</v>
      </c>
      <c r="H216" s="235">
        <f t="shared" si="209"/>
        <v>-136969</v>
      </c>
      <c r="I216" s="233">
        <v>0</v>
      </c>
      <c r="J216" s="131">
        <v>0</v>
      </c>
      <c r="K216" s="131">
        <v>-60</v>
      </c>
      <c r="L216" s="131">
        <f>-73-K216</f>
        <v>-13</v>
      </c>
      <c r="M216" s="235">
        <f t="shared" si="210"/>
        <v>-73</v>
      </c>
      <c r="N216" s="301">
        <v>0</v>
      </c>
    </row>
    <row r="217" spans="2:24" s="60" customFormat="1" ht="16.2" hidden="1" outlineLevel="1" x14ac:dyDescent="0.45">
      <c r="B217" s="361" t="s">
        <v>172</v>
      </c>
      <c r="C217" s="362"/>
      <c r="D217" s="213">
        <v>-35100</v>
      </c>
      <c r="E217" s="214">
        <v>0</v>
      </c>
      <c r="F217" s="214">
        <v>0</v>
      </c>
      <c r="G217" s="215">
        <v>0</v>
      </c>
      <c r="H217" s="216">
        <f t="shared" si="209"/>
        <v>-35100</v>
      </c>
      <c r="I217" s="213">
        <v>0</v>
      </c>
      <c r="J217" s="214">
        <v>0</v>
      </c>
      <c r="K217" s="214">
        <v>0</v>
      </c>
      <c r="L217" s="214">
        <v>0</v>
      </c>
      <c r="M217" s="216">
        <f t="shared" ref="M217" si="211">SUM(I217:L217)</f>
        <v>0</v>
      </c>
      <c r="N217" s="315">
        <v>7938</v>
      </c>
    </row>
    <row r="218" spans="2:24" s="60" customFormat="1" hidden="1" outlineLevel="1" x14ac:dyDescent="0.3">
      <c r="B218" s="335" t="s">
        <v>165</v>
      </c>
      <c r="C218" s="336"/>
      <c r="D218" s="220">
        <f t="shared" ref="D218:N218" si="212">SUM(D209:D217)</f>
        <v>497662</v>
      </c>
      <c r="E218" s="218">
        <f>SUM(E209:E217)</f>
        <v>-39455</v>
      </c>
      <c r="F218" s="218">
        <f t="shared" si="212"/>
        <v>263267</v>
      </c>
      <c r="G218" s="230">
        <f t="shared" si="212"/>
        <v>-8599</v>
      </c>
      <c r="H218" s="219">
        <f t="shared" si="212"/>
        <v>712875</v>
      </c>
      <c r="I218" s="220">
        <f t="shared" si="212"/>
        <v>-3261</v>
      </c>
      <c r="J218" s="218">
        <f t="shared" si="212"/>
        <v>7223</v>
      </c>
      <c r="K218" s="218">
        <f t="shared" si="212"/>
        <v>-94424</v>
      </c>
      <c r="L218" s="218">
        <f t="shared" si="212"/>
        <v>-123861</v>
      </c>
      <c r="M218" s="219">
        <f t="shared" si="212"/>
        <v>-214323</v>
      </c>
      <c r="N218" s="303">
        <f t="shared" si="212"/>
        <v>-136582</v>
      </c>
    </row>
    <row r="219" spans="2:24" s="61" customFormat="1" hidden="1" outlineLevel="1" x14ac:dyDescent="0.3">
      <c r="B219" s="116" t="s">
        <v>101</v>
      </c>
      <c r="C219" s="117"/>
      <c r="D219" s="208">
        <v>188</v>
      </c>
      <c r="E219" s="321">
        <f>233-D219</f>
        <v>45</v>
      </c>
      <c r="F219" s="321">
        <f>-2807-E219-D219</f>
        <v>-3040</v>
      </c>
      <c r="G219" s="322">
        <f>-3453-F219-E219-D219</f>
        <v>-646</v>
      </c>
      <c r="H219" s="304">
        <f>SUM(D219:G219)</f>
        <v>-3453</v>
      </c>
      <c r="I219" s="323">
        <v>-13026</v>
      </c>
      <c r="J219" s="321">
        <f>-9758-I219</f>
        <v>3268</v>
      </c>
      <c r="K219" s="209">
        <f>-8035-J219-I219</f>
        <v>1723</v>
      </c>
      <c r="L219" s="321">
        <f>-10622-K219-J219-I219</f>
        <v>-2587</v>
      </c>
      <c r="M219" s="304">
        <f>SUM(I219:L219)</f>
        <v>-10622</v>
      </c>
      <c r="N219" s="305">
        <v>3794</v>
      </c>
    </row>
    <row r="220" spans="2:24" s="61" customFormat="1" hidden="1" outlineLevel="1" x14ac:dyDescent="0.3">
      <c r="B220" s="335" t="s">
        <v>100</v>
      </c>
      <c r="C220" s="336"/>
      <c r="D220" s="324">
        <f t="shared" ref="D220:L220" si="213">D218+D206+D198+D219</f>
        <v>-390630</v>
      </c>
      <c r="E220" s="324">
        <f t="shared" si="213"/>
        <v>22381</v>
      </c>
      <c r="F220" s="324">
        <f t="shared" si="213"/>
        <v>306785</v>
      </c>
      <c r="G220" s="324">
        <f t="shared" si="213"/>
        <v>109002</v>
      </c>
      <c r="H220" s="302">
        <f t="shared" si="213"/>
        <v>47538</v>
      </c>
      <c r="I220" s="324">
        <f t="shared" si="213"/>
        <v>98561</v>
      </c>
      <c r="J220" s="324">
        <f t="shared" si="213"/>
        <v>139040</v>
      </c>
      <c r="K220" s="324">
        <f t="shared" si="213"/>
        <v>77216</v>
      </c>
      <c r="L220" s="324">
        <f t="shared" si="213"/>
        <v>-10074</v>
      </c>
      <c r="M220" s="302">
        <f>M218+M206+M198+M219</f>
        <v>304743</v>
      </c>
      <c r="N220" s="302">
        <f>N218+N206+N198+N219</f>
        <v>-1067</v>
      </c>
    </row>
    <row r="221" spans="2:24" s="60" customFormat="1" hidden="1" outlineLevel="1" x14ac:dyDescent="0.3">
      <c r="B221" s="335" t="s">
        <v>102</v>
      </c>
      <c r="C221" s="336"/>
      <c r="D221" s="220">
        <v>636504</v>
      </c>
      <c r="E221" s="324">
        <f>D222</f>
        <v>245874</v>
      </c>
      <c r="F221" s="324">
        <f t="shared" ref="F221:G221" si="214">E222</f>
        <v>268255</v>
      </c>
      <c r="G221" s="325">
        <f t="shared" si="214"/>
        <v>575040</v>
      </c>
      <c r="H221" s="219">
        <f>D221</f>
        <v>636504</v>
      </c>
      <c r="I221" s="326">
        <f>G222</f>
        <v>684042</v>
      </c>
      <c r="J221" s="324">
        <f>I222</f>
        <v>782603</v>
      </c>
      <c r="K221" s="218">
        <f t="shared" ref="K221:L221" si="215">J222</f>
        <v>921643</v>
      </c>
      <c r="L221" s="324">
        <f t="shared" si="215"/>
        <v>998859</v>
      </c>
      <c r="M221" s="302">
        <f>H222</f>
        <v>684042</v>
      </c>
      <c r="N221" s="301">
        <v>988785</v>
      </c>
    </row>
    <row r="222" spans="2:24" s="60" customFormat="1" hidden="1" outlineLevel="1" x14ac:dyDescent="0.3">
      <c r="B222" s="335" t="s">
        <v>103</v>
      </c>
      <c r="C222" s="336"/>
      <c r="D222" s="220">
        <v>245874</v>
      </c>
      <c r="E222" s="324">
        <f>E221+E220</f>
        <v>268255</v>
      </c>
      <c r="F222" s="324">
        <f>F221+F220</f>
        <v>575040</v>
      </c>
      <c r="G222" s="230">
        <f>G221+G220</f>
        <v>684042</v>
      </c>
      <c r="H222" s="302">
        <f>G222</f>
        <v>684042</v>
      </c>
      <c r="I222" s="220">
        <f>I221+I220</f>
        <v>782603</v>
      </c>
      <c r="J222" s="218">
        <f t="shared" ref="J222:L222" si="216">J221+J220</f>
        <v>921643</v>
      </c>
      <c r="K222" s="218">
        <f t="shared" si="216"/>
        <v>998859</v>
      </c>
      <c r="L222" s="218">
        <f t="shared" si="216"/>
        <v>988785</v>
      </c>
      <c r="M222" s="302">
        <f>L222</f>
        <v>988785</v>
      </c>
      <c r="N222" s="301">
        <v>979780</v>
      </c>
    </row>
    <row r="223" spans="2:24" s="60" customFormat="1" hidden="1" outlineLevel="1" x14ac:dyDescent="0.3">
      <c r="B223" s="377" t="s">
        <v>104</v>
      </c>
      <c r="C223" s="378"/>
      <c r="D223" s="328">
        <f>(D123+D124-D143-D149)/D38</f>
        <v>-16.184823838977547</v>
      </c>
      <c r="E223" s="329">
        <f t="shared" ref="E223:N223" si="217">(E123+E124-E143-E149)/E38</f>
        <v>-14.879893552213922</v>
      </c>
      <c r="F223" s="329">
        <f t="shared" si="217"/>
        <v>-12.216719846841098</v>
      </c>
      <c r="G223" s="330">
        <f t="shared" si="217"/>
        <v>-10.475179787437154</v>
      </c>
      <c r="H223" s="331">
        <f t="shared" si="217"/>
        <v>-10.514996646117481</v>
      </c>
      <c r="I223" s="332">
        <f t="shared" si="217"/>
        <v>-8.9169366622196815</v>
      </c>
      <c r="J223" s="329">
        <f t="shared" si="217"/>
        <v>-7.0505785385956568</v>
      </c>
      <c r="K223" s="333">
        <f t="shared" si="217"/>
        <v>-4.6051398169553792</v>
      </c>
      <c r="L223" s="330">
        <f t="shared" si="217"/>
        <v>-3.1734922302806958</v>
      </c>
      <c r="M223" s="331">
        <f t="shared" si="217"/>
        <v>-3.1673805444507899</v>
      </c>
      <c r="N223" s="331">
        <f t="shared" si="217"/>
        <v>-3.2570509331882063</v>
      </c>
      <c r="O223" s="119"/>
      <c r="P223" s="75"/>
      <c r="Q223" s="75"/>
      <c r="R223" s="75"/>
      <c r="S223" s="75"/>
      <c r="T223" s="75"/>
    </row>
    <row r="224" spans="2:24" s="60" customFormat="1" ht="15" customHeight="1" collapsed="1" x14ac:dyDescent="0.3">
      <c r="B224" s="23"/>
      <c r="C224" s="120"/>
      <c r="D224" s="144">
        <f t="shared" ref="D224:N224" si="218">D222-D123</f>
        <v>0</v>
      </c>
      <c r="E224" s="144">
        <f>E222-E123</f>
        <v>0</v>
      </c>
      <c r="F224" s="144">
        <f t="shared" si="218"/>
        <v>0</v>
      </c>
      <c r="G224" s="144">
        <f t="shared" si="218"/>
        <v>0</v>
      </c>
      <c r="H224" s="144">
        <f>H222-H123</f>
        <v>0</v>
      </c>
      <c r="I224" s="144">
        <f t="shared" si="218"/>
        <v>0</v>
      </c>
      <c r="J224" s="144">
        <f t="shared" si="218"/>
        <v>0</v>
      </c>
      <c r="K224" s="144">
        <f t="shared" si="218"/>
        <v>0</v>
      </c>
      <c r="L224" s="144">
        <f>L222-L123</f>
        <v>0</v>
      </c>
      <c r="M224" s="144">
        <f>M222-M123</f>
        <v>0</v>
      </c>
      <c r="N224" s="144">
        <f t="shared" si="218"/>
        <v>0</v>
      </c>
      <c r="O224" s="43"/>
      <c r="P224" s="43"/>
      <c r="Q224" s="43"/>
      <c r="R224" s="43"/>
      <c r="S224" s="43"/>
      <c r="T224" s="43"/>
      <c r="U224" s="43"/>
      <c r="V224" s="43"/>
      <c r="W224" s="43"/>
      <c r="X224" s="85"/>
    </row>
    <row r="225" spans="2:23" ht="15.6" x14ac:dyDescent="0.3">
      <c r="B225" s="345" t="s">
        <v>1</v>
      </c>
      <c r="C225" s="346"/>
      <c r="D225" s="13"/>
      <c r="E225" s="13"/>
      <c r="F225" s="13"/>
      <c r="G225" s="13"/>
      <c r="H225" s="21"/>
      <c r="I225" s="13"/>
      <c r="J225" s="13"/>
      <c r="K225" s="59"/>
      <c r="L225" s="13"/>
      <c r="M225" s="13"/>
      <c r="N225" s="13"/>
      <c r="O225" s="13"/>
      <c r="P225" s="13"/>
      <c r="Q225" s="13"/>
      <c r="R225" s="13"/>
      <c r="S225" s="13"/>
      <c r="T225" s="13"/>
      <c r="U225" s="13"/>
      <c r="V225" s="13"/>
      <c r="W225" s="13"/>
    </row>
    <row r="226" spans="2:23" x14ac:dyDescent="0.3">
      <c r="B226" s="25" t="s">
        <v>23</v>
      </c>
      <c r="C226" s="94">
        <v>13</v>
      </c>
      <c r="D226" s="107"/>
      <c r="E226" s="6"/>
      <c r="F226" s="6"/>
      <c r="G226" s="6"/>
      <c r="H226" s="33"/>
      <c r="I226" s="7"/>
      <c r="J226" s="8"/>
      <c r="K226" s="5"/>
      <c r="L226" s="5"/>
      <c r="M226" s="8"/>
      <c r="N226" s="7"/>
      <c r="O226" s="8"/>
      <c r="P226" s="5"/>
      <c r="Q226" s="5"/>
      <c r="R226" s="8"/>
      <c r="S226" s="7"/>
      <c r="T226" s="8"/>
      <c r="U226" s="5"/>
      <c r="V226" s="5"/>
      <c r="W226" s="8"/>
    </row>
    <row r="227" spans="2:23" x14ac:dyDescent="0.3">
      <c r="B227" s="25" t="s">
        <v>24</v>
      </c>
      <c r="C227" s="95">
        <v>13.8</v>
      </c>
      <c r="D227" s="108"/>
      <c r="E227" s="21"/>
      <c r="F227" s="21"/>
      <c r="G227" s="21"/>
      <c r="H227" s="33"/>
      <c r="I227" s="21"/>
      <c r="J227" s="21"/>
      <c r="K227" s="22"/>
      <c r="L227" s="22"/>
      <c r="M227" s="22"/>
      <c r="N227" s="21"/>
      <c r="O227" s="21"/>
      <c r="P227" s="22"/>
      <c r="Q227" s="22"/>
      <c r="R227" s="22"/>
      <c r="S227" s="21"/>
      <c r="T227" s="21"/>
      <c r="U227" s="22"/>
      <c r="V227" s="22"/>
      <c r="W227" s="22"/>
    </row>
    <row r="228" spans="2:23" x14ac:dyDescent="0.3">
      <c r="B228" s="25" t="s">
        <v>25</v>
      </c>
      <c r="C228" s="95">
        <v>11.7</v>
      </c>
      <c r="D228" s="108"/>
      <c r="E228" s="21"/>
      <c r="F228" s="29"/>
      <c r="G228" s="21"/>
      <c r="H228" s="33"/>
      <c r="I228" s="21"/>
      <c r="J228" s="21"/>
      <c r="K228" s="22"/>
      <c r="L228" s="22"/>
      <c r="M228" s="22"/>
      <c r="N228" s="21"/>
      <c r="O228" s="21"/>
      <c r="P228" s="22"/>
      <c r="Q228" s="22"/>
      <c r="R228" s="22"/>
      <c r="S228" s="21"/>
      <c r="T228" s="21"/>
      <c r="U228" s="22"/>
      <c r="V228" s="22"/>
      <c r="W228" s="22"/>
    </row>
    <row r="229" spans="2:23" x14ac:dyDescent="0.3">
      <c r="B229" s="25" t="s">
        <v>2</v>
      </c>
      <c r="C229" s="96">
        <v>12.840299999999999</v>
      </c>
      <c r="D229" s="108"/>
      <c r="E229" s="21"/>
      <c r="F229" s="21"/>
      <c r="G229" s="21"/>
      <c r="H229" s="33"/>
      <c r="I229" s="21"/>
      <c r="J229" s="21"/>
      <c r="K229" s="22"/>
      <c r="L229" s="22"/>
      <c r="M229" s="22"/>
      <c r="N229" s="21"/>
      <c r="O229" s="21"/>
      <c r="P229" s="22"/>
      <c r="Q229" s="22"/>
      <c r="R229" s="22"/>
      <c r="S229" s="21"/>
      <c r="T229" s="21"/>
      <c r="U229" s="22"/>
      <c r="V229" s="22"/>
      <c r="W229" s="22"/>
    </row>
    <row r="230" spans="2:23" s="28" customFormat="1" x14ac:dyDescent="0.3">
      <c r="B230" s="4" t="s">
        <v>29</v>
      </c>
      <c r="C230" s="34">
        <f>N223</f>
        <v>-3.2570509331882063</v>
      </c>
      <c r="D230" s="108"/>
      <c r="E230" s="21"/>
      <c r="F230" s="21"/>
      <c r="G230" s="21"/>
      <c r="H230" s="33"/>
      <c r="I230" s="21"/>
      <c r="J230" s="21"/>
      <c r="K230" s="22"/>
      <c r="L230" s="22"/>
      <c r="M230" s="22"/>
      <c r="N230" s="21"/>
      <c r="O230" s="21"/>
      <c r="P230" s="22"/>
      <c r="Q230" s="22"/>
      <c r="R230" s="22"/>
      <c r="S230" s="21"/>
      <c r="T230" s="21"/>
      <c r="U230" s="22"/>
      <c r="V230" s="22"/>
      <c r="W230" s="22"/>
    </row>
    <row r="231" spans="2:23" x14ac:dyDescent="0.3">
      <c r="B231" s="14" t="s">
        <v>30</v>
      </c>
      <c r="C231" s="334">
        <f>(Q41+N41+O41+P41)*C229+C230</f>
        <v>140.00036380062107</v>
      </c>
      <c r="D231" s="109"/>
      <c r="E231" s="21"/>
      <c r="F231" s="21"/>
      <c r="G231" s="21"/>
      <c r="H231" s="33"/>
      <c r="I231" s="21"/>
      <c r="J231" s="21"/>
      <c r="K231" s="22"/>
      <c r="L231" s="22"/>
      <c r="M231" s="22"/>
      <c r="N231" s="21"/>
      <c r="O231" s="21"/>
      <c r="P231" s="22"/>
      <c r="Q231" s="22"/>
      <c r="R231" s="22"/>
      <c r="S231" s="21"/>
      <c r="T231" s="21"/>
      <c r="U231" s="22"/>
      <c r="V231" s="22"/>
      <c r="W231" s="22"/>
    </row>
    <row r="232" spans="2:23" s="28" customFormat="1" ht="126.75" customHeight="1" x14ac:dyDescent="0.3">
      <c r="B232" s="347" t="s">
        <v>244</v>
      </c>
      <c r="C232" s="348"/>
      <c r="D232" s="109"/>
      <c r="E232" s="21"/>
      <c r="F232" s="21"/>
      <c r="G232" s="21"/>
      <c r="H232" s="21"/>
      <c r="I232" s="21"/>
      <c r="J232" s="21"/>
      <c r="K232" s="22"/>
      <c r="L232" s="22"/>
      <c r="M232" s="22"/>
      <c r="N232" s="21"/>
      <c r="O232" s="21"/>
      <c r="P232" s="22"/>
      <c r="Q232" s="22"/>
      <c r="R232" s="22"/>
      <c r="S232" s="21"/>
      <c r="T232" s="21"/>
      <c r="U232" s="22"/>
      <c r="V232" s="22"/>
      <c r="W232" s="22"/>
    </row>
    <row r="233" spans="2:23" s="28" customFormat="1" ht="65.25" customHeight="1" x14ac:dyDescent="0.3">
      <c r="B233" s="343" t="s">
        <v>64</v>
      </c>
      <c r="C233" s="344"/>
      <c r="D233" s="109"/>
      <c r="E233" s="21"/>
      <c r="F233" s="21"/>
      <c r="G233" s="21"/>
      <c r="H233" s="21"/>
      <c r="I233" s="21"/>
      <c r="J233" s="21"/>
      <c r="K233" s="22"/>
      <c r="L233" s="22"/>
      <c r="M233" s="22"/>
      <c r="N233" s="21"/>
      <c r="O233" s="21"/>
      <c r="P233" s="22"/>
      <c r="Q233" s="22"/>
      <c r="R233" s="22"/>
      <c r="S233" s="21"/>
      <c r="T233" s="21"/>
      <c r="U233" s="22"/>
      <c r="V233" s="22"/>
      <c r="W233" s="22"/>
    </row>
    <row r="234" spans="2:23" x14ac:dyDescent="0.3">
      <c r="B234" s="11"/>
      <c r="C234" s="1"/>
      <c r="D234" s="9"/>
    </row>
    <row r="235" spans="2:23" ht="15.6" x14ac:dyDescent="0.3">
      <c r="B235" s="345" t="s">
        <v>72</v>
      </c>
      <c r="C235" s="346"/>
      <c r="D235" s="9"/>
    </row>
    <row r="236" spans="2:23" x14ac:dyDescent="0.3">
      <c r="B236" s="101" t="s">
        <v>68</v>
      </c>
      <c r="C236" s="111">
        <v>2.0899999999999998E-2</v>
      </c>
    </row>
    <row r="237" spans="2:23" s="60" customFormat="1" x14ac:dyDescent="0.3">
      <c r="B237" s="4" t="s">
        <v>69</v>
      </c>
      <c r="C237" s="112">
        <v>9.4200000000000006E-2</v>
      </c>
      <c r="D237" s="1"/>
      <c r="E237" s="1"/>
      <c r="F237" s="1"/>
      <c r="G237" s="1"/>
      <c r="H237" s="1"/>
      <c r="I237" s="1"/>
      <c r="J237" s="1"/>
      <c r="K237" s="3"/>
      <c r="L237" s="3"/>
      <c r="M237" s="3"/>
      <c r="N237" s="1"/>
      <c r="O237" s="1"/>
      <c r="P237" s="3"/>
      <c r="Q237" s="3"/>
      <c r="R237" s="3"/>
      <c r="S237" s="1"/>
      <c r="T237" s="1"/>
      <c r="U237" s="3"/>
      <c r="V237" s="3"/>
      <c r="W237" s="3"/>
    </row>
    <row r="238" spans="2:23" s="60" customFormat="1" x14ac:dyDescent="0.3">
      <c r="B238" s="4" t="s">
        <v>73</v>
      </c>
      <c r="C238" s="102">
        <f>C231</f>
        <v>140.00036380062107</v>
      </c>
      <c r="D238" s="1"/>
      <c r="E238" s="1"/>
      <c r="F238" s="1"/>
      <c r="G238" s="1"/>
      <c r="H238" s="1"/>
      <c r="I238" s="1"/>
      <c r="J238" s="1"/>
      <c r="K238" s="3"/>
      <c r="L238" s="3"/>
      <c r="M238" s="3"/>
      <c r="N238" s="1"/>
      <c r="O238" s="1"/>
      <c r="P238" s="3"/>
      <c r="Q238" s="3"/>
      <c r="R238" s="3"/>
      <c r="S238" s="1"/>
      <c r="T238" s="1"/>
      <c r="U238" s="3"/>
      <c r="V238" s="3"/>
      <c r="W238" s="3"/>
    </row>
    <row r="239" spans="2:23" x14ac:dyDescent="0.3">
      <c r="B239" s="25" t="s">
        <v>70</v>
      </c>
      <c r="C239" s="102">
        <f>C238*(1+(C237+2*C236))</f>
        <v>159.04041327750556</v>
      </c>
      <c r="H239" s="100"/>
    </row>
    <row r="240" spans="2:23" x14ac:dyDescent="0.3">
      <c r="B240" s="103" t="s">
        <v>71</v>
      </c>
      <c r="C240" s="104">
        <f>C238*(1-(C237+2*C236))</f>
        <v>120.96031432373661</v>
      </c>
      <c r="H240" s="99"/>
    </row>
    <row r="241" spans="2:23" s="60" customFormat="1" ht="15" customHeight="1" x14ac:dyDescent="0.3">
      <c r="B241" s="339" t="s">
        <v>245</v>
      </c>
      <c r="C241" s="340"/>
      <c r="D241" s="1"/>
      <c r="E241" s="1"/>
      <c r="F241" s="1"/>
      <c r="G241" s="1"/>
      <c r="H241" s="1"/>
      <c r="I241" s="1"/>
      <c r="J241" s="1"/>
      <c r="K241" s="3"/>
      <c r="L241" s="3"/>
      <c r="M241" s="3"/>
      <c r="N241" s="1"/>
      <c r="O241" s="1"/>
      <c r="P241" s="3"/>
      <c r="Q241" s="3"/>
      <c r="R241" s="3"/>
      <c r="S241" s="1"/>
      <c r="T241" s="1"/>
      <c r="U241" s="3"/>
      <c r="V241" s="3"/>
      <c r="W241" s="3"/>
    </row>
    <row r="242" spans="2:23" x14ac:dyDescent="0.3">
      <c r="B242" s="339"/>
      <c r="C242" s="340"/>
    </row>
    <row r="243" spans="2:23" x14ac:dyDescent="0.3">
      <c r="B243" s="339"/>
      <c r="C243" s="340"/>
    </row>
    <row r="244" spans="2:23" x14ac:dyDescent="0.3">
      <c r="B244" s="339"/>
      <c r="C244" s="340"/>
    </row>
    <row r="245" spans="2:23" x14ac:dyDescent="0.3">
      <c r="B245" s="339"/>
      <c r="C245" s="340"/>
    </row>
    <row r="246" spans="2:23" x14ac:dyDescent="0.3">
      <c r="B246" s="339"/>
      <c r="C246" s="340"/>
    </row>
    <row r="247" spans="2:23" x14ac:dyDescent="0.3">
      <c r="B247" s="339"/>
      <c r="C247" s="340"/>
    </row>
    <row r="248" spans="2:23" x14ac:dyDescent="0.3">
      <c r="B248" s="339"/>
      <c r="C248" s="340"/>
    </row>
    <row r="249" spans="2:23" x14ac:dyDescent="0.3">
      <c r="B249" s="339"/>
      <c r="C249" s="340"/>
    </row>
    <row r="250" spans="2:23" x14ac:dyDescent="0.3">
      <c r="B250" s="339"/>
      <c r="C250" s="340"/>
    </row>
    <row r="251" spans="2:23" x14ac:dyDescent="0.3">
      <c r="B251" s="339"/>
      <c r="C251" s="340"/>
    </row>
    <row r="252" spans="2:23" x14ac:dyDescent="0.3">
      <c r="B252" s="339"/>
      <c r="C252" s="340"/>
    </row>
    <row r="253" spans="2:23" x14ac:dyDescent="0.3">
      <c r="B253" s="339"/>
      <c r="C253" s="340"/>
    </row>
    <row r="254" spans="2:23" x14ac:dyDescent="0.3">
      <c r="B254" s="339"/>
      <c r="C254" s="340"/>
    </row>
    <row r="255" spans="2:23" x14ac:dyDescent="0.3">
      <c r="B255" s="339"/>
      <c r="C255" s="340"/>
    </row>
    <row r="256" spans="2:23" x14ac:dyDescent="0.3">
      <c r="B256" s="341"/>
      <c r="C256" s="342"/>
    </row>
    <row r="258" spans="2:2" x14ac:dyDescent="0.3">
      <c r="B258" s="113" t="s">
        <v>75</v>
      </c>
    </row>
  </sheetData>
  <dataConsolidate/>
  <mergeCells count="98">
    <mergeCell ref="B207:C207"/>
    <mergeCell ref="B208:C208"/>
    <mergeCell ref="B212:C212"/>
    <mergeCell ref="B217:C217"/>
    <mergeCell ref="B214:C214"/>
    <mergeCell ref="B223:C223"/>
    <mergeCell ref="B218:C218"/>
    <mergeCell ref="B220:C220"/>
    <mergeCell ref="B221:C221"/>
    <mergeCell ref="B222:C222"/>
    <mergeCell ref="B199:C199"/>
    <mergeCell ref="B200:C200"/>
    <mergeCell ref="B202:C202"/>
    <mergeCell ref="B206:C206"/>
    <mergeCell ref="B187:C187"/>
    <mergeCell ref="B188:C188"/>
    <mergeCell ref="B190:C190"/>
    <mergeCell ref="B192:C192"/>
    <mergeCell ref="B198:C198"/>
    <mergeCell ref="B201:C201"/>
    <mergeCell ref="B173:C173"/>
    <mergeCell ref="B181:C181"/>
    <mergeCell ref="B186:C186"/>
    <mergeCell ref="B168:C168"/>
    <mergeCell ref="B169:C169"/>
    <mergeCell ref="B170:C170"/>
    <mergeCell ref="B171:C171"/>
    <mergeCell ref="B142:C142"/>
    <mergeCell ref="B147:C147"/>
    <mergeCell ref="B151:C151"/>
    <mergeCell ref="B152:C152"/>
    <mergeCell ref="B172:C172"/>
    <mergeCell ref="B166:C166"/>
    <mergeCell ref="B153:C153"/>
    <mergeCell ref="B155:C155"/>
    <mergeCell ref="B157:C157"/>
    <mergeCell ref="B162:C162"/>
    <mergeCell ref="B165:C165"/>
    <mergeCell ref="B141:C141"/>
    <mergeCell ref="B124:C124"/>
    <mergeCell ref="B125:C125"/>
    <mergeCell ref="B127:C127"/>
    <mergeCell ref="B131:C131"/>
    <mergeCell ref="B132:C132"/>
    <mergeCell ref="B31:C31"/>
    <mergeCell ref="B38:C38"/>
    <mergeCell ref="B37:C37"/>
    <mergeCell ref="B90:C90"/>
    <mergeCell ref="B140:C140"/>
    <mergeCell ref="B45:C45"/>
    <mergeCell ref="B92:C92"/>
    <mergeCell ref="B86:C86"/>
    <mergeCell ref="B91:C91"/>
    <mergeCell ref="B61:C61"/>
    <mergeCell ref="B94:C94"/>
    <mergeCell ref="B13:C13"/>
    <mergeCell ref="B24:C24"/>
    <mergeCell ref="B28:C28"/>
    <mergeCell ref="B26:C26"/>
    <mergeCell ref="B17:C17"/>
    <mergeCell ref="B20:C20"/>
    <mergeCell ref="B139:C139"/>
    <mergeCell ref="B40:C40"/>
    <mergeCell ref="B89:C89"/>
    <mergeCell ref="B235:C235"/>
    <mergeCell ref="B2:C2"/>
    <mergeCell ref="B114:C114"/>
    <mergeCell ref="B113:C113"/>
    <mergeCell ref="B3:C3"/>
    <mergeCell ref="B4:C4"/>
    <mergeCell ref="B5:C5"/>
    <mergeCell ref="B9:C9"/>
    <mergeCell ref="B36:C36"/>
    <mergeCell ref="B10:C10"/>
    <mergeCell ref="B32:C32"/>
    <mergeCell ref="B11:C11"/>
    <mergeCell ref="B12:C12"/>
    <mergeCell ref="B121:C121"/>
    <mergeCell ref="B122:C122"/>
    <mergeCell ref="B123:C123"/>
    <mergeCell ref="B137:C137"/>
    <mergeCell ref="B138:C138"/>
    <mergeCell ref="B30:C30"/>
    <mergeCell ref="B46:C46"/>
    <mergeCell ref="B241:C256"/>
    <mergeCell ref="B233:C233"/>
    <mergeCell ref="B225:C225"/>
    <mergeCell ref="B232:C232"/>
    <mergeCell ref="B39:C39"/>
    <mergeCell ref="B55:C55"/>
    <mergeCell ref="B56:C56"/>
    <mergeCell ref="B44:C44"/>
    <mergeCell ref="B41:C41"/>
    <mergeCell ref="B117:C117"/>
    <mergeCell ref="B116:C116"/>
    <mergeCell ref="B115:C115"/>
    <mergeCell ref="B119:C119"/>
    <mergeCell ref="B120:C120"/>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2016-07-05T19:35:32Z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