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828"/>
  <workbookPr defaultThemeVersion="124226"/>
  <mc:AlternateContent xmlns:mc="http://schemas.openxmlformats.org/markup-compatibility/2006">
    <mc:Choice Requires="x15">
      <x15ac:absPath xmlns:x15ac="http://schemas.microsoft.com/office/spreadsheetml/2010/11/ac" url="C:\Users\Admin\Documents\Articles (2-15-2016)\PSX\"/>
    </mc:Choice>
  </mc:AlternateContent>
  <bookViews>
    <workbookView xWindow="0" yWindow="0" windowWidth="19200" windowHeight="9672"/>
  </bookViews>
  <sheets>
    <sheet name="Earnings Model" sheetId="3" r:id="rId1"/>
  </sheets>
  <externalReferences>
    <externalReference r:id="rId2"/>
  </externalReferences>
  <definedNames>
    <definedName name="DATA">'[1]Estimates by Analyst'!$B$6:$M$50</definedName>
    <definedName name="_xlnm.Print_Area" localSheetId="0">'Earnings Model'!$A$1:$R$242</definedName>
  </definedNames>
  <calcPr calcId="162913" concurrentCalc="0"/>
</workbook>
</file>

<file path=xl/calcChain.xml><?xml version="1.0" encoding="utf-8"?>
<calcChain xmlns="http://schemas.openxmlformats.org/spreadsheetml/2006/main">
  <c r="C215" i="3" l="1"/>
  <c r="I208" i="3"/>
  <c r="H208" i="3"/>
  <c r="G208" i="3"/>
  <c r="F208" i="3"/>
  <c r="E208" i="3"/>
  <c r="D208" i="3"/>
  <c r="H156" i="3"/>
  <c r="H154" i="3"/>
  <c r="H153" i="3"/>
  <c r="H152" i="3"/>
  <c r="H151" i="3"/>
  <c r="H150" i="3"/>
  <c r="H149" i="3"/>
  <c r="H147" i="3"/>
  <c r="H144" i="3"/>
  <c r="H143" i="3"/>
  <c r="H142" i="3"/>
  <c r="H141" i="3"/>
  <c r="H139" i="3"/>
  <c r="H138" i="3"/>
  <c r="H137" i="3"/>
  <c r="H133" i="3"/>
  <c r="H132" i="3"/>
  <c r="H131" i="3"/>
  <c r="H130" i="3"/>
  <c r="H128" i="3"/>
  <c r="H127" i="3"/>
  <c r="H126" i="3"/>
  <c r="H125" i="3"/>
  <c r="H124" i="3"/>
  <c r="H209" i="3"/>
  <c r="I207" i="3"/>
  <c r="H164" i="3"/>
  <c r="H194" i="3"/>
  <c r="H195" i="3"/>
  <c r="H196" i="3"/>
  <c r="H197" i="3"/>
  <c r="H198" i="3"/>
  <c r="H199" i="3"/>
  <c r="H200" i="3"/>
  <c r="H201" i="3"/>
  <c r="H202" i="3"/>
  <c r="H203" i="3"/>
  <c r="H185" i="3"/>
  <c r="H186" i="3"/>
  <c r="H187" i="3"/>
  <c r="H188" i="3"/>
  <c r="H189" i="3"/>
  <c r="H190" i="3"/>
  <c r="H191" i="3"/>
  <c r="D180" i="3"/>
  <c r="E179" i="3"/>
  <c r="E180" i="3"/>
  <c r="F180" i="3"/>
  <c r="G180" i="3"/>
  <c r="H180" i="3"/>
  <c r="H181" i="3"/>
  <c r="H182" i="3"/>
  <c r="H204" i="3"/>
  <c r="H205" i="3"/>
  <c r="H207" i="3"/>
  <c r="J111" i="3"/>
  <c r="J106" i="3"/>
  <c r="J92" i="3"/>
  <c r="J76" i="3"/>
  <c r="J64" i="3"/>
  <c r="J25" i="3"/>
  <c r="J55" i="3"/>
  <c r="I36" i="3"/>
  <c r="G36" i="3"/>
  <c r="I114" i="3"/>
  <c r="G35" i="3"/>
  <c r="I113" i="3"/>
  <c r="G116" i="3"/>
  <c r="I115" i="3"/>
  <c r="J117" i="3"/>
  <c r="J35" i="3"/>
  <c r="J44" i="3"/>
  <c r="J53" i="3"/>
  <c r="J56" i="3"/>
  <c r="J58" i="3"/>
  <c r="J59" i="3"/>
  <c r="J60" i="3"/>
  <c r="J61" i="3"/>
  <c r="J70" i="3"/>
  <c r="J72" i="3"/>
  <c r="J73" i="3"/>
  <c r="J85" i="3"/>
  <c r="J87" i="3"/>
  <c r="J88" i="3"/>
  <c r="J89" i="3"/>
  <c r="J98" i="3"/>
  <c r="J100" i="3"/>
  <c r="J102" i="3"/>
  <c r="J103" i="3"/>
  <c r="J109" i="3"/>
  <c r="J23" i="3"/>
  <c r="J24" i="3"/>
  <c r="I26" i="3"/>
  <c r="G26" i="3"/>
  <c r="J26" i="3"/>
  <c r="J28" i="3"/>
  <c r="J29" i="3"/>
  <c r="J30" i="3"/>
  <c r="J31" i="3"/>
  <c r="J32" i="3"/>
  <c r="J33" i="3"/>
  <c r="J34" i="3"/>
  <c r="K31" i="3"/>
  <c r="L31" i="3"/>
  <c r="N31" i="3"/>
  <c r="O31" i="3"/>
  <c r="P31" i="3"/>
  <c r="Q31" i="3"/>
  <c r="R31" i="3"/>
  <c r="M31" i="3"/>
  <c r="K30" i="3"/>
  <c r="L30" i="3"/>
  <c r="N30" i="3"/>
  <c r="O30" i="3"/>
  <c r="P30" i="3"/>
  <c r="Q30" i="3"/>
  <c r="R30" i="3"/>
  <c r="M30" i="3"/>
  <c r="Q44" i="3"/>
  <c r="Q53" i="3"/>
  <c r="K55" i="3"/>
  <c r="L55" i="3"/>
  <c r="N55" i="3"/>
  <c r="O55" i="3"/>
  <c r="P55" i="3"/>
  <c r="Q55" i="3"/>
  <c r="Q56" i="3"/>
  <c r="Q58" i="3"/>
  <c r="Q59" i="3"/>
  <c r="K60" i="3"/>
  <c r="L60" i="3"/>
  <c r="N60" i="3"/>
  <c r="O60" i="3"/>
  <c r="P60" i="3"/>
  <c r="Q60" i="3"/>
  <c r="Q61" i="3"/>
  <c r="Q70" i="3"/>
  <c r="Q72" i="3"/>
  <c r="Q73" i="3"/>
  <c r="Q85" i="3"/>
  <c r="Q87" i="3"/>
  <c r="K88" i="3"/>
  <c r="L88" i="3"/>
  <c r="N88" i="3"/>
  <c r="O88" i="3"/>
  <c r="P88" i="3"/>
  <c r="Q88" i="3"/>
  <c r="Q89" i="3"/>
  <c r="Q98" i="3"/>
  <c r="Q100" i="3"/>
  <c r="K102" i="3"/>
  <c r="L102" i="3"/>
  <c r="N102" i="3"/>
  <c r="O102" i="3"/>
  <c r="P102" i="3"/>
  <c r="Q102" i="3"/>
  <c r="Q103" i="3"/>
  <c r="K108" i="3"/>
  <c r="L108" i="3"/>
  <c r="N108" i="3"/>
  <c r="O108" i="3"/>
  <c r="P108" i="3"/>
  <c r="Q108" i="3"/>
  <c r="Q109" i="3"/>
  <c r="Q23" i="3"/>
  <c r="Q24" i="3"/>
  <c r="K25" i="3"/>
  <c r="L25" i="3"/>
  <c r="N25" i="3"/>
  <c r="O25" i="3"/>
  <c r="P25" i="3"/>
  <c r="Q25" i="3"/>
  <c r="K26" i="3"/>
  <c r="L26" i="3"/>
  <c r="N26" i="3"/>
  <c r="O26" i="3"/>
  <c r="P26" i="3"/>
  <c r="Q26" i="3"/>
  <c r="Q28" i="3"/>
  <c r="Q29" i="3"/>
  <c r="P44" i="3"/>
  <c r="P53" i="3"/>
  <c r="P56" i="3"/>
  <c r="P58" i="3"/>
  <c r="P59" i="3"/>
  <c r="P61" i="3"/>
  <c r="P70" i="3"/>
  <c r="P72" i="3"/>
  <c r="P73" i="3"/>
  <c r="P85" i="3"/>
  <c r="P87" i="3"/>
  <c r="P89" i="3"/>
  <c r="P98" i="3"/>
  <c r="P100" i="3"/>
  <c r="P103" i="3"/>
  <c r="P109" i="3"/>
  <c r="P23" i="3"/>
  <c r="P24" i="3"/>
  <c r="P28" i="3"/>
  <c r="P29" i="3"/>
  <c r="O44" i="3"/>
  <c r="O53" i="3"/>
  <c r="O56" i="3"/>
  <c r="O58" i="3"/>
  <c r="O59" i="3"/>
  <c r="O61" i="3"/>
  <c r="O70" i="3"/>
  <c r="O72" i="3"/>
  <c r="O73" i="3"/>
  <c r="O85" i="3"/>
  <c r="O87" i="3"/>
  <c r="O89" i="3"/>
  <c r="O98" i="3"/>
  <c r="O100" i="3"/>
  <c r="O103" i="3"/>
  <c r="O109" i="3"/>
  <c r="O23" i="3"/>
  <c r="O24" i="3"/>
  <c r="O28" i="3"/>
  <c r="O29" i="3"/>
  <c r="N44" i="3"/>
  <c r="N53" i="3"/>
  <c r="N56" i="3"/>
  <c r="N58" i="3"/>
  <c r="N59" i="3"/>
  <c r="N61" i="3"/>
  <c r="N70" i="3"/>
  <c r="N72" i="3"/>
  <c r="N73" i="3"/>
  <c r="N85" i="3"/>
  <c r="N87" i="3"/>
  <c r="N89" i="3"/>
  <c r="N98" i="3"/>
  <c r="N100" i="3"/>
  <c r="N103" i="3"/>
  <c r="N109" i="3"/>
  <c r="N23" i="3"/>
  <c r="N24" i="3"/>
  <c r="N28" i="3"/>
  <c r="N29" i="3"/>
  <c r="L44" i="3"/>
  <c r="L53" i="3"/>
  <c r="L56" i="3"/>
  <c r="L58" i="3"/>
  <c r="L59" i="3"/>
  <c r="L61" i="3"/>
  <c r="L70" i="3"/>
  <c r="L72" i="3"/>
  <c r="L73" i="3"/>
  <c r="L85" i="3"/>
  <c r="L87" i="3"/>
  <c r="L89" i="3"/>
  <c r="L98" i="3"/>
  <c r="L100" i="3"/>
  <c r="L103" i="3"/>
  <c r="L109" i="3"/>
  <c r="L23" i="3"/>
  <c r="L24" i="3"/>
  <c r="L28" i="3"/>
  <c r="L29" i="3"/>
  <c r="K44" i="3"/>
  <c r="K53" i="3"/>
  <c r="K56" i="3"/>
  <c r="K58" i="3"/>
  <c r="K59" i="3"/>
  <c r="K61" i="3"/>
  <c r="K70" i="3"/>
  <c r="K72" i="3"/>
  <c r="K73" i="3"/>
  <c r="K85" i="3"/>
  <c r="K87" i="3"/>
  <c r="K89" i="3"/>
  <c r="K98" i="3"/>
  <c r="K100" i="3"/>
  <c r="K103" i="3"/>
  <c r="K109" i="3"/>
  <c r="K23" i="3"/>
  <c r="K24" i="3"/>
  <c r="K28" i="3"/>
  <c r="K29" i="3"/>
  <c r="R23" i="3"/>
  <c r="R24" i="3"/>
  <c r="R25" i="3"/>
  <c r="R26" i="3"/>
  <c r="R28" i="3"/>
  <c r="I15" i="3"/>
  <c r="I23" i="3"/>
  <c r="M23" i="3"/>
  <c r="M24" i="3"/>
  <c r="M25" i="3"/>
  <c r="M26" i="3"/>
  <c r="M28" i="3"/>
  <c r="I27" i="3"/>
  <c r="I28" i="3"/>
  <c r="D15" i="3"/>
  <c r="D27" i="3"/>
  <c r="D28" i="3"/>
  <c r="D32" i="3"/>
  <c r="D33" i="3"/>
  <c r="D34" i="3"/>
  <c r="D36" i="3"/>
  <c r="D39" i="3"/>
  <c r="R29" i="3"/>
  <c r="R32" i="3"/>
  <c r="K64" i="3"/>
  <c r="L64" i="3"/>
  <c r="N64" i="3"/>
  <c r="K76" i="3"/>
  <c r="L76" i="3"/>
  <c r="N76" i="3"/>
  <c r="K92" i="3"/>
  <c r="L92" i="3"/>
  <c r="N92" i="3"/>
  <c r="K106" i="3"/>
  <c r="L106" i="3"/>
  <c r="N106" i="3"/>
  <c r="K111" i="3"/>
  <c r="L111" i="3"/>
  <c r="N111" i="3"/>
  <c r="N33" i="3"/>
  <c r="O64" i="3"/>
  <c r="O76" i="3"/>
  <c r="O92" i="3"/>
  <c r="O106" i="3"/>
  <c r="O111" i="3"/>
  <c r="O33" i="3"/>
  <c r="P64" i="3"/>
  <c r="P76" i="3"/>
  <c r="P92" i="3"/>
  <c r="P106" i="3"/>
  <c r="P111" i="3"/>
  <c r="P33" i="3"/>
  <c r="Q64" i="3"/>
  <c r="Q76" i="3"/>
  <c r="Q92" i="3"/>
  <c r="Q106" i="3"/>
  <c r="Q111" i="3"/>
  <c r="Q33" i="3"/>
  <c r="R33" i="3"/>
  <c r="R34" i="3"/>
  <c r="Q32" i="3"/>
  <c r="Q34" i="3"/>
  <c r="P32" i="3"/>
  <c r="P34" i="3"/>
  <c r="O32" i="3"/>
  <c r="O34" i="3"/>
  <c r="N32" i="3"/>
  <c r="N34" i="3"/>
  <c r="M29" i="3"/>
  <c r="M32" i="3"/>
  <c r="I33" i="3"/>
  <c r="K33" i="3"/>
  <c r="L33" i="3"/>
  <c r="M33" i="3"/>
  <c r="M34" i="3"/>
  <c r="L32" i="3"/>
  <c r="L34" i="3"/>
  <c r="K32" i="3"/>
  <c r="K34" i="3"/>
  <c r="I32" i="3"/>
  <c r="I34" i="3"/>
  <c r="H11" i="3"/>
  <c r="H12" i="3"/>
  <c r="H13" i="3"/>
  <c r="H14" i="3"/>
  <c r="H15" i="3"/>
  <c r="H16" i="3"/>
  <c r="H17" i="3"/>
  <c r="H18" i="3"/>
  <c r="H19" i="3"/>
  <c r="H20" i="3"/>
  <c r="H21" i="3"/>
  <c r="H22" i="3"/>
  <c r="H24" i="3"/>
  <c r="H25" i="3"/>
  <c r="H27" i="3"/>
  <c r="H28" i="3"/>
  <c r="H29" i="3"/>
  <c r="H30" i="3"/>
  <c r="H31" i="3"/>
  <c r="H32" i="3"/>
  <c r="E33" i="3"/>
  <c r="F33" i="3"/>
  <c r="G33" i="3"/>
  <c r="H33" i="3"/>
  <c r="H34" i="3"/>
  <c r="G15" i="3"/>
  <c r="G27" i="3"/>
  <c r="G28" i="3"/>
  <c r="G32" i="3"/>
  <c r="G34" i="3"/>
  <c r="F15" i="3"/>
  <c r="F27" i="3"/>
  <c r="F28" i="3"/>
  <c r="F32" i="3"/>
  <c r="F34" i="3"/>
  <c r="E15" i="3"/>
  <c r="E27" i="3"/>
  <c r="E28" i="3"/>
  <c r="E32" i="3"/>
  <c r="E34" i="3"/>
  <c r="D62" i="3"/>
  <c r="D74" i="3"/>
  <c r="D90" i="3"/>
  <c r="E62" i="3"/>
  <c r="E74" i="3"/>
  <c r="E90" i="3"/>
  <c r="F62" i="3"/>
  <c r="F74" i="3"/>
  <c r="F90" i="3"/>
  <c r="I62" i="3"/>
  <c r="J62" i="3"/>
  <c r="K62" i="3"/>
  <c r="L62" i="3"/>
  <c r="N62" i="3"/>
  <c r="O62" i="3"/>
  <c r="P62" i="3"/>
  <c r="Q62" i="3"/>
  <c r="I74" i="3"/>
  <c r="J74" i="3"/>
  <c r="K74" i="3"/>
  <c r="L74" i="3"/>
  <c r="N74" i="3"/>
  <c r="O74" i="3"/>
  <c r="P74" i="3"/>
  <c r="Q74" i="3"/>
  <c r="L90" i="3"/>
  <c r="N90" i="3"/>
  <c r="O90" i="3"/>
  <c r="P90" i="3"/>
  <c r="Q90" i="3"/>
  <c r="J104" i="3"/>
  <c r="K104" i="3"/>
  <c r="L104" i="3"/>
  <c r="N104" i="3"/>
  <c r="O104" i="3"/>
  <c r="P104" i="3"/>
  <c r="Q104" i="3"/>
  <c r="G62" i="3"/>
  <c r="G74" i="3"/>
  <c r="G90" i="3"/>
  <c r="Q41" i="3"/>
  <c r="P41" i="3"/>
  <c r="O41" i="3"/>
  <c r="N41" i="3"/>
  <c r="L41" i="3"/>
  <c r="K41" i="3"/>
  <c r="J41" i="3"/>
  <c r="I58" i="3"/>
  <c r="I59" i="3"/>
  <c r="I61" i="3"/>
  <c r="I73" i="3"/>
  <c r="I89" i="3"/>
  <c r="I103" i="3"/>
  <c r="I41" i="3"/>
  <c r="G58" i="3"/>
  <c r="G23" i="3"/>
  <c r="G59" i="3"/>
  <c r="G61" i="3"/>
  <c r="G73" i="3"/>
  <c r="G89" i="3"/>
  <c r="G103" i="3"/>
  <c r="G41" i="3"/>
  <c r="F58" i="3"/>
  <c r="F26" i="3"/>
  <c r="F23" i="3"/>
  <c r="F59" i="3"/>
  <c r="F61" i="3"/>
  <c r="F73" i="3"/>
  <c r="F89" i="3"/>
  <c r="F103" i="3"/>
  <c r="F41" i="3"/>
  <c r="E58" i="3"/>
  <c r="E26" i="3"/>
  <c r="E23" i="3"/>
  <c r="E59" i="3"/>
  <c r="E61" i="3"/>
  <c r="E73" i="3"/>
  <c r="E89" i="3"/>
  <c r="E103" i="3"/>
  <c r="E41" i="3"/>
  <c r="D58" i="3"/>
  <c r="D26" i="3"/>
  <c r="D23" i="3"/>
  <c r="D59" i="3"/>
  <c r="D61" i="3"/>
  <c r="D73" i="3"/>
  <c r="D89" i="3"/>
  <c r="D103" i="3"/>
  <c r="D41" i="3"/>
  <c r="Q105" i="3"/>
  <c r="P105" i="3"/>
  <c r="O105" i="3"/>
  <c r="N105" i="3"/>
  <c r="L105" i="3"/>
  <c r="K105" i="3"/>
  <c r="J105" i="3"/>
  <c r="I105" i="3"/>
  <c r="G105" i="3"/>
  <c r="F105" i="3"/>
  <c r="E105" i="3"/>
  <c r="D105" i="3"/>
  <c r="D75" i="3"/>
  <c r="D91" i="3"/>
  <c r="Q91" i="3"/>
  <c r="P91" i="3"/>
  <c r="O91" i="3"/>
  <c r="N91" i="3"/>
  <c r="L91" i="3"/>
  <c r="K91" i="3"/>
  <c r="J91" i="3"/>
  <c r="I91" i="3"/>
  <c r="G91" i="3"/>
  <c r="F91" i="3"/>
  <c r="E91" i="3"/>
  <c r="Q75" i="3"/>
  <c r="P75" i="3"/>
  <c r="O75" i="3"/>
  <c r="N75" i="3"/>
  <c r="L75" i="3"/>
  <c r="K75" i="3"/>
  <c r="J75" i="3"/>
  <c r="I71" i="3"/>
  <c r="I75" i="3"/>
  <c r="G71" i="3"/>
  <c r="G75" i="3"/>
  <c r="F71" i="3"/>
  <c r="F75" i="3"/>
  <c r="E71" i="3"/>
  <c r="E75" i="3"/>
  <c r="D71" i="3"/>
  <c r="H26" i="3"/>
  <c r="H23" i="3"/>
  <c r="J36" i="3"/>
  <c r="K117" i="3"/>
  <c r="K36" i="3"/>
  <c r="L117" i="3"/>
  <c r="L36" i="3"/>
  <c r="N117" i="3"/>
  <c r="N36" i="3"/>
  <c r="O117" i="3"/>
  <c r="O36" i="3"/>
  <c r="P117" i="3"/>
  <c r="P36" i="3"/>
  <c r="Q117" i="3"/>
  <c r="Q36" i="3"/>
  <c r="R36" i="3"/>
  <c r="R39" i="3"/>
  <c r="Q39" i="3"/>
  <c r="P39" i="3"/>
  <c r="O39" i="3"/>
  <c r="N39" i="3"/>
  <c r="M36" i="3"/>
  <c r="M39" i="3"/>
  <c r="L39" i="3"/>
  <c r="K39" i="3"/>
  <c r="J39" i="3"/>
  <c r="I39" i="3"/>
  <c r="H39" i="3"/>
  <c r="G39" i="3"/>
  <c r="F36" i="3"/>
  <c r="F39" i="3"/>
  <c r="E39" i="3"/>
  <c r="Q63" i="3"/>
  <c r="P63" i="3"/>
  <c r="O63" i="3"/>
  <c r="N63" i="3"/>
  <c r="L63" i="3"/>
  <c r="K63" i="3"/>
  <c r="J63" i="3"/>
  <c r="E63" i="3"/>
  <c r="F63" i="3"/>
  <c r="G63" i="3"/>
  <c r="D63" i="3"/>
  <c r="I63" i="3"/>
  <c r="I44" i="3"/>
  <c r="I99" i="3"/>
  <c r="G44" i="3"/>
  <c r="G99" i="3"/>
  <c r="F44" i="3"/>
  <c r="F99" i="3"/>
  <c r="E44" i="3"/>
  <c r="E99" i="3"/>
  <c r="D44" i="3"/>
  <c r="D99" i="3"/>
  <c r="I86" i="3"/>
  <c r="F86" i="3"/>
  <c r="E86" i="3"/>
  <c r="D86" i="3"/>
  <c r="G86" i="3"/>
  <c r="D54" i="3"/>
  <c r="I57" i="3"/>
  <c r="G57" i="3"/>
  <c r="F57" i="3"/>
  <c r="E57" i="3"/>
  <c r="D57" i="3"/>
  <c r="I54" i="3"/>
  <c r="E54" i="3"/>
  <c r="F54" i="3"/>
  <c r="G54" i="3"/>
  <c r="K40" i="3"/>
  <c r="L40" i="3"/>
  <c r="N40" i="3"/>
  <c r="O40" i="3"/>
  <c r="P40" i="3"/>
  <c r="Q40" i="3"/>
  <c r="K35" i="3"/>
  <c r="L35" i="3"/>
  <c r="N35" i="3"/>
  <c r="O35" i="3"/>
  <c r="P35" i="3"/>
  <c r="Q35" i="3"/>
  <c r="R35" i="3"/>
  <c r="M35" i="3"/>
  <c r="H38" i="3"/>
  <c r="G38" i="3"/>
  <c r="F38" i="3"/>
  <c r="E38" i="3"/>
  <c r="D38" i="3"/>
  <c r="R38" i="3"/>
  <c r="Q38" i="3"/>
  <c r="P38" i="3"/>
  <c r="O38" i="3"/>
  <c r="N38" i="3"/>
  <c r="M38" i="3"/>
  <c r="L38" i="3"/>
  <c r="K38" i="3"/>
  <c r="J38" i="3"/>
  <c r="I38" i="3"/>
  <c r="R37" i="3"/>
  <c r="Q37" i="3"/>
  <c r="P37" i="3"/>
  <c r="O37" i="3"/>
  <c r="N37" i="3"/>
  <c r="M37" i="3"/>
  <c r="L37" i="3"/>
  <c r="K37" i="3"/>
  <c r="J37" i="3"/>
  <c r="D35" i="3"/>
  <c r="F35" i="3"/>
  <c r="H37" i="3"/>
  <c r="G37" i="3"/>
  <c r="F37" i="3"/>
  <c r="E37" i="3"/>
  <c r="D37" i="3"/>
  <c r="I37" i="3"/>
  <c r="I203" i="3"/>
  <c r="I189" i="3"/>
  <c r="I191" i="3"/>
  <c r="E189" i="3"/>
  <c r="E191" i="3"/>
  <c r="F189" i="3"/>
  <c r="F191" i="3"/>
  <c r="G189" i="3"/>
  <c r="G191" i="3"/>
  <c r="D189" i="3"/>
  <c r="D191" i="3"/>
  <c r="I180" i="3"/>
  <c r="I182" i="3"/>
  <c r="I204" i="3"/>
  <c r="I209" i="3"/>
  <c r="E182" i="3"/>
  <c r="F182" i="3"/>
  <c r="G182" i="3"/>
  <c r="D182" i="3"/>
  <c r="H178" i="3"/>
  <c r="H171" i="3"/>
  <c r="H170" i="3"/>
  <c r="H169" i="3"/>
  <c r="I155" i="3"/>
  <c r="D144" i="3"/>
  <c r="E144" i="3"/>
  <c r="F144" i="3"/>
  <c r="G144" i="3"/>
  <c r="I144" i="3"/>
  <c r="D138" i="3"/>
  <c r="E138" i="3"/>
  <c r="F138" i="3"/>
  <c r="G138" i="3"/>
  <c r="I138" i="3"/>
  <c r="I133" i="3"/>
  <c r="D133" i="3"/>
  <c r="E133" i="3"/>
  <c r="F133" i="3"/>
  <c r="G133" i="3"/>
  <c r="I157" i="3"/>
  <c r="I140" i="3"/>
  <c r="I145" i="3"/>
  <c r="I129" i="3"/>
  <c r="I134" i="3"/>
  <c r="I158" i="3"/>
  <c r="I159" i="3"/>
  <c r="H166" i="3"/>
  <c r="H167" i="3"/>
  <c r="H168" i="3"/>
  <c r="H172" i="3"/>
  <c r="G113" i="3"/>
  <c r="G114" i="3"/>
  <c r="F203" i="3"/>
  <c r="D203" i="3"/>
  <c r="E203" i="3"/>
  <c r="H183" i="3"/>
  <c r="H179" i="3"/>
  <c r="H177" i="3"/>
  <c r="H176" i="3"/>
  <c r="H175" i="3"/>
  <c r="E155" i="3"/>
  <c r="E157" i="3"/>
  <c r="D155" i="3"/>
  <c r="D157" i="3"/>
  <c r="H155" i="3"/>
  <c r="H157" i="3"/>
  <c r="D140" i="3"/>
  <c r="D145" i="3"/>
  <c r="E140" i="3"/>
  <c r="E145" i="3"/>
  <c r="D129" i="3"/>
  <c r="D134" i="3"/>
  <c r="E158" i="3"/>
  <c r="D158" i="3"/>
  <c r="H165" i="3"/>
  <c r="G203" i="3"/>
  <c r="G140" i="3"/>
  <c r="G145" i="3"/>
  <c r="F155" i="3"/>
  <c r="F157" i="3"/>
  <c r="F140" i="3"/>
  <c r="F145" i="3"/>
  <c r="D159" i="3"/>
  <c r="F158" i="3"/>
  <c r="H140" i="3"/>
  <c r="H145" i="3"/>
  <c r="H158" i="3"/>
  <c r="G155" i="3"/>
  <c r="G157" i="3"/>
  <c r="G158" i="3"/>
  <c r="E129" i="3"/>
  <c r="E134" i="3"/>
  <c r="E159" i="3"/>
  <c r="G129" i="3"/>
  <c r="G134" i="3"/>
  <c r="G159" i="3"/>
  <c r="F129" i="3"/>
  <c r="F134" i="3"/>
  <c r="F159" i="3"/>
  <c r="H129" i="3"/>
  <c r="H134" i="3"/>
  <c r="H159" i="3"/>
  <c r="F113" i="3"/>
  <c r="E113" i="3"/>
  <c r="F114" i="3"/>
  <c r="M40" i="3"/>
  <c r="H40" i="3"/>
  <c r="E114" i="3"/>
  <c r="R40" i="3"/>
  <c r="E204" i="3"/>
  <c r="E112" i="3"/>
  <c r="F204" i="3"/>
  <c r="F112" i="3"/>
  <c r="D112" i="3"/>
  <c r="D204" i="3"/>
  <c r="I112" i="3"/>
  <c r="D207" i="3"/>
  <c r="E207" i="3"/>
  <c r="D209" i="3"/>
  <c r="F207" i="3"/>
  <c r="E209" i="3"/>
  <c r="F209" i="3"/>
  <c r="G112" i="3"/>
  <c r="R112" i="3"/>
  <c r="G204" i="3"/>
  <c r="G207" i="3"/>
  <c r="G209" i="3"/>
  <c r="H112" i="3"/>
  <c r="M112" i="3"/>
  <c r="C216" i="3"/>
  <c r="C6" i="3"/>
  <c r="C223" i="3"/>
  <c r="C225" i="3"/>
  <c r="C224" i="3"/>
  <c r="C7" i="3"/>
</calcChain>
</file>

<file path=xl/comments1.xml><?xml version="1.0" encoding="utf-8"?>
<comments xmlns="http://schemas.openxmlformats.org/spreadsheetml/2006/main">
  <authors>
    <author>Admin</author>
  </authors>
  <commentList>
    <comment ref="B26" authorId="0" shapeId="0">
      <text>
        <r>
          <rPr>
            <sz val="9"/>
            <color indexed="81"/>
            <rFont val="Tahoma"/>
            <family val="2"/>
          </rPr>
          <t>Take the difference between "Net Interest expense from the EBITDA reconciliation in the 10Q, and the "Interest Expense" from the Income Statement.</t>
        </r>
      </text>
    </comment>
    <comment ref="B44" authorId="0" shapeId="0">
      <text>
        <r>
          <rPr>
            <sz val="9"/>
            <color indexed="81"/>
            <rFont val="Tahoma"/>
            <family val="2"/>
          </rPr>
          <t>From the 1Q16 10Q: "Earnings in the Midstream segment, which includes our 50 percent equity investment in DCP Midstream, LLC (DCP Midstream), are closely linked to natural gas liquids (NGL) prices, natural gas prices and crude oil prices. NGL prices moved lower in January with the markets recovering throughout the remainder of the first quarter of 2016 as crude oil prices increased. NGL production growth from liquids-rich shale plays continued to outpace domestic demand growth from the petrochemical industry, but exports increased—driving prices higher and reducing inventories. Natural gas prices further weakened throughout the first quarter of 2016 as unseasonably warm weather limited demand."</t>
        </r>
      </text>
    </comment>
    <comment ref="B52" authorId="0" shapeId="0">
      <text>
        <r>
          <rPr>
            <sz val="9"/>
            <color indexed="81"/>
            <rFont val="Tahoma"/>
            <family val="2"/>
          </rPr>
          <t>From the 1Q16 10Q:
"The Midstream segment gathers, processes, transports and markets natural gas; and transports, fractionates and markets NGL in the United States. In addition, this segment transports crude oil and other feedstocks to our refineries and other locations, delivers refined and specialty products to market, and provides terminaling and storage services for crude oil and petroleum products. The Midstream segment includes our master limited partnership, Phillips 66 Partners LP, as well as our 50 percent equity investment in DCP Midstream."
"Earnings in the Midstream segment, which includes our 50 percent equity investment in DCP Midstream, LLC (DCP Midstream), are closely linked to natural gas liquids (NGL) prices, natural gas prices and crude oil prices. NGL prices moved lower in January with the markets recovering throughout the remainder of the first quarter of 2016 as crude oil prices increased. NGL production growth from liquids-rich shale plays continued to outpace domestic demand growth from the petrochemical industry, but exports increased—driving prices higher and reducing inventories. Natural gas prices further weakened throughout the first quarter of 2016 as unseasonably warm weather limited demand."</t>
        </r>
      </text>
    </comment>
    <comment ref="J67" authorId="0" shapeId="0">
      <text>
        <r>
          <rPr>
            <sz val="9"/>
            <color indexed="81"/>
            <rFont val="Tahoma"/>
            <family val="2"/>
          </rPr>
          <t>Management gudied to low-90% on 4/29/2016.</t>
        </r>
      </text>
    </comment>
    <comment ref="B69" authorId="0" shapeId="0">
      <text>
        <r>
          <rPr>
            <sz val="9"/>
            <color indexed="81"/>
            <rFont val="Tahoma"/>
            <family val="2"/>
          </rPr>
          <t>From the 1Q16 10Q: 'The Chemicals segment consists of our 50 percent equity investment in Chevron Phillips Chemical Company LLC (CPChem). The chemicals and plastics industry is mainly a commodity-based industry where the margins for key products are based on supply and demand, as well as cost factors. The petrochemicals industry continues to experience lower ethylene cash costs in regions of the world where ethylene manufacturing is based upon NGL rather than crude oil-derived feedstocks. In particular, companies with North American light NGL-based crackers have benefited from lower-priced feedstocks; however, the ethylene to polyethylene chain margins further compressed in the first quarter of 2016 with the significant decline in crude oil prices that began in 2014."</t>
        </r>
      </text>
    </comment>
    <comment ref="J80" authorId="0" shapeId="0">
      <text>
        <r>
          <rPr>
            <sz val="9"/>
            <color indexed="81"/>
            <rFont val="Tahoma"/>
            <family val="2"/>
          </rPr>
          <t>Management guided to mid-90% on 4/29/2016.</t>
        </r>
      </text>
    </comment>
    <comment ref="B84" authorId="0" shapeId="0">
      <text>
        <r>
          <rPr>
            <sz val="9"/>
            <color indexed="81"/>
            <rFont val="Tahoma"/>
            <family val="2"/>
          </rPr>
          <t>From the 1Q16 10Q: "Our Refining segment is driven by several factors including refining margins, cost control, refinery throughput and product yields. Refinery margins, often referred to as crack spreads, are measured as the difference between market prices for refined petroleum products and crude oil. The U.S. 3:2:1 crack spread (three barrels of crude oil producing two barrels of gasoline and one barrel of diesel) decreased in the first quarter of 2016, compared with the first quarter and the fourth quarter of 2015. The decrease was mainly driven by growing product inventories as a result of high refinery utilization and an unseasonably warm winter.
The Northwest Europe benchmark crack spread weakened during the first quarter of 2016 compared with the first quarter and the fourth quarter of 2015. The decrease in the first quarter 2016 was also driven by growing product inventories that resulted from refineries running at high utilization rates to meet growing gasoline demand."</t>
        </r>
      </text>
    </comment>
    <comment ref="J90" authorId="0" shapeId="0">
      <text>
        <r>
          <rPr>
            <sz val="9"/>
            <color indexed="81"/>
            <rFont val="Tahoma"/>
            <family val="2"/>
          </rPr>
          <t>Management guided refining turnaround expenses to $100M on 4/29/2016.</t>
        </r>
      </text>
    </comment>
    <comment ref="B97" authorId="0" shapeId="0">
      <text>
        <r>
          <rPr>
            <sz val="9"/>
            <color indexed="81"/>
            <rFont val="Tahoma"/>
            <family val="2"/>
          </rPr>
          <t>From the 1Q16 10Q: "Results for our Marketing and Specialties (M&amp;S) segment depend largely on marketing fuel margins, lubricant margins, and other specialty product margins. While M&amp;S margins are primarily driven by market factors, largely determined by the relationship between supply and demand, marketing fuel margins, in particular, are primarily determined by the trend of spot prices for refined products. Generally speaking, a downward trend of spot prices has favorable impact on marketing fuel margins, while an upward trend of spot prices has an unfavorable impact on marketing fuel margins. Domestic marketing fuel margins improved in the first quarter of 2016 compared to the first quarter of 2015, primarily due to higher product demand."</t>
        </r>
      </text>
    </comment>
    <comment ref="J108" authorId="0" shapeId="0">
      <text>
        <r>
          <rPr>
            <sz val="9"/>
            <color indexed="81"/>
            <rFont val="Tahoma"/>
            <family val="2"/>
          </rPr>
          <t>Management guided Corporate &amp; Other costs between $120M and $125M on 4/29/2016.</t>
        </r>
      </text>
    </comment>
    <comment ref="B109" authorId="0" shapeId="0">
      <text>
        <r>
          <rPr>
            <sz val="9"/>
            <color indexed="81"/>
            <rFont val="Tahoma"/>
            <family val="2"/>
          </rPr>
          <t>Solve by backing out all the other segments from the total (Corp is the remainder).</t>
        </r>
      </text>
    </comment>
    <comment ref="J112" authorId="0" shapeId="0">
      <text>
        <r>
          <rPr>
            <sz val="9"/>
            <color indexed="81"/>
            <rFont val="Tahoma"/>
            <family val="2"/>
          </rPr>
          <t>Management guded to mid-30% on 4/29/2016.</t>
        </r>
      </text>
    </comment>
  </commentList>
</comments>
</file>

<file path=xl/sharedStrings.xml><?xml version="1.0" encoding="utf-8"?>
<sst xmlns="http://schemas.openxmlformats.org/spreadsheetml/2006/main" count="298" uniqueCount="223">
  <si>
    <t>(Dollars in millions, except per share data)</t>
  </si>
  <si>
    <t>Multiple Valuation</t>
  </si>
  <si>
    <t>P/E used for valuation</t>
  </si>
  <si>
    <t>Mar-15</t>
  </si>
  <si>
    <t>June-15</t>
  </si>
  <si>
    <t>Sept-15</t>
  </si>
  <si>
    <t>Dec-16</t>
  </si>
  <si>
    <t>Dec-15</t>
  </si>
  <si>
    <t>Mar-16</t>
  </si>
  <si>
    <t>June-16</t>
  </si>
  <si>
    <t>Sept-16</t>
  </si>
  <si>
    <t>Mar-17</t>
  </si>
  <si>
    <t>June-17</t>
  </si>
  <si>
    <t>Sept-17</t>
  </si>
  <si>
    <t>Dec-17</t>
  </si>
  <si>
    <t xml:space="preserve">Segment Data &amp; Income Statement Ratios </t>
  </si>
  <si>
    <t>Basic EPS (GAAP)</t>
  </si>
  <si>
    <t>Diluted EPS (GAAP)</t>
  </si>
  <si>
    <t>Basic shares outstanding (GAAP)</t>
  </si>
  <si>
    <t>Diluted shares outstanding (GAAP)</t>
  </si>
  <si>
    <t>Diluted EPS (Non-GAAP)</t>
  </si>
  <si>
    <t>NTM P/E 3-month average</t>
  </si>
  <si>
    <t>NTM P/E 3-month high</t>
  </si>
  <si>
    <t>NTM P/E 3-month low</t>
  </si>
  <si>
    <t>FY 2016E</t>
  </si>
  <si>
    <t>FY 2017E</t>
  </si>
  <si>
    <t xml:space="preserve">Plus net cash/(debt) per share </t>
  </si>
  <si>
    <t>Implied P/E 12-month target value</t>
  </si>
  <si>
    <t>Dividend per share</t>
  </si>
  <si>
    <t>Analysis of share count changes</t>
  </si>
  <si>
    <t>Change in basic shares  (excluding repurchases)</t>
  </si>
  <si>
    <t>Change in diluted shares  (excluding repurchases)</t>
  </si>
  <si>
    <t>Share repurchase assumptions: average price</t>
  </si>
  <si>
    <t>Share repurchase: amount in the period ($M)</t>
  </si>
  <si>
    <t>Shares repurchased (M) [repurchase details are rounded]</t>
  </si>
  <si>
    <t>1Q15</t>
  </si>
  <si>
    <t>2Q15</t>
  </si>
  <si>
    <t>2Q16E</t>
  </si>
  <si>
    <t>3Q16E</t>
  </si>
  <si>
    <t>4Q16E</t>
  </si>
  <si>
    <t>1Q17E</t>
  </si>
  <si>
    <t>2Q17E</t>
  </si>
  <si>
    <t>3Q17E</t>
  </si>
  <si>
    <t>4Q17E</t>
  </si>
  <si>
    <t>3Q15</t>
  </si>
  <si>
    <t>Income before income taxes (GAAP)</t>
  </si>
  <si>
    <t>Effective income tax rate</t>
  </si>
  <si>
    <t>($ in millions  unless otherwise noted)</t>
  </si>
  <si>
    <t>Blue cells = Gutenberg® estimates</t>
  </si>
  <si>
    <t>Provision/(Benefit) for income taxes</t>
  </si>
  <si>
    <t xml:space="preserve">(a) Multiples are calculated excluding the value of net cash/(debt) and are based on the 3-month average daily share price compared to the consensus EPS estimates for the next twelve month period. </t>
  </si>
  <si>
    <t>4Q15</t>
  </si>
  <si>
    <t>FY 2015</t>
  </si>
  <si>
    <t>Implied target price band</t>
  </si>
  <si>
    <t>Mean monthly return</t>
  </si>
  <si>
    <t xml:space="preserve">Standard deviation </t>
  </si>
  <si>
    <t>Implied upper bound</t>
  </si>
  <si>
    <t>Implied Lower bound</t>
  </si>
  <si>
    <t>Risk Estimation Summary (b)</t>
  </si>
  <si>
    <t>Implied P/E target value</t>
  </si>
  <si>
    <t>By obtaining this model you are deemed to have read and agreed to our Terms of Use. Visit our website for details: https://www.gutenbergresearch.com/terms-of-use.html</t>
  </si>
  <si>
    <t>GR</t>
  </si>
  <si>
    <t>BALANCE SHEET</t>
  </si>
  <si>
    <t>Assets</t>
  </si>
  <si>
    <t>Cash and equivalents</t>
  </si>
  <si>
    <t xml:space="preserve">Accounts receivables, net </t>
  </si>
  <si>
    <t>Prepaid expenses other current assets</t>
  </si>
  <si>
    <t>Total Current Assets</t>
  </si>
  <si>
    <t xml:space="preserve">Property, plant and equipment, net </t>
  </si>
  <si>
    <t>Total Assets</t>
  </si>
  <si>
    <t>Liabilities</t>
  </si>
  <si>
    <t>Accounts payable</t>
  </si>
  <si>
    <t>Total Current liabilities</t>
  </si>
  <si>
    <t>Other long-term liabilities</t>
  </si>
  <si>
    <t>Total liabilities</t>
  </si>
  <si>
    <t>Equity</t>
  </si>
  <si>
    <t>Total shareholders' equity</t>
  </si>
  <si>
    <t>Total liabilities and equity</t>
  </si>
  <si>
    <t>CASH FLOW STATEMENT</t>
  </si>
  <si>
    <t>Cash flows from operating activities</t>
  </si>
  <si>
    <t>Net income (loss)</t>
  </si>
  <si>
    <t xml:space="preserve">Depreciation and amortization </t>
  </si>
  <si>
    <t>Change in operating assets and liabilities</t>
  </si>
  <si>
    <t>Accounts receivable</t>
  </si>
  <si>
    <t>Prepaid expenses and other current assets</t>
  </si>
  <si>
    <t>Cash flows from investing activities</t>
  </si>
  <si>
    <t>Net cash provided by (used for) investing</t>
  </si>
  <si>
    <t>Cash flows from financing activities</t>
  </si>
  <si>
    <t>Net cash provided by (used for) financing</t>
  </si>
  <si>
    <t>Net increase (decrease) in cash and equivalents</t>
  </si>
  <si>
    <t>Effect of exchange rate changes on cash</t>
  </si>
  <si>
    <t>Cash and equivalents at beginning of period</t>
  </si>
  <si>
    <t>Cash and equivalents at end of period</t>
  </si>
  <si>
    <t>Net cash/(debt) per diluted share (Non-GAAP)</t>
  </si>
  <si>
    <t>Short-term investments</t>
  </si>
  <si>
    <t>Intangible assets</t>
  </si>
  <si>
    <t>Goodwill</t>
  </si>
  <si>
    <t>Other assets</t>
  </si>
  <si>
    <t>Accrued and other liabilities</t>
  </si>
  <si>
    <t>Capital leases, short-term</t>
  </si>
  <si>
    <t>Convertible notes</t>
  </si>
  <si>
    <t>Deferred and other long-term tax liability</t>
  </si>
  <si>
    <t>Commitments and contingencies</t>
  </si>
  <si>
    <t>Preferred stock</t>
  </si>
  <si>
    <t>Additional paid-in capital</t>
  </si>
  <si>
    <t xml:space="preserve">Common stock </t>
  </si>
  <si>
    <t>Accumulated other comprehensive loss</t>
  </si>
  <si>
    <t>Capital leases, long-term</t>
  </si>
  <si>
    <t>Deferred income taxes</t>
  </si>
  <si>
    <t>Other adjustments</t>
  </si>
  <si>
    <t>Other investing activities</t>
  </si>
  <si>
    <t>Other financing activities</t>
  </si>
  <si>
    <t>Phillips 66 Income Statement</t>
  </si>
  <si>
    <t>Purple cells = Company guidance (last update 4/29/2016)</t>
  </si>
  <si>
    <t>1Q16</t>
  </si>
  <si>
    <t>Operating Expenses</t>
  </si>
  <si>
    <t>Inventories</t>
  </si>
  <si>
    <t>Treasury stock</t>
  </si>
  <si>
    <t>Retained Earnings</t>
  </si>
  <si>
    <t>Minority interests / Noncontrolling interests</t>
  </si>
  <si>
    <t>Total equity</t>
  </si>
  <si>
    <t>Impairments</t>
  </si>
  <si>
    <t>Accretion on discounted liabilities</t>
  </si>
  <si>
    <t>Undistributed equity earnings</t>
  </si>
  <si>
    <t>Net gain on dispositons</t>
  </si>
  <si>
    <t>Income from discontinued operations</t>
  </si>
  <si>
    <t>Net cash provided by continuing operating activities</t>
  </si>
  <si>
    <t>Net cash  provided by discontinued operations</t>
  </si>
  <si>
    <t>Capital exenditures and Investments</t>
  </si>
  <si>
    <t>Proceeds from asset dispositions</t>
  </si>
  <si>
    <t>Advances and loans</t>
  </si>
  <si>
    <t>Net cash used in continuing investing activities</t>
  </si>
  <si>
    <t>Net cash provided by (used for) discontinued operations</t>
  </si>
  <si>
    <t>Proceeds from the issuance of debt</t>
  </si>
  <si>
    <t>Repayment of debt</t>
  </si>
  <si>
    <t>Proceeds from Issuance of common stock</t>
  </si>
  <si>
    <t>Repurchase of common stock</t>
  </si>
  <si>
    <t>Dividens paid on common stock</t>
  </si>
  <si>
    <t>Distributions to noncontrolling interests</t>
  </si>
  <si>
    <t>Net proceeds from issuance of common units</t>
  </si>
  <si>
    <t>Share exchange PSPI transaction</t>
  </si>
  <si>
    <t>Income from discontiuned Operations</t>
  </si>
  <si>
    <t>Purchased crude oil and products</t>
  </si>
  <si>
    <t>Selling, general and administrative expenses</t>
  </si>
  <si>
    <t>Depreciation and amortization</t>
  </si>
  <si>
    <t>Taxes other than income taxes</t>
  </si>
  <si>
    <t>Accretion on disounted liabilities</t>
  </si>
  <si>
    <t>Foreign currency transaction (gain) losses</t>
  </si>
  <si>
    <t>Equity in earnings of affilates</t>
  </si>
  <si>
    <t>Net gain on dispositions</t>
  </si>
  <si>
    <t>Other Income</t>
  </si>
  <si>
    <t xml:space="preserve">   Total Revenues and Other Income</t>
  </si>
  <si>
    <t>Sales and other oeprating revenues</t>
  </si>
  <si>
    <t>Interest expense</t>
  </si>
  <si>
    <t xml:space="preserve">   Total Costs and Expenses</t>
  </si>
  <si>
    <t>Net income attribute to noncontrolling interests</t>
  </si>
  <si>
    <t xml:space="preserve">   Net income attribute to Phillips 66 (Non-GAAP)</t>
  </si>
  <si>
    <t xml:space="preserve">   Net income attribute to Phillips 66 (GAAP)</t>
  </si>
  <si>
    <t>Midstream Segment</t>
  </si>
  <si>
    <t>Chemicals Segment</t>
  </si>
  <si>
    <t>Refining Segment</t>
  </si>
  <si>
    <t>Marketing and Specialities Segment</t>
  </si>
  <si>
    <t>Corporate and Other Segment</t>
  </si>
  <si>
    <t>Marketing and specialities income/(Loss) before taxes ($M)</t>
  </si>
  <si>
    <t>Days in the period</t>
  </si>
  <si>
    <t>Weighted Average NGL Price ($ per gallon)</t>
  </si>
  <si>
    <t>Transporation volume - Pipelines (in millions of barrels per day)</t>
  </si>
  <si>
    <t>Transporation volume - Terminals (in millions of barrels per day)</t>
  </si>
  <si>
    <t>Weighted Average Crude (WTI) price ($ per barrel)</t>
  </si>
  <si>
    <t xml:space="preserve">Midstream statistics (source: PSX SEC filings, and PSX supp data) </t>
  </si>
  <si>
    <t>Weighted Average Natural Gas (Henry Hub) Price ($/MCF)</t>
  </si>
  <si>
    <t>NGL fractionated (in millions of barrels per day, ex DCP Midstream)</t>
  </si>
  <si>
    <t xml:space="preserve">     Transportation net income per billion barrels of volume </t>
  </si>
  <si>
    <t xml:space="preserve">     NGL net income per billion barrels of fractionated NGL</t>
  </si>
  <si>
    <t>Total Midstream net income/(loss) attributable to Phillips 66 ($M)</t>
  </si>
  <si>
    <t>Chemicals statistics</t>
  </si>
  <si>
    <t>Total chemical volume (olefins, polyolefins, spec 7 other, MM Lbs)</t>
  </si>
  <si>
    <t>Olefins and polyolefins capacity utilization (%)</t>
  </si>
  <si>
    <t>Ethylene to high density polyethylene chain cash margin (cents/lb)</t>
  </si>
  <si>
    <t xml:space="preserve">     Chemicals net income per MM Lbs of volume</t>
  </si>
  <si>
    <t>Refining statistics</t>
  </si>
  <si>
    <t>Worldwide realized refining margin ($ per barrel)</t>
  </si>
  <si>
    <t>Crude oil charge input (million barrels per day)</t>
  </si>
  <si>
    <t>Crude oil capacity utilization (%)</t>
  </si>
  <si>
    <t>Production volume-Gasoline (million barrels per day)</t>
  </si>
  <si>
    <t>Production volume-Distillates (million barrels per day)</t>
  </si>
  <si>
    <t>Production volume-Other (million barrels per day)</t>
  </si>
  <si>
    <t>Marketing statistics</t>
  </si>
  <si>
    <t>Realilzed marketing fuel margin - U.S.  ($ per barrel)</t>
  </si>
  <si>
    <t>Realilzed marketing fuel margin - International  ($ per barrel)</t>
  </si>
  <si>
    <t>Worldwide Marketing sales volume (millions of barrels per day)</t>
  </si>
  <si>
    <t xml:space="preserve">     Refining net income per billion barrels of volume</t>
  </si>
  <si>
    <t xml:space="preserve">     Marketing net income per billion barrels of volume</t>
  </si>
  <si>
    <t>Refining income/(Loss) attributable to Phillips 66</t>
  </si>
  <si>
    <t>Corporate and other  income/(Loss) attributable to Phillips 66</t>
  </si>
  <si>
    <t xml:space="preserve">   Transporation net income attributable to Phillips 66 ($M)</t>
  </si>
  <si>
    <t xml:space="preserve">   DCP Midstream net income attributable to Phillips 66 ($M)</t>
  </si>
  <si>
    <t xml:space="preserve">   NGL net income attributable to Phillips 66 ($M)</t>
  </si>
  <si>
    <t>Chemicals income/(Loss) attributable to Phillips 66</t>
  </si>
  <si>
    <t>Provisions for income taxes</t>
  </si>
  <si>
    <t>Midstream EBITDA</t>
  </si>
  <si>
    <t>Non-GAAP adjustments</t>
  </si>
  <si>
    <t>Adjusted Midstream EBITDA</t>
  </si>
  <si>
    <t xml:space="preserve">   Implied interest income</t>
  </si>
  <si>
    <t>EBITDA (not adjusted)</t>
  </si>
  <si>
    <t>Chemicals EBITDA</t>
  </si>
  <si>
    <t>Adjusted Chemicals EBITDA</t>
  </si>
  <si>
    <t>Refining EBITDA</t>
  </si>
  <si>
    <t>Adjusted Refining EBITDA</t>
  </si>
  <si>
    <t>Marketing EBITDA</t>
  </si>
  <si>
    <t>Adjusted Marketing EBITDA</t>
  </si>
  <si>
    <t>Interest revenue</t>
  </si>
  <si>
    <t xml:space="preserve">Corporate EBITDA </t>
  </si>
  <si>
    <t>Corporate adjustments</t>
  </si>
  <si>
    <t xml:space="preserve">Midstream net income adjustments  </t>
  </si>
  <si>
    <t xml:space="preserve">Chemicals net income adjustments  </t>
  </si>
  <si>
    <t xml:space="preserve">Refining net income adjustments  </t>
  </si>
  <si>
    <t xml:space="preserve">Marketing net income adjustments  </t>
  </si>
  <si>
    <t xml:space="preserve">Corporate net income adjustments  </t>
  </si>
  <si>
    <t>Net income adjustments, after-tax (Non-GAAP)</t>
  </si>
  <si>
    <r>
      <rPr>
        <b/>
        <sz val="11"/>
        <color theme="1"/>
        <rFont val="Calibri"/>
        <family val="2"/>
        <scheme val="minor"/>
      </rPr>
      <t>NOTE:</t>
    </r>
    <r>
      <rPr>
        <sz val="11"/>
        <color theme="1"/>
        <rFont val="Calibri"/>
        <family val="2"/>
        <scheme val="minor"/>
      </rPr>
      <t xml:space="preserve"> There are many different multiples which could be applied to various earnings metrics, each of which result in different valuations. This calculation is for demonstration only. Please refer to our disclosures for important details.  Our Multiple valuation metrics are kept constant at certain points during each quarter to isolate the impact from changes in earnings estimates.   </t>
    </r>
    <r>
      <rPr>
        <b/>
        <sz val="11"/>
        <color theme="3"/>
        <rFont val="Calibri"/>
        <family val="2"/>
        <scheme val="minor"/>
      </rPr>
      <t xml:space="preserve">The multiple  in this section was last updated on 5/24/2016. </t>
    </r>
  </si>
  <si>
    <r>
      <t xml:space="preserve">(b) There are many approaches to estimating a stock's risk. In this demonstration we use the standard deviation and the monthly average return over the last 12 months to construct an estimated price target range. Standard deviation is a measure of dispersion around the mean monthly return. The larger the historic standard deviation the greater the volatility in prices. Using a normal distribution, approximately 95% of observations fall within 2 standard deviations of the mean. This approach has multiple limitations including: 1) it assumes that historic results can predict future return characteristics, and 2) it assumes the stock's returns are normally distributed. This analysis is for demonstration only, refer to full Terms of Use on our website GutenbergResearch.com. </t>
    </r>
    <r>
      <rPr>
        <b/>
        <sz val="11"/>
        <color theme="4" tint="-0.499984740745262"/>
        <rFont val="Calibri"/>
        <family val="2"/>
        <scheme val="minor"/>
      </rPr>
      <t xml:space="preserve">The mean &amp; standard deviation in this section were last updated on 5/24/2016. </t>
    </r>
  </si>
  <si>
    <t>Orange cells = Consensus estimates (updated 5/24/2016)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</si>
</sst>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9">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00_);_(* \(#,##0.000\);_(* &quot;-&quot;??_);_(@_)"/>
    <numFmt numFmtId="168" formatCode="#,##0.0_);\(#,##0.0\)"/>
    <numFmt numFmtId="169" formatCode="#,##0.0\ ;\(#,##0.0\)"/>
    <numFmt numFmtId="170" formatCode="#,##0\ ;\(#,##0.0\)"/>
    <numFmt numFmtId="171" formatCode="&quot;$&quot;0.00_)"/>
    <numFmt numFmtId="172" formatCode="#,##0&quot;%&quot;"/>
    <numFmt numFmtId="173" formatCode="#,##0___);\(#,##0.00\)"/>
    <numFmt numFmtId="174" formatCode="0%;\(0%\)"/>
    <numFmt numFmtId="175" formatCode="_(* #,##0,,_);_(* \(#,##0,,\);_(* &quot;-&quot;_)"/>
    <numFmt numFmtId="176" formatCode="_(* #,##0_);[Red]_(* \(#,##0\);_(* &quot;&quot;&quot;&quot;&quot;&quot;&quot;&quot;\ \-\ &quot;&quot;&quot;&quot;&quot;&quot;&quot;&quot;_);_(@_)"/>
    <numFmt numFmtId="177" formatCode="_(* #,##0,_);[Red]_(* \(#,##0,\);_(* &quot;&quot;&quot;&quot;&quot;&quot;&quot;&quot;\ \-\ &quot;&quot;&quot;&quot;&quot;&quot;&quot;&quot;_);_(@_)"/>
    <numFmt numFmtId="178" formatCode="0%;\(0%\);;"/>
    <numFmt numFmtId="179" formatCode="0%;\(0%\);&quot;-&quot;"/>
    <numFmt numFmtId="180" formatCode="#,##0_);[Red]\(#,##0\);&quot;-&quot;"/>
    <numFmt numFmtId="181" formatCode="*-"/>
    <numFmt numFmtId="182" formatCode="#,##0;\-#,##0;&quot;-&quot;"/>
    <numFmt numFmtId="183" formatCode="_._.&quot;$&quot;* \(#,##0\)_%;_._.&quot;$&quot;* #,##0_)_%;_._.&quot;$&quot;* 0_)_%;_._.@_)_%"/>
    <numFmt numFmtId="184" formatCode="_._.* \(#,##0\)_%;_._.* #,##0_)_%;_._.* 0_)_%;_._.@_)_%"/>
    <numFmt numFmtId="185" formatCode="&quot;$&quot;#,##0;\-&quot;$&quot;#,##0"/>
    <numFmt numFmtId="186" formatCode="_-&quot;$&quot;* #,##0_-;\-&quot;$&quot;* #,##0_-;_-&quot;$&quot;* &quot;-&quot;_-;_-@_-"/>
    <numFmt numFmtId="187" formatCode="_-&quot;$&quot;* #,##0.00_-;\-&quot;$&quot;* #,##0.00_-;_-&quot;$&quot;* &quot;-&quot;??_-;_-@_-"/>
    <numFmt numFmtId="188" formatCode="#,##0;\(#,##0\)"/>
    <numFmt numFmtId="189" formatCode="&quot;SFr.&quot;\ #,##0.00;&quot;SFr.&quot;\ \-#,##0.00"/>
    <numFmt numFmtId="190" formatCode="#,##0.00;\-#,##0.00;&quot;-&quot;"/>
    <numFmt numFmtId="191" formatCode="* #,##0.00_);\(#,##0.00\)"/>
    <numFmt numFmtId="192" formatCode="_([$€-2]* #,##0.00_);_([$€-2]* \(#,##0.00\);_([$€-2]* &quot;-&quot;??_)"/>
    <numFmt numFmtId="193" formatCode="0.0_)\%;\(0.0\)\%;0.0_)\%;@_)_%"/>
    <numFmt numFmtId="194" formatCode="#,##0.0_)_%;\(#,##0.0\)_%;0.0_)_%;@_)_%"/>
    <numFmt numFmtId="195" formatCode="#,##0.0_);\(#,##0.0\);#,##0.0_);@_)"/>
    <numFmt numFmtId="196" formatCode="&quot;$&quot;_(#,##0.00_);&quot;$&quot;\(#,##0.00\);&quot;$&quot;_(0.00_);@_)"/>
    <numFmt numFmtId="197" formatCode="#,##0.00_);\(#,##0.00\);0.00_);@_)"/>
    <numFmt numFmtId="198" formatCode="\€_(#,##0.00_);\€\(#,##0.00\);\€_(0.00_);@_)"/>
    <numFmt numFmtId="199" formatCode="#,##0_)\x;\(#,##0\)\x;0_)\x;@_)_x"/>
    <numFmt numFmtId="200" formatCode="#,##0_)_x;\(#,##0\)_x;0_)_x;@_)_x"/>
    <numFmt numFmtId="201" formatCode="#,##0.0000;\-#,##0.0000"/>
    <numFmt numFmtId="202" formatCode="#,##0.000000;\-#,##0.000000"/>
    <numFmt numFmtId="203" formatCode="#,##0.0;\-#,##0.0"/>
    <numFmt numFmtId="204" formatCode="#,##0.000;\-#,##0.000"/>
    <numFmt numFmtId="205" formatCode="#,##0.00000;\-#,##0.00000"/>
    <numFmt numFmtId="206" formatCode="#,##0.0000000;\-#,##0.0000000"/>
    <numFmt numFmtId="207" formatCode="#,##0.00000000;\-#,##0.00000000"/>
    <numFmt numFmtId="208" formatCode="#,##0.000000000;\-#,##0.000000000"/>
    <numFmt numFmtId="209" formatCode="#,##0.0000000000;\-#,##0.0000000000"/>
    <numFmt numFmtId="210" formatCode="_-* #,##0\ _D_M_-;\-* #,##0\ _D_M_-;_-* &quot;-&quot;\ _D_M_-;_-@_-"/>
    <numFmt numFmtId="211" formatCode="_-* #,##0.00\ _D_M_-;\-* #,##0.00\ _D_M_-;_-* &quot;-&quot;??\ _D_M_-;_-@_-"/>
    <numFmt numFmtId="212" formatCode="_-* #,##0\ &quot;DM&quot;_-;\-* #,##0\ &quot;DM&quot;_-;_-* &quot;-&quot;\ &quot;DM&quot;_-;_-@_-"/>
    <numFmt numFmtId="213" formatCode="_-* #,##0.00\ &quot;DM&quot;_-;\-* #,##0.00\ &quot;DM&quot;_-;_-* &quot;-&quot;??\ &quot;DM&quot;_-;_-@_-"/>
    <numFmt numFmtId="214" formatCode="0.0"/>
    <numFmt numFmtId="215" formatCode="0.000000"/>
    <numFmt numFmtId="216" formatCode="&quot;£&quot;#,##0;[Red]\-&quot;£&quot;#,##0"/>
    <numFmt numFmtId="217" formatCode="0.00_);[Red]\(0.00\)"/>
    <numFmt numFmtId="218" formatCode="&quot;£&quot;#,##0.00;[Red]\-&quot;£&quot;#,##0.00"/>
    <numFmt numFmtId="219" formatCode="_(* #,##0.000_);_(* \(#,##0.000\);_(* &quot;-&quot;_);_(@_)"/>
    <numFmt numFmtId="220" formatCode="_-&quot;£&quot;* #,##0_-;\-&quot;£&quot;* #,##0_-;_-&quot;£&quot;* &quot;-&quot;_-;_-@_-"/>
    <numFmt numFmtId="221" formatCode="_(&quot;$&quot;* #,##0,_);_(&quot;$&quot;* \(#,##0,\);_(&quot;$&quot;* &quot;-&quot;_);_(@_)"/>
    <numFmt numFmtId="222" formatCode="&quot;SFr.&quot;#,##0;[Red]&quot;SFr.&quot;\-#,##0"/>
    <numFmt numFmtId="223" formatCode="_-&quot;£&quot;* #,##0.00_-;\-&quot;£&quot;* #,##0.00_-;_-&quot;£&quot;* &quot;-&quot;??_-;_-@_-"/>
    <numFmt numFmtId="224" formatCode="#,##0;[Red]\(#,##0\)"/>
    <numFmt numFmtId="225" formatCode="0\x"/>
    <numFmt numFmtId="226" formatCode="_(* #,##0.0000_);_(* \(#,##0.0000\);_(* &quot;-&quot;??_);_(@_)"/>
    <numFmt numFmtId="230" formatCode="&quot;$&quot;#,##0.00"/>
  </numFmts>
  <fonts count="74" x14ac:knownFonts="1">
    <font>
      <sz val="11"/>
      <color theme="1"/>
      <name val="Calibri"/>
      <family val="2"/>
      <scheme val="minor"/>
    </font>
    <font>
      <sz val="11"/>
      <color theme="1"/>
      <name val="Calibri"/>
      <family val="2"/>
      <scheme val="minor"/>
    </font>
    <font>
      <b/>
      <sz val="11"/>
      <color theme="1"/>
      <name val="Calibri"/>
      <family val="2"/>
      <scheme val="minor"/>
    </font>
    <font>
      <b/>
      <u val="singleAccounting"/>
      <sz val="11"/>
      <color theme="1"/>
      <name val="Calibri"/>
      <family val="2"/>
      <scheme val="minor"/>
    </font>
    <font>
      <u val="singleAccounting"/>
      <sz val="11"/>
      <color theme="1"/>
      <name val="Calibri"/>
      <family val="2"/>
      <scheme val="minor"/>
    </font>
    <font>
      <sz val="11"/>
      <color rgb="FF7030A0"/>
      <name val="Calibri"/>
      <family val="2"/>
      <scheme val="minor"/>
    </font>
    <font>
      <sz val="11"/>
      <color theme="3"/>
      <name val="Calibri"/>
      <family val="2"/>
      <scheme val="minor"/>
    </font>
    <font>
      <sz val="11"/>
      <color theme="9" tint="-0.499984740745262"/>
      <name val="Calibri"/>
      <family val="2"/>
      <scheme val="minor"/>
    </font>
    <font>
      <b/>
      <u/>
      <sz val="11"/>
      <color theme="1"/>
      <name val="Calibri"/>
      <family val="2"/>
      <scheme val="minor"/>
    </font>
    <font>
      <sz val="10"/>
      <name val="Arial"/>
      <family val="2"/>
    </font>
    <font>
      <sz val="11"/>
      <name val="Calibri"/>
      <family val="2"/>
      <scheme val="minor"/>
    </font>
    <font>
      <u val="singleAccounting"/>
      <sz val="11"/>
      <name val="Calibri"/>
      <family val="2"/>
      <scheme val="minor"/>
    </font>
    <font>
      <b/>
      <sz val="11"/>
      <name val="Calibri"/>
      <family val="2"/>
      <scheme val="minor"/>
    </font>
    <font>
      <sz val="11"/>
      <color rgb="FFFF0000"/>
      <name val="Calibri"/>
      <family val="2"/>
      <scheme val="minor"/>
    </font>
    <font>
      <sz val="11"/>
      <name val="Calibri"/>
      <family val="2"/>
    </font>
    <font>
      <b/>
      <u/>
      <sz val="12"/>
      <color theme="0" tint="-0.14999847407452621"/>
      <name val="Calibri"/>
      <family val="2"/>
      <scheme val="minor"/>
    </font>
    <font>
      <b/>
      <sz val="11"/>
      <color theme="0" tint="-0.14999847407452621"/>
      <name val="Calibri"/>
      <family val="2"/>
      <scheme val="minor"/>
    </font>
    <font>
      <sz val="10"/>
      <color theme="0" tint="-0.14999847407452621"/>
      <name val="Calibri"/>
      <family val="2"/>
      <scheme val="minor"/>
    </font>
    <font>
      <b/>
      <u val="singleAccounting"/>
      <sz val="11"/>
      <color theme="0" tint="-0.14999847407452621"/>
      <name val="Calibri"/>
      <family val="2"/>
      <scheme val="minor"/>
    </font>
    <font>
      <b/>
      <u val="singleAccounting"/>
      <sz val="11"/>
      <name val="Calibri"/>
      <family val="2"/>
      <scheme val="minor"/>
    </font>
    <font>
      <b/>
      <sz val="11"/>
      <color theme="3"/>
      <name val="Calibri"/>
      <family val="2"/>
      <scheme val="minor"/>
    </font>
    <font>
      <sz val="10"/>
      <name val="Tms Rmn"/>
    </font>
    <font>
      <sz val="10"/>
      <name val="Helv"/>
    </font>
    <font>
      <sz val="10"/>
      <color indexed="8"/>
      <name val="Arial"/>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8"/>
      <name val="Helv"/>
    </font>
    <font>
      <b/>
      <sz val="12"/>
      <name val="Tms Rmn"/>
    </font>
    <font>
      <b/>
      <i/>
      <sz val="12"/>
      <name val="Tms Rmn"/>
    </font>
    <font>
      <b/>
      <sz val="10"/>
      <name val="MS Sans Serif"/>
      <family val="2"/>
    </font>
    <font>
      <b/>
      <sz val="11"/>
      <name val="Arial"/>
      <family val="2"/>
    </font>
    <font>
      <b/>
      <sz val="10"/>
      <name val="Arial"/>
      <family val="2"/>
    </font>
    <font>
      <sz val="10"/>
      <name val="MS Sans Serif"/>
      <family val="2"/>
    </font>
    <font>
      <sz val="10"/>
      <color indexed="0"/>
      <name val="MS Sans Serif"/>
      <family val="2"/>
    </font>
    <font>
      <b/>
      <sz val="14"/>
      <name val="Arial"/>
      <family val="2"/>
    </font>
    <font>
      <sz val="11"/>
      <color indexed="12"/>
      <name val="Times New Roman"/>
      <family val="1"/>
    </font>
    <font>
      <sz val="11"/>
      <name val="Times New Roman"/>
      <family val="1"/>
    </font>
    <font>
      <sz val="10"/>
      <color indexed="12"/>
      <name val="Helv"/>
    </font>
    <font>
      <sz val="8"/>
      <color indexed="18"/>
      <name val="Helv"/>
    </font>
    <font>
      <b/>
      <u/>
      <sz val="10"/>
      <color indexed="8"/>
      <name val="Times New Roman"/>
      <family val="1"/>
    </font>
    <font>
      <sz val="10"/>
      <color indexed="12"/>
      <name val="Arial"/>
      <family val="2"/>
    </font>
    <font>
      <sz val="8"/>
      <name val="Arial"/>
      <family val="2"/>
    </font>
    <font>
      <b/>
      <sz val="12"/>
      <name val="Arial"/>
      <family val="2"/>
    </font>
    <font>
      <sz val="10"/>
      <color indexed="14"/>
      <name val="Arial"/>
      <family val="2"/>
    </font>
    <font>
      <sz val="10"/>
      <color indexed="10"/>
      <name val="Arial"/>
      <family val="2"/>
    </font>
    <font>
      <b/>
      <sz val="10"/>
      <color indexed="10"/>
      <name val="Arial"/>
      <family val="2"/>
    </font>
    <font>
      <sz val="8"/>
      <name val="Tms Rmn"/>
    </font>
    <font>
      <sz val="12"/>
      <name val="Times New Roman"/>
      <family val="1"/>
    </font>
    <font>
      <sz val="7"/>
      <name val="Small Fonts"/>
      <family val="2"/>
    </font>
    <font>
      <b/>
      <u/>
      <sz val="26"/>
      <color indexed="9"/>
      <name val="Arial"/>
      <family val="2"/>
    </font>
    <font>
      <sz val="12"/>
      <name val="Helv"/>
    </font>
    <font>
      <sz val="10"/>
      <color theme="1"/>
      <name val="Arial"/>
      <family val="2"/>
    </font>
    <font>
      <sz val="10"/>
      <name val="Helv"/>
      <family val="2"/>
    </font>
    <font>
      <u/>
      <sz val="11"/>
      <color theme="10"/>
      <name val="Calibri"/>
      <family val="2"/>
    </font>
    <font>
      <u/>
      <sz val="10"/>
      <color theme="10"/>
      <name val="Trebuchet MS"/>
      <family val="2"/>
    </font>
    <font>
      <sz val="12"/>
      <name val="Helv"/>
      <family val="2"/>
    </font>
    <font>
      <sz val="10"/>
      <name val="Trebuchet MS"/>
      <family val="2"/>
    </font>
    <font>
      <sz val="10"/>
      <name val="Tms Rmn"/>
      <family val="1"/>
    </font>
    <font>
      <sz val="11"/>
      <color indexed="8"/>
      <name val="Calibri"/>
      <family val="2"/>
    </font>
    <font>
      <u/>
      <sz val="10"/>
      <color indexed="12"/>
      <name val="Arial"/>
      <family val="2"/>
    </font>
    <font>
      <b/>
      <sz val="10"/>
      <color rgb="FF404040"/>
      <name val="Segoe UI"/>
      <family val="2"/>
    </font>
    <font>
      <sz val="10"/>
      <color rgb="FF404040"/>
      <name val="Segoe UI"/>
      <family val="2"/>
    </font>
    <font>
      <b/>
      <sz val="11"/>
      <color theme="1" tint="0.14999847407452621"/>
      <name val="Calibri"/>
      <family val="2"/>
      <scheme val="minor"/>
    </font>
    <font>
      <b/>
      <u val="singleAccounting"/>
      <sz val="11"/>
      <color theme="1" tint="0.14999847407452621"/>
      <name val="Calibri"/>
      <family val="2"/>
      <scheme val="minor"/>
    </font>
    <font>
      <b/>
      <sz val="11"/>
      <color theme="4" tint="-0.499984740745262"/>
      <name val="Calibri"/>
      <family val="2"/>
      <scheme val="minor"/>
    </font>
    <font>
      <sz val="11"/>
      <color theme="0"/>
      <name val="Calibri"/>
      <family val="2"/>
      <scheme val="minor"/>
    </font>
    <font>
      <sz val="9"/>
      <color indexed="81"/>
      <name val="Tahoma"/>
      <family val="2"/>
    </font>
    <font>
      <i/>
      <sz val="11"/>
      <color theme="1"/>
      <name val="Calibri"/>
      <family val="2"/>
      <scheme val="minor"/>
    </font>
    <font>
      <i/>
      <sz val="11"/>
      <name val="Calibri"/>
      <family val="2"/>
      <scheme val="minor"/>
    </font>
    <font>
      <b/>
      <i/>
      <sz val="11"/>
      <color theme="1"/>
      <name val="Calibri"/>
      <family val="2"/>
      <scheme val="minor"/>
    </font>
    <font>
      <b/>
      <i/>
      <sz val="11"/>
      <name val="Calibri"/>
      <family val="2"/>
      <scheme val="minor"/>
    </font>
  </fonts>
  <fills count="12">
    <fill>
      <patternFill patternType="none"/>
    </fill>
    <fill>
      <patternFill patternType="gray125"/>
    </fill>
    <fill>
      <patternFill patternType="solid">
        <fgColor theme="4" tint="0.39997558519241921"/>
        <bgColor indexed="64"/>
      </patternFill>
    </fill>
    <fill>
      <patternFill patternType="solid">
        <fgColor theme="1" tint="0.34998626667073579"/>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indexed="43"/>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theme="7" tint="0.39997558519241921"/>
        <bgColor indexed="64"/>
      </patternFill>
    </fill>
  </fills>
  <borders count="41">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diagonal/>
    </border>
    <border>
      <left/>
      <right style="thin">
        <color auto="1"/>
      </right>
      <top style="hair">
        <color auto="1"/>
      </top>
      <bottom/>
      <diagonal/>
    </border>
    <border>
      <left/>
      <right/>
      <top style="hair">
        <color indexed="8"/>
      </top>
      <bottom style="hair">
        <color indexed="8"/>
      </bottom>
      <diagonal/>
    </border>
    <border>
      <left/>
      <right/>
      <top/>
      <bottom style="medium">
        <color indexed="18"/>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style="thin">
        <color auto="1"/>
      </left>
      <right/>
      <top/>
      <bottom style="hair">
        <color auto="1"/>
      </bottom>
      <diagonal/>
    </border>
    <border>
      <left/>
      <right style="thin">
        <color auto="1"/>
      </right>
      <top/>
      <bottom style="hair">
        <color auto="1"/>
      </bottom>
      <diagonal/>
    </border>
    <border>
      <left style="thin">
        <color auto="1"/>
      </left>
      <right/>
      <top style="dashed">
        <color auto="1"/>
      </top>
      <bottom/>
      <diagonal/>
    </border>
    <border>
      <left/>
      <right style="thin">
        <color auto="1"/>
      </right>
      <top style="dashed">
        <color auto="1"/>
      </top>
      <bottom/>
      <diagonal/>
    </border>
    <border>
      <left style="thin">
        <color auto="1"/>
      </left>
      <right style="thin">
        <color auto="1"/>
      </right>
      <top style="mediumDashed">
        <color auto="1"/>
      </top>
      <bottom/>
      <diagonal/>
    </border>
    <border>
      <left style="thin">
        <color auto="1"/>
      </left>
      <right/>
      <top style="mediumDashed">
        <color auto="1"/>
      </top>
      <bottom/>
      <diagonal/>
    </border>
    <border>
      <left/>
      <right style="thin">
        <color auto="1"/>
      </right>
      <top style="mediumDashed">
        <color auto="1"/>
      </top>
      <bottom/>
      <diagonal/>
    </border>
    <border>
      <left/>
      <right/>
      <top style="mediumDashed">
        <color auto="1"/>
      </top>
      <bottom/>
      <diagonal/>
    </border>
    <border>
      <left style="thin">
        <color auto="1"/>
      </left>
      <right style="thin">
        <color auto="1"/>
      </right>
      <top style="dashed">
        <color auto="1"/>
      </top>
      <bottom/>
      <diagonal/>
    </border>
    <border>
      <left/>
      <right/>
      <top style="dashed">
        <color auto="1"/>
      </top>
      <bottom/>
      <diagonal/>
    </border>
    <border>
      <left style="thin">
        <color auto="1"/>
      </left>
      <right style="thin">
        <color auto="1"/>
      </right>
      <top/>
      <bottom style="mediumDashed">
        <color auto="1"/>
      </bottom>
      <diagonal/>
    </border>
    <border>
      <left style="thin">
        <color auto="1"/>
      </left>
      <right/>
      <top/>
      <bottom style="mediumDashed">
        <color auto="1"/>
      </bottom>
      <diagonal/>
    </border>
    <border>
      <left/>
      <right style="thin">
        <color auto="1"/>
      </right>
      <top/>
      <bottom style="mediumDashed">
        <color auto="1"/>
      </bottom>
      <diagonal/>
    </border>
    <border>
      <left/>
      <right/>
      <top/>
      <bottom style="mediumDashed">
        <color auto="1"/>
      </bottom>
      <diagonal/>
    </border>
  </borders>
  <cellStyleXfs count="329">
    <xf numFmtId="0" fontId="0" fillId="0" borderId="0"/>
    <xf numFmtId="43" fontId="1" fillId="0" borderId="0" applyFont="0" applyFill="0" applyBorder="0" applyAlignment="0" applyProtection="0"/>
    <xf numFmtId="9" fontId="1" fillId="0" borderId="0" applyFont="0" applyFill="0" applyBorder="0" applyAlignment="0" applyProtection="0"/>
    <xf numFmtId="0" fontId="9" fillId="0" borderId="0">
      <alignment vertical="top"/>
    </xf>
    <xf numFmtId="0" fontId="14" fillId="0" borderId="0"/>
    <xf numFmtId="43" fontId="14" fillId="0" borderId="0" applyFont="0" applyFill="0" applyBorder="0" applyAlignment="0" applyProtection="0"/>
    <xf numFmtId="37" fontId="21" fillId="0" borderId="0"/>
    <xf numFmtId="193" fontId="9" fillId="0" borderId="0" applyFont="0" applyFill="0" applyBorder="0" applyAlignment="0" applyProtection="0"/>
    <xf numFmtId="194" fontId="9" fillId="0" borderId="0" applyFont="0" applyFill="0" applyBorder="0" applyAlignment="0" applyProtection="0"/>
    <xf numFmtId="195" fontId="9" fillId="0" borderId="0" applyFont="0" applyFill="0" applyBorder="0" applyAlignment="0" applyProtection="0"/>
    <xf numFmtId="196" fontId="9" fillId="0" borderId="0" applyFont="0" applyFill="0" applyBorder="0" applyAlignment="0" applyProtection="0"/>
    <xf numFmtId="197" fontId="9" fillId="0" borderId="0" applyFont="0" applyFill="0" applyBorder="0" applyAlignment="0" applyProtection="0"/>
    <xf numFmtId="198" fontId="9"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9" fillId="6" borderId="0" applyNumberFormat="0" applyFont="0" applyAlignment="0" applyProtection="0"/>
    <xf numFmtId="199" fontId="9" fillId="0" borderId="0" applyFont="0" applyFill="0" applyBorder="0" applyAlignment="0" applyProtection="0"/>
    <xf numFmtId="200" fontId="9" fillId="0" borderId="0" applyFont="0" applyFill="0" applyBorder="0" applyProtection="0">
      <alignment horizontal="right"/>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6" fillId="0" borderId="18" applyNumberFormat="0" applyFill="0" applyAlignment="0" applyProtection="0"/>
    <xf numFmtId="0" fontId="27" fillId="0" borderId="19" applyNumberFormat="0" applyFill="0" applyProtection="0">
      <alignment horizontal="center"/>
    </xf>
    <xf numFmtId="0" fontId="27" fillId="0" borderId="0" applyNumberFormat="0" applyFill="0" applyBorder="0" applyProtection="0">
      <alignment horizontal="left"/>
    </xf>
    <xf numFmtId="0" fontId="28" fillId="0" borderId="0" applyNumberFormat="0" applyFill="0" applyBorder="0" applyProtection="0">
      <alignment horizontal="centerContinuous"/>
    </xf>
    <xf numFmtId="0" fontId="50" fillId="0" borderId="0" applyNumberFormat="0" applyFill="0" applyBorder="0" applyAlignment="0" applyProtection="0"/>
    <xf numFmtId="191" fontId="29" fillId="0" borderId="0">
      <alignment horizontal="center"/>
    </xf>
    <xf numFmtId="37" fontId="30" fillId="0" borderId="0"/>
    <xf numFmtId="37" fontId="31" fillId="0" borderId="0"/>
    <xf numFmtId="185" fontId="32" fillId="0" borderId="2" applyAlignment="0" applyProtection="0"/>
    <xf numFmtId="185" fontId="1" fillId="0" borderId="0" applyAlignment="0" applyProtection="0"/>
    <xf numFmtId="185" fontId="1" fillId="0" borderId="0" applyAlignment="0" applyProtection="0"/>
    <xf numFmtId="185" fontId="1" fillId="0" borderId="0" applyAlignment="0" applyProtection="0"/>
    <xf numFmtId="185" fontId="1" fillId="0" borderId="0" applyAlignment="0" applyProtection="0"/>
    <xf numFmtId="185" fontId="1" fillId="0" borderId="0" applyAlignment="0" applyProtection="0"/>
    <xf numFmtId="185" fontId="1" fillId="0" borderId="0" applyAlignment="0" applyProtection="0"/>
    <xf numFmtId="185" fontId="1" fillId="0" borderId="0" applyAlignment="0" applyProtection="0"/>
    <xf numFmtId="185" fontId="1" fillId="0" borderId="0" applyAlignment="0" applyProtection="0"/>
    <xf numFmtId="185" fontId="1" fillId="0" borderId="0" applyAlignment="0" applyProtection="0"/>
    <xf numFmtId="185" fontId="1" fillId="0" borderId="0" applyAlignment="0" applyProtection="0"/>
    <xf numFmtId="185" fontId="32" fillId="0" borderId="2" applyAlignment="0" applyProtection="0"/>
    <xf numFmtId="185" fontId="1" fillId="0" borderId="0" applyAlignment="0" applyProtection="0"/>
    <xf numFmtId="185" fontId="1" fillId="0" borderId="0" applyAlignment="0" applyProtection="0"/>
    <xf numFmtId="185" fontId="1" fillId="0" borderId="0" applyAlignment="0" applyProtection="0"/>
    <xf numFmtId="185" fontId="1" fillId="0" borderId="0" applyAlignment="0" applyProtection="0"/>
    <xf numFmtId="185" fontId="1" fillId="0" borderId="0" applyAlignment="0" applyProtection="0"/>
    <xf numFmtId="185" fontId="1" fillId="0" borderId="0" applyAlignment="0" applyProtection="0"/>
    <xf numFmtId="185" fontId="1" fillId="0" borderId="0" applyAlignment="0" applyProtection="0"/>
    <xf numFmtId="185" fontId="1" fillId="0" borderId="0" applyAlignment="0" applyProtection="0"/>
    <xf numFmtId="185" fontId="1" fillId="0" borderId="0" applyAlignment="0" applyProtection="0"/>
    <xf numFmtId="185" fontId="1" fillId="0" borderId="0" applyAlignment="0" applyProtection="0"/>
    <xf numFmtId="185" fontId="32" fillId="0" borderId="2" applyAlignment="0" applyProtection="0"/>
    <xf numFmtId="185" fontId="1" fillId="0" borderId="0" applyAlignment="0" applyProtection="0"/>
    <xf numFmtId="185" fontId="1" fillId="0" borderId="0" applyAlignment="0" applyProtection="0"/>
    <xf numFmtId="185" fontId="1" fillId="0" borderId="0" applyAlignment="0" applyProtection="0"/>
    <xf numFmtId="185" fontId="1" fillId="0" borderId="0" applyAlignment="0" applyProtection="0"/>
    <xf numFmtId="185" fontId="1" fillId="0" borderId="0" applyAlignment="0" applyProtection="0"/>
    <xf numFmtId="185" fontId="1" fillId="0" borderId="0" applyAlignment="0" applyProtection="0"/>
    <xf numFmtId="185" fontId="1" fillId="0" borderId="0" applyAlignment="0" applyProtection="0"/>
    <xf numFmtId="185" fontId="1" fillId="0" borderId="0" applyAlignment="0" applyProtection="0"/>
    <xf numFmtId="185" fontId="1" fillId="0" borderId="0" applyAlignment="0" applyProtection="0"/>
    <xf numFmtId="185" fontId="1" fillId="0" borderId="0" applyAlignment="0" applyProtection="0"/>
    <xf numFmtId="185" fontId="32" fillId="0" borderId="2" applyAlignment="0" applyProtection="0"/>
    <xf numFmtId="185" fontId="1" fillId="0" borderId="0" applyAlignment="0" applyProtection="0"/>
    <xf numFmtId="185" fontId="1" fillId="0" borderId="0" applyAlignment="0" applyProtection="0"/>
    <xf numFmtId="185" fontId="1" fillId="0" borderId="0" applyAlignment="0" applyProtection="0"/>
    <xf numFmtId="185" fontId="32" fillId="0" borderId="2" applyAlignment="0" applyProtection="0"/>
    <xf numFmtId="185" fontId="32" fillId="0" borderId="2" applyAlignment="0" applyProtection="0"/>
    <xf numFmtId="185" fontId="32" fillId="0" borderId="2" applyAlignment="0" applyProtection="0"/>
    <xf numFmtId="185" fontId="32" fillId="0" borderId="2" applyAlignment="0" applyProtection="0"/>
    <xf numFmtId="185" fontId="1" fillId="0" borderId="0" applyAlignment="0" applyProtection="0"/>
    <xf numFmtId="182" fontId="23" fillId="0" borderId="0" applyFill="0" applyBorder="0" applyAlignment="0"/>
    <xf numFmtId="175" fontId="9" fillId="0" borderId="0" applyFill="0" applyBorder="0" applyAlignment="0"/>
    <xf numFmtId="176" fontId="9" fillId="0" borderId="0" applyFill="0" applyBorder="0" applyAlignment="0"/>
    <xf numFmtId="177" fontId="9" fillId="0" borderId="0" applyFill="0" applyBorder="0" applyAlignment="0"/>
    <xf numFmtId="178" fontId="9" fillId="0" borderId="0" applyFill="0" applyBorder="0" applyAlignment="0"/>
    <xf numFmtId="182" fontId="23" fillId="0" borderId="0" applyFill="0" applyBorder="0" applyAlignment="0"/>
    <xf numFmtId="179" fontId="9" fillId="0" borderId="0" applyFill="0" applyBorder="0" applyAlignment="0"/>
    <xf numFmtId="175" fontId="9" fillId="0" borderId="0" applyFill="0" applyBorder="0" applyAlignment="0"/>
    <xf numFmtId="0" fontId="33" fillId="0" borderId="0" applyFill="0" applyBorder="0" applyProtection="0">
      <alignment horizontal="center"/>
      <protection locked="0"/>
    </xf>
    <xf numFmtId="0" fontId="22" fillId="0" borderId="0"/>
    <xf numFmtId="170" fontId="22" fillId="0" borderId="7"/>
    <xf numFmtId="214" fontId="1" fillId="0" borderId="0"/>
    <xf numFmtId="214" fontId="1" fillId="0" borderId="0"/>
    <xf numFmtId="182" fontId="9" fillId="0" borderId="0" applyFont="0" applyFill="0" applyBorder="0" applyAlignment="0" applyProtection="0"/>
    <xf numFmtId="4" fontId="22" fillId="0" borderId="0" applyFont="0" applyFill="0" applyBorder="0" applyAlignment="0" applyProtection="0"/>
    <xf numFmtId="43" fontId="9" fillId="0" borderId="0" applyFont="0" applyFill="0" applyBorder="0" applyAlignment="0" applyProtection="0">
      <alignment wrapText="1"/>
    </xf>
    <xf numFmtId="43" fontId="9" fillId="0" borderId="0" applyFont="0" applyFill="0" applyBorder="0" applyAlignment="0" applyProtection="0">
      <alignment wrapText="1"/>
    </xf>
    <xf numFmtId="43" fontId="9" fillId="0" borderId="0" applyFont="0" applyFill="0" applyBorder="0" applyAlignment="0" applyProtection="0">
      <alignment wrapText="1"/>
    </xf>
    <xf numFmtId="4" fontId="22" fillId="0" borderId="0" applyFont="0" applyFill="0" applyBorder="0" applyAlignment="0" applyProtection="0"/>
    <xf numFmtId="4" fontId="1" fillId="0" borderId="0" applyFont="0" applyFill="0" applyBorder="0" applyAlignment="0" applyProtection="0"/>
    <xf numFmtId="4"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0" fontId="36" fillId="0" borderId="0" applyNumberFormat="0" applyFill="0" applyBorder="0" applyAlignment="0" applyProtection="0"/>
    <xf numFmtId="0" fontId="37" fillId="0" borderId="0" applyFill="0" applyBorder="0" applyAlignment="0" applyProtection="0">
      <protection locked="0"/>
    </xf>
    <xf numFmtId="190" fontId="9" fillId="0" borderId="0">
      <alignment horizontal="center"/>
    </xf>
    <xf numFmtId="184" fontId="38" fillId="0" borderId="0" applyFill="0" applyBorder="0" applyProtection="0"/>
    <xf numFmtId="183" fontId="39" fillId="0" borderId="0" applyFont="0" applyFill="0" applyBorder="0" applyAlignment="0" applyProtection="0"/>
    <xf numFmtId="171" fontId="40" fillId="0" borderId="20">
      <protection hidden="1"/>
    </xf>
    <xf numFmtId="175" fontId="9" fillId="0" borderId="0" applyFont="0" applyFill="0" applyBorder="0" applyAlignment="0" applyProtection="0"/>
    <xf numFmtId="8" fontId="1" fillId="0" borderId="0" applyFont="0" applyFill="0" applyBorder="0" applyAlignment="0" applyProtection="0"/>
    <xf numFmtId="44" fontId="9" fillId="0" borderId="0" applyFont="0" applyFill="0" applyBorder="0" applyAlignment="0" applyProtection="0"/>
    <xf numFmtId="0" fontId="36" fillId="0" borderId="0" applyNumberFormat="0" applyFill="0" applyBorder="0" applyAlignment="0" applyProtection="0"/>
    <xf numFmtId="1" fontId="29" fillId="0" borderId="0"/>
    <xf numFmtId="14" fontId="41" fillId="0" borderId="0">
      <alignment horizontal="center"/>
    </xf>
    <xf numFmtId="14" fontId="23" fillId="0" borderId="0" applyFill="0" applyBorder="0" applyAlignment="0"/>
    <xf numFmtId="15" fontId="42" fillId="7" borderId="0" applyNumberFormat="0" applyFont="0" applyFill="0" applyBorder="0" applyAlignment="0">
      <alignment horizontal="center" wrapText="1"/>
    </xf>
    <xf numFmtId="0" fontId="23" fillId="0" borderId="21" applyNumberFormat="0" applyFill="0" applyBorder="0" applyAlignment="0" applyProtection="0"/>
    <xf numFmtId="189" fontId="22" fillId="0" borderId="0" applyFont="0" applyFill="0" applyBorder="0" applyAlignment="0" applyProtection="0"/>
    <xf numFmtId="188" fontId="39" fillId="0" borderId="0" applyFont="0" applyFill="0" applyBorder="0" applyAlignment="0" applyProtection="0"/>
    <xf numFmtId="182" fontId="43" fillId="0" borderId="0" applyFill="0" applyBorder="0" applyAlignment="0"/>
    <xf numFmtId="175" fontId="9" fillId="0" borderId="0" applyFill="0" applyBorder="0" applyAlignment="0"/>
    <xf numFmtId="182" fontId="43" fillId="0" borderId="0" applyFill="0" applyBorder="0" applyAlignment="0"/>
    <xf numFmtId="179" fontId="9" fillId="0" borderId="0" applyFill="0" applyBorder="0" applyAlignment="0"/>
    <xf numFmtId="175" fontId="9" fillId="0" borderId="0" applyFill="0" applyBorder="0" applyAlignment="0"/>
    <xf numFmtId="171" fontId="40" fillId="0" borderId="20">
      <protection hidden="1"/>
    </xf>
    <xf numFmtId="192" fontId="9" fillId="0" borderId="0" applyFont="0" applyFill="0" applyBorder="0" applyAlignment="0" applyProtection="0"/>
    <xf numFmtId="38" fontId="44" fillId="7" borderId="0" applyNumberFormat="0" applyBorder="0" applyAlignment="0" applyProtection="0"/>
    <xf numFmtId="0" fontId="45" fillId="0" borderId="22" applyNumberFormat="0" applyAlignment="0" applyProtection="0">
      <alignment horizontal="left" vertical="center"/>
    </xf>
    <xf numFmtId="0" fontId="45"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45"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45"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45"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45" fillId="0" borderId="9">
      <alignment horizontal="left" vertical="center"/>
    </xf>
    <xf numFmtId="0" fontId="45" fillId="0" borderId="9">
      <alignment horizontal="left" vertical="center"/>
    </xf>
    <xf numFmtId="0" fontId="45" fillId="0" borderId="9">
      <alignment horizontal="left" vertical="center"/>
    </xf>
    <xf numFmtId="0" fontId="45" fillId="0" borderId="9">
      <alignment horizontal="left" vertical="center"/>
    </xf>
    <xf numFmtId="0" fontId="1" fillId="0" borderId="0">
      <alignment horizontal="left" vertical="center"/>
    </xf>
    <xf numFmtId="14" fontId="34" fillId="8" borderId="20">
      <alignment horizontal="center" vertical="center" wrapText="1"/>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3" fillId="0" borderId="0" applyFill="0" applyAlignment="0" applyProtection="0">
      <protection locked="0"/>
    </xf>
    <xf numFmtId="0" fontId="33" fillId="0" borderId="7" applyFill="0" applyAlignment="0" applyProtection="0">
      <protection locked="0"/>
    </xf>
    <xf numFmtId="10" fontId="44" fillId="9" borderId="21" applyNumberFormat="0" applyBorder="0" applyAlignment="0" applyProtection="0"/>
    <xf numFmtId="182" fontId="46" fillId="0" borderId="0" applyFill="0" applyBorder="0" applyAlignment="0"/>
    <xf numFmtId="175" fontId="9" fillId="0" borderId="0" applyFill="0" applyBorder="0" applyAlignment="0"/>
    <xf numFmtId="182" fontId="46" fillId="0" borderId="0" applyFill="0" applyBorder="0" applyAlignment="0"/>
    <xf numFmtId="179" fontId="9" fillId="0" borderId="0" applyFill="0" applyBorder="0" applyAlignment="0"/>
    <xf numFmtId="175" fontId="9" fillId="0" borderId="0" applyFill="0" applyBorder="0" applyAlignment="0"/>
    <xf numFmtId="210" fontId="9" fillId="0" borderId="0" applyFont="0" applyFill="0" applyBorder="0" applyAlignment="0" applyProtection="0"/>
    <xf numFmtId="211" fontId="9" fillId="0" borderId="0" applyFont="0" applyFill="0" applyBorder="0" applyAlignment="0" applyProtection="0"/>
    <xf numFmtId="38" fontId="35" fillId="0" borderId="0" applyFont="0" applyFill="0" applyBorder="0" applyAlignment="0" applyProtection="0"/>
    <xf numFmtId="40" fontId="35" fillId="0" borderId="0" applyFont="0" applyFill="0" applyBorder="0" applyAlignment="0" applyProtection="0"/>
    <xf numFmtId="212" fontId="9" fillId="0" borderId="0" applyFont="0" applyFill="0" applyBorder="0" applyAlignment="0" applyProtection="0"/>
    <xf numFmtId="213" fontId="9" fillId="0" borderId="0" applyFont="0" applyFill="0" applyBorder="0" applyAlignment="0" applyProtection="0"/>
    <xf numFmtId="6" fontId="35" fillId="0" borderId="0" applyFont="0" applyFill="0" applyBorder="0" applyAlignment="0" applyProtection="0"/>
    <xf numFmtId="8" fontId="35" fillId="0" borderId="0" applyFont="0" applyFill="0" applyBorder="0" applyAlignment="0" applyProtection="0"/>
    <xf numFmtId="168" fontId="29" fillId="0" borderId="7"/>
    <xf numFmtId="37" fontId="51" fillId="0" borderId="0"/>
    <xf numFmtId="169" fontId="22" fillId="0" borderId="0"/>
    <xf numFmtId="169" fontId="1" fillId="0" borderId="0"/>
    <xf numFmtId="174" fontId="9" fillId="0" borderId="0"/>
    <xf numFmtId="37" fontId="21" fillId="0" borderId="0"/>
    <xf numFmtId="0" fontId="9" fillId="0" borderId="0"/>
    <xf numFmtId="0" fontId="1" fillId="0" borderId="0"/>
    <xf numFmtId="0" fontId="9" fillId="0" borderId="0"/>
    <xf numFmtId="0" fontId="9" fillId="0" borderId="0"/>
    <xf numFmtId="0" fontId="9" fillId="0" borderId="0">
      <alignment wrapText="1"/>
    </xf>
    <xf numFmtId="0" fontId="9" fillId="0" borderId="0"/>
    <xf numFmtId="37" fontId="21" fillId="0" borderId="0"/>
    <xf numFmtId="37" fontId="1" fillId="0" borderId="0"/>
    <xf numFmtId="37" fontId="1" fillId="0" borderId="0"/>
    <xf numFmtId="37" fontId="9" fillId="0" borderId="0"/>
    <xf numFmtId="209" fontId="9" fillId="0" borderId="0"/>
    <xf numFmtId="203" fontId="9" fillId="0" borderId="0"/>
    <xf numFmtId="39" fontId="9" fillId="0" borderId="0"/>
    <xf numFmtId="204" fontId="9" fillId="0" borderId="0"/>
    <xf numFmtId="201" fontId="9" fillId="0" borderId="0"/>
    <xf numFmtId="205" fontId="9" fillId="0" borderId="0"/>
    <xf numFmtId="202" fontId="9" fillId="0" borderId="0"/>
    <xf numFmtId="206" fontId="9" fillId="0" borderId="0"/>
    <xf numFmtId="207" fontId="9" fillId="0" borderId="0"/>
    <xf numFmtId="208" fontId="9" fillId="0" borderId="0"/>
    <xf numFmtId="173" fontId="35" fillId="0" borderId="0"/>
    <xf numFmtId="172" fontId="40" fillId="0" borderId="0">
      <protection hidden="1"/>
    </xf>
    <xf numFmtId="178" fontId="9" fillId="0" borderId="0" applyFont="0" applyFill="0" applyBorder="0" applyAlignment="0" applyProtection="0"/>
    <xf numFmtId="174" fontId="9" fillId="0" borderId="0" applyFont="0" applyFill="0" applyBorder="0" applyAlignment="0" applyProtection="0"/>
    <xf numFmtId="10" fontId="9" fillId="0" borderId="0" applyFont="0" applyFill="0" applyBorder="0" applyAlignment="0" applyProtection="0"/>
    <xf numFmtId="9" fontId="2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5" fillId="0" borderId="23" applyNumberFormat="0" applyBorder="0"/>
    <xf numFmtId="168" fontId="29" fillId="0" borderId="0"/>
    <xf numFmtId="0" fontId="52" fillId="10" borderId="24" applyNumberFormat="0" applyFont="0" applyFill="0" applyAlignment="0">
      <alignment horizontal="center" vertical="center"/>
    </xf>
    <xf numFmtId="182" fontId="47" fillId="0" borderId="0" applyFill="0" applyBorder="0" applyAlignment="0"/>
    <xf numFmtId="175" fontId="9" fillId="0" borderId="0" applyFill="0" applyBorder="0" applyAlignment="0"/>
    <xf numFmtId="182" fontId="47" fillId="0" borderId="0" applyFill="0" applyBorder="0" applyAlignment="0"/>
    <xf numFmtId="179" fontId="9" fillId="0" borderId="0" applyFill="0" applyBorder="0" applyAlignment="0"/>
    <xf numFmtId="175" fontId="9" fillId="0" borderId="0" applyFill="0" applyBorder="0" applyAlignment="0"/>
    <xf numFmtId="37" fontId="21" fillId="0" borderId="25"/>
    <xf numFmtId="0" fontId="53" fillId="0" borderId="0"/>
    <xf numFmtId="0" fontId="22" fillId="0" borderId="0"/>
    <xf numFmtId="0" fontId="35" fillId="0" borderId="0"/>
    <xf numFmtId="49" fontId="23" fillId="0" borderId="0" applyFill="0" applyBorder="0" applyAlignment="0"/>
    <xf numFmtId="180" fontId="9" fillId="0" borderId="0" applyFill="0" applyBorder="0" applyAlignment="0"/>
    <xf numFmtId="181" fontId="9" fillId="0" borderId="0" applyFill="0" applyBorder="0" applyAlignment="0"/>
    <xf numFmtId="49" fontId="9" fillId="0" borderId="0"/>
    <xf numFmtId="0" fontId="48" fillId="0" borderId="0" applyFill="0" applyBorder="0" applyProtection="0">
      <alignment horizontal="left" vertical="top"/>
    </xf>
    <xf numFmtId="40" fontId="49" fillId="0" borderId="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37" fontId="21" fillId="0" borderId="7"/>
    <xf numFmtId="37" fontId="21" fillId="0" borderId="26"/>
    <xf numFmtId="186" fontId="9" fillId="0" borderId="0" applyFont="0" applyFill="0" applyBorder="0" applyAlignment="0" applyProtection="0"/>
    <xf numFmtId="187" fontId="9" fillId="0" borderId="0" applyFont="0" applyFill="0" applyBorder="0" applyAlignment="0" applyProtection="0"/>
    <xf numFmtId="0" fontId="9" fillId="0" borderId="0"/>
    <xf numFmtId="0" fontId="9" fillId="0" borderId="0"/>
    <xf numFmtId="37" fontId="9" fillId="0" borderId="0"/>
    <xf numFmtId="39" fontId="9" fillId="0" borderId="0"/>
    <xf numFmtId="0" fontId="55" fillId="0" borderId="0"/>
    <xf numFmtId="215" fontId="9" fillId="0" borderId="0" applyFill="0" applyBorder="0" applyAlignment="0"/>
    <xf numFmtId="164" fontId="9" fillId="0" borderId="0" applyFill="0" applyBorder="0" applyAlignment="0"/>
    <xf numFmtId="216" fontId="9" fillId="0" borderId="0" applyFill="0" applyBorder="0" applyAlignment="0"/>
    <xf numFmtId="217" fontId="9" fillId="0" borderId="0" applyFill="0" applyBorder="0" applyAlignment="0"/>
    <xf numFmtId="218" fontId="9" fillId="0" borderId="0" applyFill="0" applyBorder="0" applyAlignment="0"/>
    <xf numFmtId="219" fontId="9" fillId="0" borderId="0" applyFill="0" applyBorder="0" applyAlignment="0"/>
    <xf numFmtId="220" fontId="9" fillId="0" borderId="0" applyFill="0" applyBorder="0" applyAlignment="0"/>
    <xf numFmtId="164" fontId="9" fillId="0" borderId="0" applyFill="0" applyBorder="0" applyAlignment="0"/>
    <xf numFmtId="221" fontId="9" fillId="0" borderId="0"/>
    <xf numFmtId="221" fontId="9" fillId="0" borderId="0"/>
    <xf numFmtId="221" fontId="9" fillId="0" borderId="0"/>
    <xf numFmtId="221" fontId="9" fillId="0" borderId="0"/>
    <xf numFmtId="221" fontId="9" fillId="0" borderId="0"/>
    <xf numFmtId="221" fontId="9" fillId="0" borderId="0"/>
    <xf numFmtId="221" fontId="9" fillId="0" borderId="0"/>
    <xf numFmtId="221" fontId="9" fillId="0" borderId="0"/>
    <xf numFmtId="0" fontId="55" fillId="0" borderId="7"/>
    <xf numFmtId="219"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54" fillId="0" borderId="0" applyFont="0" applyFill="0" applyBorder="0" applyAlignment="0" applyProtection="0"/>
    <xf numFmtId="164" fontId="9" fillId="0" borderId="0" applyFont="0" applyFill="0" applyBorder="0" applyAlignment="0" applyProtection="0"/>
    <xf numFmtId="219" fontId="9" fillId="0" borderId="0" applyFill="0" applyBorder="0" applyAlignment="0"/>
    <xf numFmtId="164" fontId="9" fillId="0" borderId="0" applyFill="0" applyBorder="0" applyAlignment="0"/>
    <xf numFmtId="219" fontId="9" fillId="0" borderId="0" applyFill="0" applyBorder="0" applyAlignment="0"/>
    <xf numFmtId="220" fontId="9" fillId="0" borderId="0" applyFill="0" applyBorder="0" applyAlignment="0"/>
    <xf numFmtId="164" fontId="9" fillId="0" borderId="0" applyFill="0" applyBorder="0" applyAlignment="0"/>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219" fontId="9" fillId="0" borderId="0" applyFill="0" applyBorder="0" applyAlignment="0"/>
    <xf numFmtId="164" fontId="9" fillId="0" borderId="0" applyFill="0" applyBorder="0" applyAlignment="0"/>
    <xf numFmtId="219" fontId="9" fillId="0" borderId="0" applyFill="0" applyBorder="0" applyAlignment="0"/>
    <xf numFmtId="220" fontId="9" fillId="0" borderId="0" applyFill="0" applyBorder="0" applyAlignment="0"/>
    <xf numFmtId="164" fontId="9" fillId="0" borderId="0" applyFill="0" applyBorder="0" applyAlignment="0"/>
    <xf numFmtId="222" fontId="9" fillId="0" borderId="0"/>
    <xf numFmtId="0" fontId="58" fillId="0" borderId="0"/>
    <xf numFmtId="0" fontId="58" fillId="0" borderId="0"/>
    <xf numFmtId="0" fontId="58" fillId="0" borderId="0"/>
    <xf numFmtId="0" fontId="58" fillId="0" borderId="0"/>
    <xf numFmtId="0" fontId="9" fillId="0" borderId="0">
      <alignment wrapText="1"/>
    </xf>
    <xf numFmtId="0" fontId="59" fillId="0" borderId="0"/>
    <xf numFmtId="0" fontId="1" fillId="0" borderId="0"/>
    <xf numFmtId="0" fontId="1" fillId="0" borderId="0"/>
    <xf numFmtId="0" fontId="9" fillId="0" borderId="0"/>
    <xf numFmtId="0" fontId="1" fillId="0" borderId="0"/>
    <xf numFmtId="0" fontId="54" fillId="0" borderId="0"/>
    <xf numFmtId="0" fontId="1" fillId="0" borderId="0"/>
    <xf numFmtId="0" fontId="9" fillId="0" borderId="0">
      <alignment wrapText="1"/>
    </xf>
    <xf numFmtId="218" fontId="9" fillId="0" borderId="0" applyFont="0" applyFill="0" applyBorder="0" applyAlignment="0" applyProtection="0"/>
    <xf numFmtId="222" fontId="9" fillId="0" borderId="0" applyFont="0" applyFill="0" applyBorder="0" applyAlignment="0" applyProtection="0"/>
    <xf numFmtId="9" fontId="54" fillId="0" borderId="0" applyFont="0" applyFill="0" applyBorder="0" applyAlignment="0" applyProtection="0"/>
    <xf numFmtId="9" fontId="1" fillId="0" borderId="0" applyFont="0" applyFill="0" applyBorder="0" applyAlignment="0" applyProtection="0"/>
    <xf numFmtId="219" fontId="9" fillId="0" borderId="0" applyFill="0" applyBorder="0" applyAlignment="0"/>
    <xf numFmtId="164" fontId="9" fillId="0" borderId="0" applyFill="0" applyBorder="0" applyAlignment="0"/>
    <xf numFmtId="219" fontId="9" fillId="0" borderId="0" applyFill="0" applyBorder="0" applyAlignment="0"/>
    <xf numFmtId="220" fontId="9" fillId="0" borderId="0" applyFill="0" applyBorder="0" applyAlignment="0"/>
    <xf numFmtId="164" fontId="9" fillId="0" borderId="0" applyFill="0" applyBorder="0" applyAlignment="0"/>
    <xf numFmtId="223" fontId="9" fillId="0" borderId="0" applyFill="0" applyBorder="0" applyAlignment="0"/>
    <xf numFmtId="224" fontId="9" fillId="0" borderId="0" applyFill="0" applyBorder="0" applyAlignment="0"/>
    <xf numFmtId="37" fontId="60" fillId="0" borderId="0"/>
    <xf numFmtId="4" fontId="55" fillId="0" borderId="0" applyFont="0" applyFill="0" applyBorder="0" applyAlignment="0" applyProtection="0"/>
    <xf numFmtId="9" fontId="61" fillId="0" borderId="0" applyFont="0" applyFill="0" applyBorder="0" applyAlignment="0" applyProtection="0"/>
    <xf numFmtId="0" fontId="56"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9" fillId="0" borderId="0"/>
    <xf numFmtId="0" fontId="9" fillId="0" borderId="0"/>
    <xf numFmtId="0" fontId="9" fillId="0" borderId="0"/>
    <xf numFmtId="0" fontId="9" fillId="0" borderId="0"/>
    <xf numFmtId="9" fontId="61" fillId="0" borderId="0" applyFont="0" applyFill="0" applyBorder="0" applyAlignment="0" applyProtection="0"/>
    <xf numFmtId="37" fontId="64" fillId="0" borderId="20">
      <alignment horizontal="right"/>
      <protection locked="0"/>
    </xf>
    <xf numFmtId="37" fontId="63" fillId="0" borderId="20">
      <alignment horizontal="right"/>
      <protection locked="0"/>
    </xf>
  </cellStyleXfs>
  <cellXfs count="342">
    <xf numFmtId="0" fontId="0" fillId="0" borderId="0" xfId="0"/>
    <xf numFmtId="164" fontId="0" fillId="0" borderId="0" xfId="1" applyNumberFormat="1" applyFont="1" applyAlignment="1">
      <alignment horizontal="right"/>
    </xf>
    <xf numFmtId="0" fontId="0" fillId="0" borderId="0" xfId="0" applyAlignment="1">
      <alignment horizontal="right"/>
    </xf>
    <xf numFmtId="0" fontId="0" fillId="0" borderId="3" xfId="0" applyFont="1" applyBorder="1"/>
    <xf numFmtId="9" fontId="6" fillId="0" borderId="0" xfId="2" applyFont="1" applyBorder="1" applyAlignment="1">
      <alignment horizontal="right"/>
    </xf>
    <xf numFmtId="9" fontId="5" fillId="0" borderId="0" xfId="2" applyFont="1" applyBorder="1" applyAlignment="1">
      <alignment horizontal="right"/>
    </xf>
    <xf numFmtId="9" fontId="7" fillId="0" borderId="0" xfId="2" applyFont="1" applyBorder="1" applyAlignment="1">
      <alignment horizontal="right"/>
    </xf>
    <xf numFmtId="43" fontId="12" fillId="0" borderId="0" xfId="1" applyNumberFormat="1" applyFont="1" applyFill="1" applyBorder="1" applyAlignment="1">
      <alignment horizontal="right"/>
    </xf>
    <xf numFmtId="164" fontId="3" fillId="0" borderId="5" xfId="1" quotePrefix="1" applyNumberFormat="1" applyFont="1" applyFill="1" applyBorder="1" applyAlignment="1">
      <alignment horizontal="right"/>
    </xf>
    <xf numFmtId="0" fontId="0" fillId="0" borderId="0" xfId="0" applyFont="1"/>
    <xf numFmtId="43" fontId="0" fillId="0" borderId="0" xfId="1" applyFont="1" applyAlignment="1">
      <alignment horizontal="right"/>
    </xf>
    <xf numFmtId="164" fontId="2" fillId="0" borderId="0" xfId="1" quotePrefix="1" applyNumberFormat="1" applyFont="1" applyFill="1" applyBorder="1" applyAlignment="1">
      <alignment horizontal="right"/>
    </xf>
    <xf numFmtId="0" fontId="2" fillId="0" borderId="3" xfId="0" applyFont="1" applyFill="1" applyBorder="1"/>
    <xf numFmtId="43" fontId="0" fillId="0" borderId="0" xfId="1" applyFont="1" applyFill="1"/>
    <xf numFmtId="165" fontId="0" fillId="0" borderId="0" xfId="0" applyNumberFormat="1" applyFill="1"/>
    <xf numFmtId="43" fontId="0" fillId="0" borderId="0" xfId="1" applyFont="1" applyFill="1" applyAlignment="1">
      <alignment horizontal="right"/>
    </xf>
    <xf numFmtId="0" fontId="13" fillId="0" borderId="0" xfId="0" applyFont="1"/>
    <xf numFmtId="0" fontId="0" fillId="0" borderId="0" xfId="0" applyAlignment="1">
      <alignment horizontal="left"/>
    </xf>
    <xf numFmtId="164" fontId="0" fillId="0" borderId="0" xfId="1" applyNumberFormat="1" applyFont="1" applyBorder="1" applyAlignment="1">
      <alignment horizontal="right"/>
    </xf>
    <xf numFmtId="0" fontId="0" fillId="0" borderId="0" xfId="0" applyBorder="1" applyAlignment="1">
      <alignment horizontal="right"/>
    </xf>
    <xf numFmtId="0" fontId="2" fillId="0" borderId="0" xfId="0" applyFont="1" applyFill="1" applyBorder="1" applyAlignment="1">
      <alignment horizontal="left"/>
    </xf>
    <xf numFmtId="0" fontId="0" fillId="0" borderId="0" xfId="0"/>
    <xf numFmtId="0" fontId="0" fillId="0" borderId="3" xfId="0" applyFont="1" applyFill="1" applyBorder="1"/>
    <xf numFmtId="0" fontId="0" fillId="0" borderId="0" xfId="0"/>
    <xf numFmtId="0" fontId="8" fillId="0" borderId="10" xfId="0" applyFont="1" applyFill="1" applyBorder="1" applyAlignment="1">
      <alignment horizontal="left"/>
    </xf>
    <xf numFmtId="166" fontId="1" fillId="0" borderId="0" xfId="2" quotePrefix="1" applyNumberFormat="1" applyFont="1" applyFill="1" applyBorder="1" applyAlignment="1">
      <alignment horizontal="right"/>
    </xf>
    <xf numFmtId="165" fontId="1" fillId="0" borderId="5" xfId="1" quotePrefix="1" applyNumberFormat="1" applyFont="1" applyFill="1" applyBorder="1" applyAlignment="1">
      <alignment horizontal="right"/>
    </xf>
    <xf numFmtId="166" fontId="1" fillId="2" borderId="0" xfId="2" quotePrefix="1" applyNumberFormat="1" applyFont="1" applyFill="1" applyBorder="1" applyAlignment="1">
      <alignment horizontal="right"/>
    </xf>
    <xf numFmtId="164" fontId="0" fillId="0" borderId="0" xfId="1" applyNumberFormat="1" applyFont="1" applyFill="1" applyBorder="1" applyAlignment="1">
      <alignment horizontal="right"/>
    </xf>
    <xf numFmtId="43" fontId="0" fillId="0" borderId="4" xfId="1" applyFont="1" applyFill="1" applyBorder="1" applyAlignment="1">
      <alignment horizontal="right"/>
    </xf>
    <xf numFmtId="0" fontId="0" fillId="0" borderId="6" xfId="0" applyFont="1" applyFill="1" applyBorder="1" applyAlignment="1">
      <alignment horizontal="left"/>
    </xf>
    <xf numFmtId="0" fontId="0" fillId="0" borderId="10" xfId="0" applyFont="1" applyFill="1" applyBorder="1" applyAlignment="1">
      <alignment horizontal="left"/>
    </xf>
    <xf numFmtId="43" fontId="10" fillId="0" borderId="0" xfId="1" applyNumberFormat="1" applyFont="1" applyFill="1" applyBorder="1" applyAlignment="1">
      <alignment horizontal="right"/>
    </xf>
    <xf numFmtId="43" fontId="1" fillId="0" borderId="5" xfId="1" applyNumberFormat="1" applyFont="1" applyFill="1" applyBorder="1" applyAlignment="1">
      <alignment horizontal="right"/>
    </xf>
    <xf numFmtId="165" fontId="3" fillId="0" borderId="5" xfId="1" quotePrefix="1" applyNumberFormat="1" applyFont="1" applyFill="1" applyBorder="1" applyAlignment="1">
      <alignment horizontal="right"/>
    </xf>
    <xf numFmtId="166" fontId="1" fillId="0" borderId="5" xfId="2" quotePrefix="1" applyNumberFormat="1" applyFont="1" applyFill="1" applyBorder="1" applyAlignment="1">
      <alignment horizontal="right"/>
    </xf>
    <xf numFmtId="43" fontId="1" fillId="0" borderId="0" xfId="1" applyNumberFormat="1" applyFont="1" applyFill="1" applyBorder="1" applyAlignment="1">
      <alignment horizontal="right"/>
    </xf>
    <xf numFmtId="165" fontId="1" fillId="0" borderId="0" xfId="1" quotePrefix="1" applyNumberFormat="1" applyFont="1" applyFill="1" applyBorder="1" applyAlignment="1">
      <alignment horizontal="right"/>
    </xf>
    <xf numFmtId="0" fontId="0" fillId="0" borderId="0" xfId="0" applyFont="1"/>
    <xf numFmtId="164" fontId="65" fillId="5" borderId="2" xfId="1" quotePrefix="1" applyNumberFormat="1" applyFont="1" applyFill="1" applyBorder="1" applyAlignment="1">
      <alignment horizontal="right"/>
    </xf>
    <xf numFmtId="164" fontId="66" fillId="5" borderId="0" xfId="1" quotePrefix="1" applyNumberFormat="1" applyFont="1" applyFill="1" applyBorder="1" applyAlignment="1">
      <alignment horizontal="right"/>
    </xf>
    <xf numFmtId="0" fontId="0" fillId="0" borderId="0" xfId="0"/>
    <xf numFmtId="43" fontId="2" fillId="0" borderId="5" xfId="1" applyNumberFormat="1" applyFont="1" applyFill="1" applyBorder="1" applyAlignment="1">
      <alignment horizontal="right"/>
    </xf>
    <xf numFmtId="0" fontId="0" fillId="0" borderId="0" xfId="0"/>
    <xf numFmtId="0" fontId="0" fillId="0" borderId="0" xfId="0" applyFont="1"/>
    <xf numFmtId="0" fontId="2" fillId="0" borderId="0" xfId="0" applyFont="1"/>
    <xf numFmtId="164" fontId="65" fillId="5" borderId="2" xfId="1" quotePrefix="1" applyNumberFormat="1" applyFont="1" applyFill="1" applyBorder="1" applyAlignment="1">
      <alignment horizontal="right"/>
    </xf>
    <xf numFmtId="164" fontId="66" fillId="5" borderId="0" xfId="1" quotePrefix="1" applyNumberFormat="1" applyFont="1" applyFill="1" applyBorder="1" applyAlignment="1">
      <alignment horizontal="right"/>
    </xf>
    <xf numFmtId="0" fontId="0" fillId="0" borderId="4" xfId="0" applyFont="1" applyBorder="1" applyAlignment="1">
      <alignment horizontal="left"/>
    </xf>
    <xf numFmtId="0" fontId="2" fillId="0" borderId="6" xfId="0" applyFont="1" applyFill="1" applyBorder="1" applyAlignment="1">
      <alignment horizontal="left"/>
    </xf>
    <xf numFmtId="165" fontId="2" fillId="0" borderId="9" xfId="1" applyNumberFormat="1" applyFont="1" applyFill="1" applyBorder="1" applyAlignment="1">
      <alignment horizontal="right"/>
    </xf>
    <xf numFmtId="164" fontId="65" fillId="5" borderId="11" xfId="1" quotePrefix="1" applyNumberFormat="1" applyFont="1" applyFill="1" applyBorder="1" applyAlignment="1">
      <alignment horizontal="right"/>
    </xf>
    <xf numFmtId="164" fontId="66" fillId="5" borderId="4" xfId="1" quotePrefix="1" applyNumberFormat="1" applyFont="1" applyFill="1" applyBorder="1" applyAlignment="1">
      <alignment horizontal="right"/>
    </xf>
    <xf numFmtId="0" fontId="0" fillId="0" borderId="3" xfId="0" applyFont="1" applyBorder="1" applyAlignment="1">
      <alignment horizontal="left"/>
    </xf>
    <xf numFmtId="0" fontId="0" fillId="0" borderId="4" xfId="0" applyFont="1" applyBorder="1" applyAlignment="1">
      <alignment horizontal="left"/>
    </xf>
    <xf numFmtId="0" fontId="0" fillId="0" borderId="0" xfId="0" applyFill="1"/>
    <xf numFmtId="0" fontId="0" fillId="0" borderId="3" xfId="0" applyFont="1" applyBorder="1" applyAlignment="1">
      <alignment horizontal="left"/>
    </xf>
    <xf numFmtId="43" fontId="1" fillId="0" borderId="0" xfId="1" quotePrefix="1" applyFont="1" applyFill="1" applyBorder="1" applyAlignment="1">
      <alignment horizontal="right"/>
    </xf>
    <xf numFmtId="43" fontId="1" fillId="0" borderId="5" xfId="1" quotePrefix="1" applyFont="1" applyFill="1" applyBorder="1" applyAlignment="1">
      <alignment horizontal="right"/>
    </xf>
    <xf numFmtId="165" fontId="0" fillId="0" borderId="0" xfId="1" applyNumberFormat="1" applyFont="1"/>
    <xf numFmtId="167" fontId="1" fillId="0" borderId="0" xfId="1" quotePrefix="1" applyNumberFormat="1" applyFont="1" applyFill="1" applyBorder="1" applyAlignment="1">
      <alignment horizontal="right"/>
    </xf>
    <xf numFmtId="167" fontId="1" fillId="0" borderId="5" xfId="1" quotePrefix="1" applyNumberFormat="1" applyFont="1" applyFill="1" applyBorder="1" applyAlignment="1">
      <alignment horizontal="right"/>
    </xf>
    <xf numFmtId="167" fontId="1" fillId="2" borderId="0" xfId="1" quotePrefix="1" applyNumberFormat="1" applyFont="1" applyFill="1" applyBorder="1" applyAlignment="1">
      <alignment horizontal="right"/>
    </xf>
    <xf numFmtId="167" fontId="1" fillId="0" borderId="3" xfId="1" quotePrefix="1" applyNumberFormat="1" applyFont="1" applyFill="1" applyBorder="1" applyAlignment="1">
      <alignment horizontal="right"/>
    </xf>
    <xf numFmtId="167" fontId="4" fillId="0" borderId="0" xfId="1" quotePrefix="1" applyNumberFormat="1" applyFont="1" applyFill="1" applyBorder="1" applyAlignment="1">
      <alignment horizontal="right"/>
    </xf>
    <xf numFmtId="167" fontId="4" fillId="0" borderId="5" xfId="1" quotePrefix="1" applyNumberFormat="1" applyFont="1" applyFill="1" applyBorder="1" applyAlignment="1">
      <alignment horizontal="right"/>
    </xf>
    <xf numFmtId="225" fontId="0" fillId="0" borderId="4" xfId="2" applyNumberFormat="1" applyFont="1" applyFill="1" applyBorder="1" applyAlignment="1">
      <alignment horizontal="right"/>
    </xf>
    <xf numFmtId="225" fontId="0" fillId="0" borderId="4" xfId="1" applyNumberFormat="1" applyFont="1" applyFill="1" applyBorder="1" applyAlignment="1">
      <alignment horizontal="right"/>
    </xf>
    <xf numFmtId="225" fontId="0" fillId="2" borderId="4" xfId="1" applyNumberFormat="1" applyFont="1" applyFill="1" applyBorder="1" applyAlignment="1">
      <alignment horizontal="right"/>
    </xf>
    <xf numFmtId="6" fontId="2" fillId="0" borderId="10" xfId="1" applyNumberFormat="1" applyFont="1" applyBorder="1" applyAlignment="1">
      <alignment horizontal="right"/>
    </xf>
    <xf numFmtId="0" fontId="0" fillId="0" borderId="1" xfId="0" applyFont="1" applyBorder="1"/>
    <xf numFmtId="5" fontId="0" fillId="0" borderId="4" xfId="1" applyNumberFormat="1" applyFont="1" applyFill="1" applyBorder="1" applyAlignment="1">
      <alignment horizontal="right"/>
    </xf>
    <xf numFmtId="0" fontId="0" fillId="0" borderId="27" xfId="0" applyFont="1" applyFill="1" applyBorder="1"/>
    <xf numFmtId="6" fontId="0" fillId="0" borderId="28" xfId="0" applyNumberFormat="1" applyFont="1" applyBorder="1"/>
    <xf numFmtId="0" fontId="2" fillId="0" borderId="1" xfId="0" applyFont="1" applyFill="1" applyBorder="1" applyAlignment="1">
      <alignment horizontal="left"/>
    </xf>
    <xf numFmtId="5" fontId="2" fillId="0" borderId="11" xfId="1" applyNumberFormat="1" applyFont="1" applyBorder="1" applyAlignment="1">
      <alignment horizontal="right"/>
    </xf>
    <xf numFmtId="166" fontId="0" fillId="0" borderId="0" xfId="1" applyNumberFormat="1" applyFont="1" applyAlignment="1">
      <alignment horizontal="right"/>
    </xf>
    <xf numFmtId="9" fontId="0" fillId="2" borderId="11" xfId="1" applyNumberFormat="1" applyFont="1" applyFill="1" applyBorder="1" applyAlignment="1">
      <alignment horizontal="right"/>
    </xf>
    <xf numFmtId="9" fontId="0" fillId="2" borderId="4" xfId="2" applyFont="1" applyFill="1" applyBorder="1" applyAlignment="1">
      <alignment horizontal="right"/>
    </xf>
    <xf numFmtId="0" fontId="68" fillId="0" borderId="0" xfId="0" applyFont="1"/>
    <xf numFmtId="0" fontId="0" fillId="0" borderId="3" xfId="0" applyFont="1" applyFill="1" applyBorder="1" applyAlignment="1">
      <alignment horizontal="left"/>
    </xf>
    <xf numFmtId="0" fontId="0" fillId="0" borderId="4" xfId="0" applyFont="1" applyFill="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0" fontId="0" fillId="0" borderId="0" xfId="0" applyFont="1" applyFill="1"/>
    <xf numFmtId="0" fontId="8" fillId="0" borderId="0" xfId="0" applyFont="1" applyFill="1" applyBorder="1" applyAlignment="1">
      <alignment horizontal="left"/>
    </xf>
    <xf numFmtId="164" fontId="13" fillId="0" borderId="0" xfId="1" applyNumberFormat="1" applyFont="1" applyAlignment="1">
      <alignment horizontal="right"/>
    </xf>
    <xf numFmtId="0" fontId="0" fillId="0" borderId="0" xfId="0" applyFont="1" applyAlignment="1">
      <alignment horizontal="left"/>
    </xf>
    <xf numFmtId="0" fontId="0" fillId="0" borderId="4" xfId="0" applyFont="1" applyBorder="1" applyAlignment="1"/>
    <xf numFmtId="164" fontId="3" fillId="0" borderId="7" xfId="1" quotePrefix="1" applyNumberFormat="1" applyFont="1" applyFill="1" applyBorder="1" applyAlignment="1">
      <alignment horizontal="right"/>
    </xf>
    <xf numFmtId="164" fontId="3" fillId="0" borderId="8" xfId="1" quotePrefix="1" applyNumberFormat="1" applyFont="1" applyFill="1" applyBorder="1" applyAlignment="1">
      <alignment horizontal="right"/>
    </xf>
    <xf numFmtId="165" fontId="1" fillId="2" borderId="0" xfId="1" quotePrefix="1" applyNumberFormat="1" applyFont="1" applyFill="1" applyBorder="1" applyAlignment="1">
      <alignment horizontal="right"/>
    </xf>
    <xf numFmtId="0" fontId="0" fillId="0" borderId="3" xfId="0" applyFont="1" applyFill="1" applyBorder="1" applyAlignment="1">
      <alignment horizontal="left"/>
    </xf>
    <xf numFmtId="0" fontId="0" fillId="0" borderId="4" xfId="0" applyFont="1" applyFill="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0" fillId="0" borderId="4" xfId="0" applyFont="1" applyFill="1" applyBorder="1" applyAlignment="1">
      <alignment horizontal="left"/>
    </xf>
    <xf numFmtId="43" fontId="0" fillId="0" borderId="0" xfId="1" applyNumberFormat="1" applyFont="1" applyFill="1" applyBorder="1" applyAlignment="1">
      <alignment horizontal="right"/>
    </xf>
    <xf numFmtId="43" fontId="0" fillId="0" borderId="0" xfId="1" applyNumberFormat="1" applyFont="1" applyBorder="1" applyAlignment="1">
      <alignment horizontal="right"/>
    </xf>
    <xf numFmtId="0" fontId="0" fillId="0" borderId="4" xfId="0" applyFont="1" applyBorder="1" applyAlignment="1">
      <alignment horizontal="left"/>
    </xf>
    <xf numFmtId="43" fontId="5" fillId="0" borderId="0" xfId="1" applyNumberFormat="1" applyFont="1" applyBorder="1" applyAlignment="1">
      <alignment horizontal="right"/>
    </xf>
    <xf numFmtId="43" fontId="7" fillId="0" borderId="0" xfId="1" applyNumberFormat="1" applyFont="1" applyFill="1" applyBorder="1" applyAlignment="1">
      <alignment horizontal="right"/>
    </xf>
    <xf numFmtId="43" fontId="6" fillId="0" borderId="0" xfId="1" applyNumberFormat="1" applyFont="1" applyBorder="1" applyAlignment="1">
      <alignment horizontal="right"/>
    </xf>
    <xf numFmtId="43" fontId="7" fillId="0" borderId="5" xfId="1" applyNumberFormat="1" applyFont="1" applyBorder="1" applyAlignment="1">
      <alignment horizontal="right"/>
    </xf>
    <xf numFmtId="0" fontId="0" fillId="0" borderId="3" xfId="0" applyFont="1" applyFill="1" applyBorder="1" applyAlignment="1">
      <alignment horizontal="left"/>
    </xf>
    <xf numFmtId="0" fontId="0" fillId="0" borderId="4" xfId="0" applyFont="1" applyFill="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0" fontId="10" fillId="0" borderId="4" xfId="3" applyFont="1" applyFill="1" applyBorder="1" applyAlignment="1">
      <alignment horizontal="left" vertical="top"/>
    </xf>
    <xf numFmtId="43" fontId="0" fillId="0" borderId="0" xfId="1" applyNumberFormat="1" applyFont="1" applyAlignment="1">
      <alignment horizontal="right"/>
    </xf>
    <xf numFmtId="43" fontId="0" fillId="0" borderId="0" xfId="0" applyNumberFormat="1" applyAlignment="1">
      <alignment horizontal="right"/>
    </xf>
    <xf numFmtId="43" fontId="0" fillId="0" borderId="0" xfId="1" applyNumberFormat="1" applyFont="1" applyFill="1" applyAlignment="1">
      <alignment horizontal="right"/>
    </xf>
    <xf numFmtId="43" fontId="0" fillId="0" borderId="0" xfId="1" applyNumberFormat="1" applyFont="1" applyFill="1"/>
    <xf numFmtId="43" fontId="0" fillId="0" borderId="0" xfId="0" applyNumberFormat="1" applyFill="1"/>
    <xf numFmtId="43" fontId="16" fillId="3" borderId="2" xfId="1" quotePrefix="1" applyNumberFormat="1" applyFont="1" applyFill="1" applyBorder="1" applyAlignment="1">
      <alignment horizontal="right"/>
    </xf>
    <xf numFmtId="43" fontId="18" fillId="3" borderId="0" xfId="1" quotePrefix="1" applyNumberFormat="1" applyFont="1" applyFill="1" applyBorder="1" applyAlignment="1">
      <alignment horizontal="right"/>
    </xf>
    <xf numFmtId="43" fontId="2" fillId="0" borderId="9" xfId="1" applyNumberFormat="1" applyFont="1" applyFill="1" applyBorder="1" applyAlignment="1">
      <alignment horizontal="right"/>
    </xf>
    <xf numFmtId="43" fontId="1" fillId="0" borderId="0" xfId="1" quotePrefix="1" applyNumberFormat="1" applyFont="1" applyFill="1" applyBorder="1" applyAlignment="1">
      <alignment horizontal="right"/>
    </xf>
    <xf numFmtId="43" fontId="1" fillId="0" borderId="5" xfId="1" quotePrefix="1" applyNumberFormat="1" applyFont="1" applyFill="1" applyBorder="1" applyAlignment="1">
      <alignment horizontal="right"/>
    </xf>
    <xf numFmtId="43" fontId="1" fillId="0" borderId="0" xfId="2" quotePrefix="1" applyNumberFormat="1" applyFont="1" applyFill="1" applyBorder="1" applyAlignment="1">
      <alignment horizontal="right"/>
    </xf>
    <xf numFmtId="43" fontId="1" fillId="0" borderId="5" xfId="2" quotePrefix="1" applyNumberFormat="1" applyFont="1" applyFill="1" applyBorder="1" applyAlignment="1">
      <alignment horizontal="right"/>
    </xf>
    <xf numFmtId="43" fontId="1" fillId="2" borderId="0" xfId="1" quotePrefix="1" applyNumberFormat="1" applyFont="1" applyFill="1" applyBorder="1" applyAlignment="1">
      <alignment horizontal="right"/>
    </xf>
    <xf numFmtId="43" fontId="4" fillId="0" borderId="0" xfId="1" quotePrefix="1" applyNumberFormat="1" applyFont="1" applyFill="1" applyBorder="1" applyAlignment="1">
      <alignment horizontal="right"/>
    </xf>
    <xf numFmtId="43" fontId="4" fillId="0" borderId="5" xfId="1" quotePrefix="1" applyNumberFormat="1" applyFont="1" applyFill="1" applyBorder="1" applyAlignment="1">
      <alignment horizontal="right"/>
    </xf>
    <xf numFmtId="43" fontId="2" fillId="0" borderId="0" xfId="1" quotePrefix="1" applyNumberFormat="1" applyFont="1" applyFill="1" applyBorder="1" applyAlignment="1">
      <alignment horizontal="right"/>
    </xf>
    <xf numFmtId="43" fontId="3" fillId="0" borderId="5" xfId="1" quotePrefix="1" applyNumberFormat="1" applyFont="1" applyFill="1" applyBorder="1" applyAlignment="1">
      <alignment horizontal="right"/>
    </xf>
    <xf numFmtId="43" fontId="3" fillId="0" borderId="7" xfId="1" quotePrefix="1" applyNumberFormat="1" applyFont="1" applyFill="1" applyBorder="1" applyAlignment="1">
      <alignment horizontal="right"/>
    </xf>
    <xf numFmtId="43" fontId="3" fillId="0" borderId="8" xfId="1" quotePrefix="1" applyNumberFormat="1" applyFont="1" applyFill="1" applyBorder="1" applyAlignment="1">
      <alignment horizontal="right"/>
    </xf>
    <xf numFmtId="43" fontId="13" fillId="0" borderId="0" xfId="1" applyNumberFormat="1" applyFont="1" applyAlignment="1">
      <alignment horizontal="right"/>
    </xf>
    <xf numFmtId="43" fontId="1" fillId="0" borderId="7" xfId="1" applyNumberFormat="1" applyFont="1" applyBorder="1" applyAlignment="1">
      <alignment horizontal="right"/>
    </xf>
    <xf numFmtId="43" fontId="1" fillId="0" borderId="10" xfId="1" applyNumberFormat="1" applyFont="1" applyBorder="1" applyAlignment="1">
      <alignment horizontal="right"/>
    </xf>
    <xf numFmtId="43" fontId="1" fillId="0" borderId="8" xfId="1" applyNumberFormat="1" applyFont="1" applyBorder="1" applyAlignment="1">
      <alignment horizontal="right"/>
    </xf>
    <xf numFmtId="43" fontId="1" fillId="0" borderId="6" xfId="1" applyNumberFormat="1" applyFont="1" applyBorder="1" applyAlignment="1">
      <alignment horizontal="right"/>
    </xf>
    <xf numFmtId="43" fontId="1" fillId="0" borderId="7" xfId="1" applyNumberFormat="1" applyFont="1" applyFill="1" applyBorder="1" applyAlignment="1">
      <alignment horizontal="right"/>
    </xf>
    <xf numFmtId="43" fontId="13" fillId="0" borderId="0" xfId="1" quotePrefix="1" applyNumberFormat="1" applyFont="1" applyFill="1" applyBorder="1" applyAlignment="1">
      <alignment horizontal="right"/>
    </xf>
    <xf numFmtId="43" fontId="5" fillId="0" borderId="0" xfId="2" applyNumberFormat="1" applyFont="1" applyBorder="1" applyAlignment="1">
      <alignment horizontal="right"/>
    </xf>
    <xf numFmtId="43" fontId="7" fillId="0" borderId="0" xfId="2" applyNumberFormat="1" applyFont="1" applyBorder="1" applyAlignment="1">
      <alignment horizontal="right"/>
    </xf>
    <xf numFmtId="43" fontId="6" fillId="0" borderId="0" xfId="2" applyNumberFormat="1" applyFont="1" applyBorder="1" applyAlignment="1">
      <alignment horizontal="right"/>
    </xf>
    <xf numFmtId="43" fontId="0" fillId="0" borderId="0" xfId="0" applyNumberFormat="1" applyBorder="1" applyAlignment="1">
      <alignment horizontal="right"/>
    </xf>
    <xf numFmtId="0" fontId="0" fillId="0" borderId="3" xfId="0" applyFont="1" applyBorder="1" applyAlignment="1">
      <alignment horizontal="left"/>
    </xf>
    <xf numFmtId="0" fontId="0" fillId="0" borderId="4" xfId="0" applyFont="1" applyBorder="1" applyAlignment="1">
      <alignment horizontal="left"/>
    </xf>
    <xf numFmtId="0" fontId="2" fillId="0" borderId="3" xfId="0" applyFont="1" applyBorder="1" applyAlignment="1">
      <alignment horizontal="left"/>
    </xf>
    <xf numFmtId="0" fontId="0" fillId="0" borderId="3" xfId="0" applyFont="1" applyFill="1" applyBorder="1" applyAlignment="1">
      <alignment horizontal="left"/>
    </xf>
    <xf numFmtId="0" fontId="0" fillId="0" borderId="4" xfId="0" applyFont="1" applyFill="1" applyBorder="1" applyAlignment="1">
      <alignment horizontal="left"/>
    </xf>
    <xf numFmtId="0" fontId="2" fillId="0" borderId="4" xfId="0" applyFont="1" applyFill="1" applyBorder="1" applyAlignment="1">
      <alignment horizontal="left"/>
    </xf>
    <xf numFmtId="0" fontId="12" fillId="0" borderId="3" xfId="3" applyFont="1" applyFill="1" applyBorder="1" applyAlignment="1">
      <alignment horizontal="left" vertical="top"/>
    </xf>
    <xf numFmtId="0" fontId="0" fillId="0" borderId="3" xfId="0" applyFont="1" applyBorder="1" applyAlignment="1">
      <alignment horizontal="left"/>
    </xf>
    <xf numFmtId="0" fontId="0" fillId="0" borderId="4" xfId="0" applyFont="1" applyBorder="1" applyAlignment="1">
      <alignment horizontal="left"/>
    </xf>
    <xf numFmtId="0" fontId="2" fillId="0" borderId="0" xfId="0" applyFont="1" applyFill="1"/>
    <xf numFmtId="0" fontId="0" fillId="0" borderId="3" xfId="0" applyFont="1" applyBorder="1" applyAlignment="1">
      <alignment horizontal="left"/>
    </xf>
    <xf numFmtId="0" fontId="0" fillId="0" borderId="4" xfId="0" applyFont="1" applyBorder="1" applyAlignment="1">
      <alignment horizontal="left"/>
    </xf>
    <xf numFmtId="0" fontId="2" fillId="0" borderId="3" xfId="0" applyFont="1" applyBorder="1" applyAlignment="1">
      <alignment horizontal="left"/>
    </xf>
    <xf numFmtId="0" fontId="1" fillId="0" borderId="0" xfId="0" applyFont="1"/>
    <xf numFmtId="0" fontId="2" fillId="0" borderId="3" xfId="0" applyFont="1" applyBorder="1" applyAlignment="1">
      <alignment horizontal="left"/>
    </xf>
    <xf numFmtId="0" fontId="2" fillId="0" borderId="4" xfId="0" applyFont="1" applyBorder="1" applyAlignment="1">
      <alignment horizontal="left"/>
    </xf>
    <xf numFmtId="0" fontId="2" fillId="0" borderId="3" xfId="0" applyFont="1" applyFill="1" applyBorder="1" applyAlignment="1">
      <alignment horizontal="left"/>
    </xf>
    <xf numFmtId="0" fontId="0" fillId="0" borderId="3" xfId="0" applyFont="1" applyFill="1" applyBorder="1" applyAlignment="1">
      <alignment horizontal="left"/>
    </xf>
    <xf numFmtId="0" fontId="0" fillId="0" borderId="4" xfId="0" applyFont="1" applyFill="1" applyBorder="1" applyAlignment="1">
      <alignment horizontal="left"/>
    </xf>
    <xf numFmtId="165" fontId="1" fillId="0" borderId="3" xfId="1" applyNumberFormat="1" applyFont="1" applyFill="1" applyBorder="1" applyAlignment="1">
      <alignment horizontal="right"/>
    </xf>
    <xf numFmtId="165" fontId="1" fillId="0" borderId="0" xfId="1" applyNumberFormat="1" applyFont="1" applyFill="1" applyBorder="1" applyAlignment="1">
      <alignment horizontal="right"/>
    </xf>
    <xf numFmtId="165" fontId="10" fillId="0" borderId="0" xfId="1" applyNumberFormat="1" applyFont="1" applyFill="1" applyBorder="1" applyAlignment="1">
      <alignment horizontal="right"/>
    </xf>
    <xf numFmtId="165" fontId="1" fillId="0" borderId="5" xfId="1" applyNumberFormat="1" applyFont="1" applyFill="1" applyBorder="1" applyAlignment="1">
      <alignment horizontal="right"/>
    </xf>
    <xf numFmtId="165" fontId="2" fillId="0" borderId="3" xfId="1" applyNumberFormat="1" applyFont="1" applyFill="1" applyBorder="1" applyAlignment="1">
      <alignment horizontal="right"/>
    </xf>
    <xf numFmtId="165" fontId="2" fillId="0" borderId="0" xfId="1" applyNumberFormat="1" applyFont="1" applyFill="1" applyBorder="1" applyAlignment="1">
      <alignment horizontal="right"/>
    </xf>
    <xf numFmtId="165" fontId="2" fillId="0" borderId="5" xfId="1" applyNumberFormat="1" applyFont="1" applyFill="1" applyBorder="1" applyAlignment="1">
      <alignment horizontal="right"/>
    </xf>
    <xf numFmtId="165" fontId="12" fillId="0" borderId="0" xfId="1" applyNumberFormat="1" applyFont="1" applyFill="1" applyBorder="1" applyAlignment="1">
      <alignment horizontal="right"/>
    </xf>
    <xf numFmtId="165" fontId="4" fillId="0" borderId="3" xfId="1" applyNumberFormat="1" applyFont="1" applyFill="1" applyBorder="1" applyAlignment="1">
      <alignment horizontal="right"/>
    </xf>
    <xf numFmtId="165" fontId="4" fillId="0" borderId="0" xfId="1" applyNumberFormat="1" applyFont="1" applyFill="1" applyBorder="1" applyAlignment="1">
      <alignment horizontal="right"/>
    </xf>
    <xf numFmtId="165" fontId="4" fillId="0" borderId="5" xfId="1" applyNumberFormat="1" applyFont="1" applyFill="1" applyBorder="1" applyAlignment="1">
      <alignment horizontal="right"/>
    </xf>
    <xf numFmtId="165" fontId="11" fillId="0" borderId="0" xfId="1" applyNumberFormat="1" applyFont="1" applyFill="1" applyBorder="1" applyAlignment="1">
      <alignment horizontal="right"/>
    </xf>
    <xf numFmtId="165" fontId="2" fillId="0" borderId="4" xfId="1" applyNumberFormat="1" applyFont="1" applyFill="1" applyBorder="1" applyAlignment="1">
      <alignment horizontal="right"/>
    </xf>
    <xf numFmtId="165" fontId="10" fillId="0" borderId="4" xfId="1" applyNumberFormat="1" applyFont="1" applyFill="1" applyBorder="1" applyAlignment="1">
      <alignment horizontal="right"/>
    </xf>
    <xf numFmtId="165" fontId="10" fillId="0" borderId="3" xfId="1" applyNumberFormat="1" applyFont="1" applyFill="1" applyBorder="1" applyAlignment="1">
      <alignment horizontal="right"/>
    </xf>
    <xf numFmtId="165" fontId="0" fillId="0" borderId="3" xfId="1" applyNumberFormat="1" applyFont="1" applyFill="1" applyBorder="1" applyAlignment="1">
      <alignment horizontal="right"/>
    </xf>
    <xf numFmtId="165" fontId="0" fillId="0" borderId="0" xfId="1" applyNumberFormat="1" applyFont="1" applyFill="1" applyBorder="1" applyAlignment="1">
      <alignment horizontal="right"/>
    </xf>
    <xf numFmtId="165" fontId="0" fillId="0" borderId="4" xfId="1" applyNumberFormat="1" applyFont="1" applyFill="1" applyBorder="1" applyAlignment="1">
      <alignment horizontal="right"/>
    </xf>
    <xf numFmtId="165" fontId="0" fillId="0" borderId="5" xfId="1" applyNumberFormat="1" applyFont="1" applyFill="1" applyBorder="1" applyAlignment="1">
      <alignment horizontal="right"/>
    </xf>
    <xf numFmtId="165" fontId="3" fillId="0" borderId="0" xfId="1" applyNumberFormat="1" applyFont="1" applyFill="1" applyBorder="1" applyAlignment="1">
      <alignment horizontal="right"/>
    </xf>
    <xf numFmtId="165" fontId="3" fillId="0" borderId="5" xfId="1" applyNumberFormat="1" applyFont="1" applyFill="1" applyBorder="1" applyAlignment="1">
      <alignment horizontal="right"/>
    </xf>
    <xf numFmtId="165" fontId="10" fillId="0" borderId="5" xfId="1" applyNumberFormat="1" applyFont="1" applyFill="1" applyBorder="1" applyAlignment="1">
      <alignment horizontal="right"/>
    </xf>
    <xf numFmtId="165" fontId="19" fillId="0" borderId="0" xfId="1" applyNumberFormat="1" applyFont="1" applyFill="1" applyBorder="1" applyAlignment="1">
      <alignment horizontal="right"/>
    </xf>
    <xf numFmtId="165" fontId="12" fillId="0" borderId="5" xfId="1" applyNumberFormat="1" applyFont="1" applyFill="1" applyBorder="1" applyAlignment="1">
      <alignment horizontal="right"/>
    </xf>
    <xf numFmtId="166" fontId="10" fillId="11" borderId="0" xfId="2" quotePrefix="1" applyNumberFormat="1" applyFont="1" applyFill="1" applyBorder="1" applyAlignment="1">
      <alignment horizontal="right"/>
    </xf>
    <xf numFmtId="165" fontId="4" fillId="0" borderId="0" xfId="1" quotePrefix="1" applyNumberFormat="1" applyFont="1" applyFill="1" applyBorder="1" applyAlignment="1">
      <alignment horizontal="right"/>
    </xf>
    <xf numFmtId="165" fontId="4" fillId="0" borderId="5" xfId="1" quotePrefix="1" applyNumberFormat="1" applyFont="1" applyFill="1" applyBorder="1" applyAlignment="1">
      <alignment horizontal="right"/>
    </xf>
    <xf numFmtId="165" fontId="2" fillId="0" borderId="0" xfId="1" quotePrefix="1" applyNumberFormat="1" applyFont="1" applyFill="1" applyBorder="1" applyAlignment="1">
      <alignment horizontal="right"/>
    </xf>
    <xf numFmtId="165" fontId="2" fillId="0" borderId="5" xfId="1" quotePrefix="1" applyNumberFormat="1" applyFont="1" applyFill="1" applyBorder="1" applyAlignment="1">
      <alignment horizontal="right"/>
    </xf>
    <xf numFmtId="166" fontId="3" fillId="0" borderId="5" xfId="2" quotePrefix="1" applyNumberFormat="1" applyFont="1" applyFill="1" applyBorder="1" applyAlignment="1">
      <alignment horizontal="right"/>
    </xf>
    <xf numFmtId="165" fontId="10" fillId="0" borderId="0" xfId="1" applyNumberFormat="1" applyFont="1" applyBorder="1" applyAlignment="1">
      <alignment horizontal="right"/>
    </xf>
    <xf numFmtId="165" fontId="0" fillId="0" borderId="5" xfId="1" applyNumberFormat="1" applyFont="1" applyBorder="1" applyAlignment="1">
      <alignment horizontal="right"/>
    </xf>
    <xf numFmtId="165" fontId="2" fillId="0" borderId="5" xfId="1" applyNumberFormat="1" applyFont="1" applyBorder="1" applyAlignment="1">
      <alignment horizontal="right"/>
    </xf>
    <xf numFmtId="165" fontId="1" fillId="0" borderId="5" xfId="1" applyNumberFormat="1" applyFont="1" applyBorder="1" applyAlignment="1">
      <alignment horizontal="right"/>
    </xf>
    <xf numFmtId="165" fontId="12" fillId="0" borderId="0" xfId="1" applyNumberFormat="1" applyFont="1" applyBorder="1" applyAlignment="1">
      <alignment horizontal="right"/>
    </xf>
    <xf numFmtId="165" fontId="2" fillId="0" borderId="0" xfId="1" applyNumberFormat="1" applyFont="1" applyBorder="1" applyAlignment="1">
      <alignment horizontal="right"/>
    </xf>
    <xf numFmtId="165" fontId="3" fillId="0" borderId="5" xfId="1" applyNumberFormat="1" applyFont="1" applyBorder="1" applyAlignment="1">
      <alignment horizontal="right"/>
    </xf>
    <xf numFmtId="165" fontId="2" fillId="0" borderId="7" xfId="1" applyNumberFormat="1" applyFont="1" applyFill="1" applyBorder="1" applyAlignment="1">
      <alignment horizontal="right"/>
    </xf>
    <xf numFmtId="165" fontId="2" fillId="0" borderId="8" xfId="1" applyNumberFormat="1" applyFont="1" applyBorder="1" applyAlignment="1">
      <alignment horizontal="right"/>
    </xf>
    <xf numFmtId="165" fontId="0" fillId="0" borderId="0" xfId="1" applyNumberFormat="1" applyFont="1" applyBorder="1" applyAlignment="1">
      <alignment horizontal="right"/>
    </xf>
    <xf numFmtId="165" fontId="5" fillId="0" borderId="3" xfId="1" applyNumberFormat="1" applyFont="1" applyBorder="1" applyAlignment="1">
      <alignment horizontal="right"/>
    </xf>
    <xf numFmtId="165" fontId="7" fillId="0" borderId="0" xfId="1" applyNumberFormat="1" applyFont="1" applyBorder="1" applyAlignment="1">
      <alignment horizontal="right"/>
    </xf>
    <xf numFmtId="165" fontId="6" fillId="0" borderId="0" xfId="1" applyNumberFormat="1" applyFont="1" applyBorder="1" applyAlignment="1">
      <alignment horizontal="right"/>
    </xf>
    <xf numFmtId="165" fontId="7" fillId="0" borderId="5" xfId="1" applyNumberFormat="1" applyFont="1" applyBorder="1" applyAlignment="1">
      <alignment horizontal="right"/>
    </xf>
    <xf numFmtId="165" fontId="0" fillId="0" borderId="3" xfId="1" applyNumberFormat="1" applyFont="1" applyBorder="1" applyAlignment="1">
      <alignment horizontal="right"/>
    </xf>
    <xf numFmtId="165" fontId="2" fillId="0" borderId="4" xfId="1" applyNumberFormat="1" applyFont="1" applyBorder="1" applyAlignment="1">
      <alignment horizontal="right"/>
    </xf>
    <xf numFmtId="165" fontId="2" fillId="0" borderId="3" xfId="1" applyNumberFormat="1" applyFont="1" applyBorder="1" applyAlignment="1">
      <alignment horizontal="right"/>
    </xf>
    <xf numFmtId="165" fontId="1" fillId="0" borderId="0" xfId="1" applyNumberFormat="1" applyFont="1" applyBorder="1" applyAlignment="1">
      <alignment horizontal="right"/>
    </xf>
    <xf numFmtId="165" fontId="1" fillId="0" borderId="3" xfId="1" applyNumberFormat="1" applyFont="1" applyBorder="1" applyAlignment="1">
      <alignment horizontal="right"/>
    </xf>
    <xf numFmtId="165" fontId="11" fillId="0" borderId="4" xfId="1" applyNumberFormat="1" applyFont="1" applyFill="1" applyBorder="1" applyAlignment="1">
      <alignment horizontal="right"/>
    </xf>
    <xf numFmtId="165" fontId="11" fillId="0" borderId="3" xfId="1" applyNumberFormat="1" applyFont="1" applyFill="1" applyBorder="1" applyAlignment="1">
      <alignment horizontal="right"/>
    </xf>
    <xf numFmtId="43" fontId="0" fillId="0" borderId="0" xfId="1" applyNumberFormat="1" applyFont="1" applyFill="1" applyAlignment="1">
      <alignment horizontal="left"/>
    </xf>
    <xf numFmtId="0" fontId="2" fillId="0" borderId="3" xfId="0" applyFont="1" applyBorder="1" applyAlignment="1">
      <alignment horizontal="left"/>
    </xf>
    <xf numFmtId="0" fontId="2" fillId="0" borderId="4" xfId="0" applyFont="1" applyBorder="1" applyAlignment="1">
      <alignment horizontal="left"/>
    </xf>
    <xf numFmtId="0" fontId="0" fillId="0" borderId="3" xfId="0" applyFont="1" applyFill="1" applyBorder="1" applyAlignment="1">
      <alignment horizontal="left"/>
    </xf>
    <xf numFmtId="0" fontId="0" fillId="0" borderId="4" xfId="0" applyFont="1" applyFill="1" applyBorder="1" applyAlignment="1">
      <alignment horizontal="left"/>
    </xf>
    <xf numFmtId="0" fontId="2" fillId="0" borderId="3" xfId="0" applyFont="1" applyFill="1" applyBorder="1" applyAlignment="1">
      <alignment horizontal="left"/>
    </xf>
    <xf numFmtId="0" fontId="2" fillId="0" borderId="4" xfId="0" applyFont="1" applyFill="1" applyBorder="1" applyAlignment="1">
      <alignment horizontal="left"/>
    </xf>
    <xf numFmtId="43" fontId="10" fillId="2" borderId="0" xfId="1" applyNumberFormat="1" applyFont="1" applyFill="1" applyBorder="1" applyAlignment="1">
      <alignment horizontal="right"/>
    </xf>
    <xf numFmtId="43" fontId="2" fillId="0" borderId="5" xfId="1" quotePrefix="1" applyNumberFormat="1" applyFont="1" applyBorder="1" applyAlignment="1">
      <alignment horizontal="right"/>
    </xf>
    <xf numFmtId="165" fontId="2" fillId="0" borderId="5" xfId="1" quotePrefix="1" applyNumberFormat="1" applyFont="1" applyBorder="1" applyAlignment="1">
      <alignment horizontal="right"/>
    </xf>
    <xf numFmtId="165" fontId="0" fillId="0" borderId="0" xfId="0" applyNumberFormat="1" applyFill="1" applyAlignment="1">
      <alignment horizontal="left"/>
    </xf>
    <xf numFmtId="165" fontId="0" fillId="0" borderId="0" xfId="0" applyNumberFormat="1" applyFont="1" applyFill="1" applyBorder="1" applyAlignment="1"/>
    <xf numFmtId="165" fontId="4" fillId="0" borderId="0" xfId="0" applyNumberFormat="1" applyFont="1" applyFill="1" applyBorder="1" applyAlignment="1"/>
    <xf numFmtId="0" fontId="2" fillId="0" borderId="3" xfId="0" applyFont="1" applyBorder="1" applyAlignment="1">
      <alignment horizontal="left"/>
    </xf>
    <xf numFmtId="0" fontId="2" fillId="0" borderId="4" xfId="0" applyFont="1" applyBorder="1" applyAlignment="1">
      <alignment horizontal="left"/>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15" fillId="3" borderId="12" xfId="0" applyFont="1" applyFill="1" applyBorder="1" applyAlignment="1">
      <alignment horizontal="left"/>
    </xf>
    <xf numFmtId="0" fontId="15" fillId="3" borderId="13" xfId="0" applyFont="1" applyFill="1" applyBorder="1" applyAlignment="1">
      <alignment horizontal="left"/>
    </xf>
    <xf numFmtId="0" fontId="0" fillId="0" borderId="16"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3" xfId="0" applyFont="1" applyFill="1" applyBorder="1" applyAlignment="1">
      <alignment horizontal="left"/>
    </xf>
    <xf numFmtId="0" fontId="0" fillId="0" borderId="4" xfId="0" applyFont="1" applyFill="1" applyBorder="1" applyAlignment="1">
      <alignment horizontal="left"/>
    </xf>
    <xf numFmtId="0" fontId="15" fillId="3" borderId="1" xfId="0" applyFont="1" applyFill="1" applyBorder="1" applyAlignment="1">
      <alignment horizontal="left"/>
    </xf>
    <xf numFmtId="0" fontId="15" fillId="3" borderId="2" xfId="0" applyFont="1" applyFill="1" applyBorder="1" applyAlignment="1">
      <alignment horizontal="left"/>
    </xf>
    <xf numFmtId="0" fontId="17" fillId="3" borderId="3" xfId="0" applyFont="1" applyFill="1" applyBorder="1" applyAlignment="1">
      <alignment horizontal="left"/>
    </xf>
    <xf numFmtId="0" fontId="17" fillId="3" borderId="0" xfId="0" applyFont="1" applyFill="1" applyBorder="1" applyAlignment="1">
      <alignment horizontal="left"/>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2" borderId="1" xfId="0" applyFont="1" applyFill="1" applyBorder="1" applyAlignment="1">
      <alignment horizontal="left"/>
    </xf>
    <xf numFmtId="0" fontId="0" fillId="2" borderId="11" xfId="0" applyFont="1" applyFill="1" applyBorder="1" applyAlignment="1">
      <alignment horizontal="left"/>
    </xf>
    <xf numFmtId="0" fontId="0" fillId="11" borderId="3" xfId="0" applyFont="1" applyFill="1" applyBorder="1" applyAlignment="1">
      <alignment horizontal="left"/>
    </xf>
    <xf numFmtId="0" fontId="0" fillId="11" borderId="4" xfId="0" applyFont="1" applyFill="1" applyBorder="1" applyAlignment="1">
      <alignment horizontal="left"/>
    </xf>
    <xf numFmtId="0" fontId="0" fillId="4" borderId="6" xfId="0" applyFont="1" applyFill="1" applyBorder="1" applyAlignment="1">
      <alignment horizontal="left"/>
    </xf>
    <xf numFmtId="0" fontId="0" fillId="4" borderId="10" xfId="0" applyFont="1" applyFill="1" applyBorder="1" applyAlignment="1">
      <alignment horizontal="left"/>
    </xf>
    <xf numFmtId="0" fontId="2" fillId="0" borderId="3" xfId="0" applyFont="1" applyFill="1" applyBorder="1" applyAlignment="1">
      <alignment horizontal="left"/>
    </xf>
    <xf numFmtId="0" fontId="2" fillId="0" borderId="4" xfId="0" applyFont="1" applyFill="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0" fontId="8" fillId="0" borderId="3" xfId="0" applyFont="1" applyBorder="1" applyAlignment="1">
      <alignment horizontal="left"/>
    </xf>
    <xf numFmtId="0" fontId="8" fillId="0" borderId="4" xfId="0" applyFont="1"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2" fillId="0" borderId="6" xfId="0" applyFont="1" applyBorder="1" applyAlignment="1">
      <alignment horizontal="left"/>
    </xf>
    <xf numFmtId="0" fontId="2" fillId="0" borderId="10" xfId="0" applyFont="1" applyBorder="1" applyAlignment="1">
      <alignment horizontal="left"/>
    </xf>
    <xf numFmtId="0" fontId="10" fillId="0" borderId="3" xfId="3" applyFont="1" applyFill="1" applyBorder="1" applyAlignment="1">
      <alignment horizontal="left" vertical="top"/>
    </xf>
    <xf numFmtId="0" fontId="10" fillId="0" borderId="4" xfId="3" applyFont="1" applyFill="1" applyBorder="1" applyAlignment="1">
      <alignment horizontal="left" vertical="top"/>
    </xf>
    <xf numFmtId="0" fontId="0" fillId="0" borderId="6" xfId="0" applyFont="1" applyBorder="1" applyAlignment="1">
      <alignment horizontal="left"/>
    </xf>
    <xf numFmtId="0" fontId="0" fillId="0" borderId="10" xfId="0" applyFont="1" applyBorder="1" applyAlignment="1">
      <alignment horizontal="left"/>
    </xf>
    <xf numFmtId="0" fontId="2" fillId="0" borderId="29" xfId="0" applyFont="1" applyFill="1" applyBorder="1" applyAlignment="1">
      <alignment horizontal="left"/>
    </xf>
    <xf numFmtId="0" fontId="2" fillId="0" borderId="30" xfId="0" applyFont="1" applyFill="1" applyBorder="1" applyAlignment="1">
      <alignment horizontal="left"/>
    </xf>
    <xf numFmtId="0" fontId="2" fillId="0" borderId="32" xfId="0" applyFont="1" applyFill="1" applyBorder="1" applyAlignment="1">
      <alignment horizontal="left"/>
    </xf>
    <xf numFmtId="0" fontId="2" fillId="0" borderId="33" xfId="0" applyFont="1" applyFill="1" applyBorder="1" applyAlignment="1">
      <alignment horizontal="left"/>
    </xf>
    <xf numFmtId="43" fontId="1" fillId="0" borderId="34" xfId="1" quotePrefix="1" applyNumberFormat="1" applyFont="1" applyFill="1" applyBorder="1" applyAlignment="1">
      <alignment horizontal="right"/>
    </xf>
    <xf numFmtId="43" fontId="1" fillId="0" borderId="31" xfId="1" quotePrefix="1" applyNumberFormat="1" applyFont="1" applyFill="1" applyBorder="1" applyAlignment="1">
      <alignment horizontal="right"/>
    </xf>
    <xf numFmtId="43" fontId="1" fillId="0" borderId="34" xfId="1" quotePrefix="1" applyFont="1" applyFill="1" applyBorder="1" applyAlignment="1">
      <alignment horizontal="right"/>
    </xf>
    <xf numFmtId="43" fontId="1" fillId="0" borderId="31" xfId="1" quotePrefix="1" applyFont="1" applyFill="1" applyBorder="1" applyAlignment="1">
      <alignment horizontal="right"/>
    </xf>
    <xf numFmtId="0" fontId="2" fillId="0" borderId="32" xfId="0" applyFont="1" applyFill="1" applyBorder="1" applyAlignment="1">
      <alignment horizontal="left"/>
    </xf>
    <xf numFmtId="0" fontId="0" fillId="0" borderId="33" xfId="0" applyFont="1" applyFill="1" applyBorder="1" applyAlignment="1">
      <alignment horizontal="left"/>
    </xf>
    <xf numFmtId="165" fontId="1" fillId="0" borderId="31" xfId="1" quotePrefix="1" applyNumberFormat="1" applyFont="1" applyFill="1" applyBorder="1" applyAlignment="1">
      <alignment horizontal="right"/>
    </xf>
    <xf numFmtId="165" fontId="1" fillId="0" borderId="34" xfId="1" quotePrefix="1" applyNumberFormat="1" applyFont="1" applyFill="1" applyBorder="1" applyAlignment="1">
      <alignment horizontal="right"/>
    </xf>
    <xf numFmtId="43" fontId="1" fillId="0" borderId="36" xfId="1" quotePrefix="1" applyNumberFormat="1" applyFont="1" applyFill="1" applyBorder="1" applyAlignment="1">
      <alignment horizontal="right"/>
    </xf>
    <xf numFmtId="43" fontId="1" fillId="0" borderId="35" xfId="1" quotePrefix="1" applyNumberFormat="1" applyFont="1" applyFill="1" applyBorder="1" applyAlignment="1">
      <alignment horizontal="right"/>
    </xf>
    <xf numFmtId="43" fontId="1" fillId="0" borderId="36" xfId="1" quotePrefix="1" applyFont="1" applyFill="1" applyBorder="1" applyAlignment="1">
      <alignment horizontal="right"/>
    </xf>
    <xf numFmtId="43" fontId="1" fillId="0" borderId="35" xfId="1" quotePrefix="1" applyFont="1" applyFill="1" applyBorder="1" applyAlignment="1">
      <alignment horizontal="right"/>
    </xf>
    <xf numFmtId="43" fontId="4" fillId="2" borderId="0" xfId="1" quotePrefix="1" applyNumberFormat="1" applyFont="1" applyFill="1" applyBorder="1" applyAlignment="1">
      <alignment horizontal="right"/>
    </xf>
    <xf numFmtId="9" fontId="1" fillId="0" borderId="0" xfId="1" quotePrefix="1" applyNumberFormat="1" applyFont="1" applyFill="1" applyBorder="1" applyAlignment="1">
      <alignment horizontal="right"/>
    </xf>
    <xf numFmtId="165" fontId="1" fillId="0" borderId="36" xfId="1" quotePrefix="1" applyNumberFormat="1" applyFont="1" applyFill="1" applyBorder="1" applyAlignment="1">
      <alignment horizontal="right"/>
    </xf>
    <xf numFmtId="165" fontId="1" fillId="0" borderId="35" xfId="1" quotePrefix="1" applyNumberFormat="1" applyFont="1" applyFill="1" applyBorder="1" applyAlignment="1">
      <alignment horizontal="right"/>
    </xf>
    <xf numFmtId="166" fontId="1" fillId="0" borderId="34" xfId="2" quotePrefix="1" applyNumberFormat="1" applyFont="1" applyFill="1" applyBorder="1" applyAlignment="1">
      <alignment horizontal="right"/>
    </xf>
    <xf numFmtId="166" fontId="1" fillId="0" borderId="31" xfId="2" quotePrefix="1" applyNumberFormat="1" applyFont="1" applyFill="1" applyBorder="1" applyAlignment="1">
      <alignment horizontal="right"/>
    </xf>
    <xf numFmtId="226" fontId="1" fillId="0" borderId="36" xfId="1" quotePrefix="1" applyNumberFormat="1" applyFont="1" applyFill="1" applyBorder="1" applyAlignment="1">
      <alignment horizontal="right"/>
    </xf>
    <xf numFmtId="0" fontId="0" fillId="0" borderId="38" xfId="0" applyFont="1" applyFill="1" applyBorder="1" applyAlignment="1">
      <alignment horizontal="left"/>
    </xf>
    <xf numFmtId="0" fontId="0" fillId="0" borderId="39" xfId="0" applyFont="1" applyFill="1" applyBorder="1" applyAlignment="1">
      <alignment horizontal="left"/>
    </xf>
    <xf numFmtId="165" fontId="2" fillId="0" borderId="0" xfId="0" applyNumberFormat="1" applyFont="1" applyFill="1"/>
    <xf numFmtId="165" fontId="2" fillId="0" borderId="0" xfId="0" applyNumberFormat="1" applyFont="1" applyFill="1" applyAlignment="1">
      <alignment horizontal="left"/>
    </xf>
    <xf numFmtId="165" fontId="2" fillId="2" borderId="0" xfId="1" quotePrefix="1" applyNumberFormat="1" applyFont="1" applyFill="1" applyBorder="1" applyAlignment="1">
      <alignment horizontal="right"/>
    </xf>
    <xf numFmtId="165" fontId="0" fillId="0" borderId="0" xfId="0" applyNumberFormat="1" applyFont="1" applyFill="1"/>
    <xf numFmtId="165" fontId="0" fillId="0" borderId="0" xfId="0" applyNumberFormat="1" applyFont="1" applyFill="1" applyAlignment="1">
      <alignment horizontal="left"/>
    </xf>
    <xf numFmtId="165" fontId="4" fillId="2" borderId="0" xfId="1" quotePrefix="1" applyNumberFormat="1" applyFont="1" applyFill="1" applyBorder="1" applyAlignment="1">
      <alignment horizontal="right"/>
    </xf>
    <xf numFmtId="0" fontId="70" fillId="0" borderId="0" xfId="0" applyFont="1"/>
    <xf numFmtId="0" fontId="70" fillId="0" borderId="3" xfId="0" applyFont="1" applyBorder="1" applyAlignment="1">
      <alignment horizontal="left"/>
    </xf>
    <xf numFmtId="0" fontId="70" fillId="0" borderId="4" xfId="0" applyFont="1" applyBorder="1" applyAlignment="1">
      <alignment horizontal="left"/>
    </xf>
    <xf numFmtId="165" fontId="70" fillId="0" borderId="5" xfId="1" applyNumberFormat="1" applyFont="1" applyFill="1" applyBorder="1" applyAlignment="1">
      <alignment horizontal="right"/>
    </xf>
    <xf numFmtId="165" fontId="70" fillId="0" borderId="3" xfId="1" applyNumberFormat="1" applyFont="1" applyFill="1" applyBorder="1" applyAlignment="1">
      <alignment horizontal="right"/>
    </xf>
    <xf numFmtId="165" fontId="71" fillId="0" borderId="0" xfId="1" applyNumberFormat="1" applyFont="1" applyFill="1" applyBorder="1" applyAlignment="1">
      <alignment horizontal="right"/>
    </xf>
    <xf numFmtId="165" fontId="12" fillId="0" borderId="4" xfId="1" applyNumberFormat="1" applyFont="1" applyFill="1" applyBorder="1" applyAlignment="1">
      <alignment horizontal="right"/>
    </xf>
    <xf numFmtId="0" fontId="72" fillId="0" borderId="0" xfId="0" applyFont="1"/>
    <xf numFmtId="0" fontId="72" fillId="0" borderId="3" xfId="0" applyFont="1" applyBorder="1" applyAlignment="1">
      <alignment horizontal="left"/>
    </xf>
    <xf numFmtId="0" fontId="72" fillId="0" borderId="4" xfId="0" applyFont="1" applyBorder="1" applyAlignment="1">
      <alignment horizontal="left"/>
    </xf>
    <xf numFmtId="165" fontId="72" fillId="0" borderId="5" xfId="1" applyNumberFormat="1" applyFont="1" applyFill="1" applyBorder="1" applyAlignment="1">
      <alignment horizontal="right"/>
    </xf>
    <xf numFmtId="165" fontId="72" fillId="0" borderId="3" xfId="1" applyNumberFormat="1" applyFont="1" applyFill="1" applyBorder="1" applyAlignment="1">
      <alignment horizontal="right"/>
    </xf>
    <xf numFmtId="165" fontId="73" fillId="0" borderId="0" xfId="1" applyNumberFormat="1" applyFont="1" applyFill="1" applyBorder="1" applyAlignment="1">
      <alignment horizontal="right"/>
    </xf>
    <xf numFmtId="165" fontId="73" fillId="0" borderId="4" xfId="1" applyNumberFormat="1" applyFont="1" applyFill="1" applyBorder="1" applyAlignment="1">
      <alignment horizontal="right"/>
    </xf>
    <xf numFmtId="165" fontId="73" fillId="0" borderId="3" xfId="1" applyNumberFormat="1" applyFont="1" applyFill="1" applyBorder="1" applyAlignment="1">
      <alignment horizontal="right"/>
    </xf>
    <xf numFmtId="43" fontId="1" fillId="0" borderId="3" xfId="1" applyNumberFormat="1" applyFont="1" applyFill="1" applyBorder="1" applyAlignment="1">
      <alignment horizontal="right"/>
    </xf>
    <xf numFmtId="43" fontId="2" fillId="0" borderId="3" xfId="1" applyNumberFormat="1" applyFont="1" applyFill="1" applyBorder="1" applyAlignment="1">
      <alignment horizontal="right"/>
    </xf>
    <xf numFmtId="167" fontId="4" fillId="2" borderId="0" xfId="1" quotePrefix="1" applyNumberFormat="1" applyFont="1" applyFill="1" applyBorder="1" applyAlignment="1">
      <alignment horizontal="right"/>
    </xf>
    <xf numFmtId="166" fontId="4" fillId="0" borderId="5" xfId="2" quotePrefix="1" applyNumberFormat="1" applyFont="1" applyFill="1" applyBorder="1" applyAlignment="1">
      <alignment horizontal="right"/>
    </xf>
    <xf numFmtId="165" fontId="1" fillId="0" borderId="40" xfId="1" quotePrefix="1" applyNumberFormat="1" applyFont="1" applyFill="1" applyBorder="1" applyAlignment="1">
      <alignment horizontal="right"/>
    </xf>
    <xf numFmtId="165" fontId="1" fillId="0" borderId="37" xfId="1" quotePrefix="1" applyNumberFormat="1" applyFont="1" applyFill="1" applyBorder="1" applyAlignment="1">
      <alignment horizontal="right"/>
    </xf>
    <xf numFmtId="165" fontId="11" fillId="2" borderId="0" xfId="1" applyNumberFormat="1" applyFont="1" applyFill="1" applyBorder="1" applyAlignment="1">
      <alignment horizontal="right"/>
    </xf>
    <xf numFmtId="165" fontId="1" fillId="2" borderId="40" xfId="1" quotePrefix="1" applyNumberFormat="1" applyFont="1" applyFill="1" applyBorder="1" applyAlignment="1">
      <alignment horizontal="right"/>
    </xf>
    <xf numFmtId="165" fontId="10" fillId="2" borderId="0" xfId="1" applyNumberFormat="1" applyFont="1" applyFill="1" applyBorder="1" applyAlignment="1">
      <alignment horizontal="right"/>
    </xf>
    <xf numFmtId="9" fontId="1" fillId="11" borderId="0" xfId="1" quotePrefix="1" applyNumberFormat="1" applyFont="1" applyFill="1" applyBorder="1" applyAlignment="1">
      <alignment horizontal="right"/>
    </xf>
    <xf numFmtId="9" fontId="1" fillId="11" borderId="0" xfId="2" quotePrefix="1" applyFont="1" applyFill="1" applyBorder="1" applyAlignment="1">
      <alignment horizontal="right"/>
    </xf>
    <xf numFmtId="165" fontId="1" fillId="11" borderId="0" xfId="1" quotePrefix="1" applyNumberFormat="1" applyFont="1" applyFill="1" applyBorder="1" applyAlignment="1">
      <alignment horizontal="right"/>
    </xf>
    <xf numFmtId="165" fontId="12" fillId="2" borderId="0" xfId="1" applyNumberFormat="1" applyFont="1" applyFill="1" applyBorder="1" applyAlignment="1">
      <alignment horizontal="right"/>
    </xf>
    <xf numFmtId="165" fontId="0" fillId="0" borderId="0" xfId="1" quotePrefix="1" applyNumberFormat="1" applyFont="1" applyFill="1" applyBorder="1" applyAlignment="1">
      <alignment horizontal="right"/>
    </xf>
    <xf numFmtId="165" fontId="73" fillId="4" borderId="0" xfId="1" applyNumberFormat="1" applyFont="1" applyFill="1" applyBorder="1" applyAlignment="1">
      <alignment horizontal="right"/>
    </xf>
    <xf numFmtId="165" fontId="73" fillId="4" borderId="4" xfId="1" applyNumberFormat="1" applyFont="1" applyFill="1" applyBorder="1" applyAlignment="1">
      <alignment horizontal="right"/>
    </xf>
    <xf numFmtId="165" fontId="73" fillId="4" borderId="3" xfId="1" applyNumberFormat="1" applyFont="1" applyFill="1" applyBorder="1" applyAlignment="1">
      <alignment horizontal="right"/>
    </xf>
    <xf numFmtId="43" fontId="10" fillId="4" borderId="0" xfId="1" applyNumberFormat="1" applyFont="1" applyFill="1" applyBorder="1" applyAlignment="1">
      <alignment horizontal="right"/>
    </xf>
    <xf numFmtId="43" fontId="16" fillId="3" borderId="11" xfId="1" quotePrefix="1" applyNumberFormat="1" applyFont="1" applyFill="1" applyBorder="1" applyAlignment="1">
      <alignment horizontal="right"/>
    </xf>
    <xf numFmtId="43" fontId="18" fillId="3" borderId="4" xfId="1" quotePrefix="1" applyNumberFormat="1" applyFont="1" applyFill="1" applyBorder="1" applyAlignment="1">
      <alignment horizontal="right"/>
    </xf>
    <xf numFmtId="43" fontId="6" fillId="0" borderId="4" xfId="1" applyNumberFormat="1" applyFont="1" applyBorder="1" applyAlignment="1">
      <alignment horizontal="right"/>
    </xf>
    <xf numFmtId="165" fontId="10" fillId="0" borderId="4" xfId="1" applyNumberFormat="1" applyFont="1" applyBorder="1" applyAlignment="1">
      <alignment horizontal="right"/>
    </xf>
    <xf numFmtId="165" fontId="12" fillId="0" borderId="4" xfId="1" applyNumberFormat="1" applyFont="1" applyBorder="1" applyAlignment="1">
      <alignment horizontal="right"/>
    </xf>
    <xf numFmtId="165" fontId="19" fillId="0" borderId="4" xfId="1" applyNumberFormat="1" applyFont="1" applyFill="1" applyBorder="1" applyAlignment="1">
      <alignment horizontal="right"/>
    </xf>
    <xf numFmtId="165" fontId="2" fillId="0" borderId="10" xfId="1" applyNumberFormat="1" applyFont="1" applyBorder="1" applyAlignment="1">
      <alignment horizontal="right"/>
    </xf>
    <xf numFmtId="165" fontId="0" fillId="0" borderId="4" xfId="0" applyNumberFormat="1" applyBorder="1"/>
    <xf numFmtId="165" fontId="2" fillId="0" borderId="4" xfId="0" applyNumberFormat="1" applyFont="1" applyBorder="1"/>
    <xf numFmtId="165" fontId="4" fillId="0" borderId="4" xfId="0" applyNumberFormat="1" applyFont="1" applyBorder="1"/>
    <xf numFmtId="165" fontId="0" fillId="0" borderId="4" xfId="0" applyNumberFormat="1" applyFont="1" applyBorder="1"/>
    <xf numFmtId="43" fontId="0" fillId="0" borderId="0" xfId="0" applyNumberFormat="1" applyBorder="1"/>
    <xf numFmtId="0" fontId="0" fillId="0" borderId="0" xfId="0" applyBorder="1"/>
    <xf numFmtId="230" fontId="2" fillId="0" borderId="4" xfId="1" applyNumberFormat="1" applyFont="1" applyBorder="1" applyAlignment="1">
      <alignment horizontal="right"/>
    </xf>
  </cellXfs>
  <cellStyles count="329">
    <cellStyle name="_%(SignOnly)" xfId="7"/>
    <cellStyle name="_%(SignSpaceOnly)" xfId="8"/>
    <cellStyle name="_Comma" xfId="9"/>
    <cellStyle name="_Currency" xfId="10"/>
    <cellStyle name="_CurrencySpace" xfId="11"/>
    <cellStyle name="_Euro" xfId="12"/>
    <cellStyle name="_Heading" xfId="13"/>
    <cellStyle name="_Heading_prestemp" xfId="14"/>
    <cellStyle name="_Heading_prestemp_1st Qtr PL FY07" xfId="15"/>
    <cellStyle name="_Heading_prestemp_Financial Statements" xfId="16"/>
    <cellStyle name="_Heading_prestemp_Financial Statementsvs1" xfId="17"/>
    <cellStyle name="_Highlight" xfId="18"/>
    <cellStyle name="_Multiple" xfId="19"/>
    <cellStyle name="_MultipleSpace" xfId="20"/>
    <cellStyle name="_SubHeading" xfId="21"/>
    <cellStyle name="_SubHeading_prestemp" xfId="22"/>
    <cellStyle name="_SubHeading_prestemp_1st Qtr PL FY07" xfId="23"/>
    <cellStyle name="_SubHeading_prestemp_Financial Statements" xfId="24"/>
    <cellStyle name="_SubHeading_prestemp_Financial Statementsvs1" xfId="25"/>
    <cellStyle name="_Table" xfId="26"/>
    <cellStyle name="_TableHead" xfId="27"/>
    <cellStyle name="_TableRowHead" xfId="28"/>
    <cellStyle name="_TableSuperHead" xfId="29"/>
    <cellStyle name="=C:\WINNT\SYSTEM32\COMMAND.COM" xfId="30"/>
    <cellStyle name="=C:\WINNT\SYSTEM32\COMMAND.COM 2" xfId="255"/>
    <cellStyle name="6-0" xfId="31"/>
    <cellStyle name="Bold12" xfId="32"/>
    <cellStyle name="BoldItal12" xfId="33"/>
    <cellStyle name="Border" xfId="34"/>
    <cellStyle name="Border 10" xfId="35"/>
    <cellStyle name="Border 11" xfId="36"/>
    <cellStyle name="Border 12" xfId="37"/>
    <cellStyle name="Border 13" xfId="38"/>
    <cellStyle name="Border 14" xfId="39"/>
    <cellStyle name="Border 15" xfId="40"/>
    <cellStyle name="Border 16" xfId="41"/>
    <cellStyle name="Border 17" xfId="42"/>
    <cellStyle name="Border 18" xfId="43"/>
    <cellStyle name="Border 19" xfId="44"/>
    <cellStyle name="Border 2" xfId="45"/>
    <cellStyle name="Border 20" xfId="46"/>
    <cellStyle name="Border 21" xfId="47"/>
    <cellStyle name="Border 22" xfId="48"/>
    <cellStyle name="Border 23" xfId="49"/>
    <cellStyle name="Border 24" xfId="50"/>
    <cellStyle name="Border 25" xfId="51"/>
    <cellStyle name="Border 26" xfId="52"/>
    <cellStyle name="Border 27" xfId="53"/>
    <cellStyle name="Border 28" xfId="54"/>
    <cellStyle name="Border 29" xfId="55"/>
    <cellStyle name="Border 3" xfId="56"/>
    <cellStyle name="Border 30" xfId="57"/>
    <cellStyle name="Border 31" xfId="58"/>
    <cellStyle name="Border 32" xfId="59"/>
    <cellStyle name="Border 33" xfId="60"/>
    <cellStyle name="Border 34" xfId="61"/>
    <cellStyle name="Border 35" xfId="62"/>
    <cellStyle name="Border 36" xfId="63"/>
    <cellStyle name="Border 37" xfId="64"/>
    <cellStyle name="Border 38" xfId="65"/>
    <cellStyle name="Border 39" xfId="66"/>
    <cellStyle name="Border 4" xfId="67"/>
    <cellStyle name="Border 40" xfId="68"/>
    <cellStyle name="Border 41" xfId="69"/>
    <cellStyle name="Border 42" xfId="70"/>
    <cellStyle name="Border 5" xfId="71"/>
    <cellStyle name="Border 6" xfId="72"/>
    <cellStyle name="Border 7" xfId="73"/>
    <cellStyle name="Border 8" xfId="74"/>
    <cellStyle name="Border 9" xfId="75"/>
    <cellStyle name="Calc Currency (0)" xfId="76"/>
    <cellStyle name="Calc Currency (0) 2" xfId="256"/>
    <cellStyle name="Calc Currency (2)" xfId="77"/>
    <cellStyle name="Calc Currency (2) 2" xfId="257"/>
    <cellStyle name="Calc Percent (0)" xfId="78"/>
    <cellStyle name="Calc Percent (0) 2" xfId="258"/>
    <cellStyle name="Calc Percent (1)" xfId="79"/>
    <cellStyle name="Calc Percent (1) 2" xfId="259"/>
    <cellStyle name="Calc Percent (2)" xfId="80"/>
    <cellStyle name="Calc Percent (2) 2" xfId="260"/>
    <cellStyle name="Calc Units (0)" xfId="81"/>
    <cellStyle name="Calc Units (0) 2" xfId="261"/>
    <cellStyle name="Calc Units (1)" xfId="82"/>
    <cellStyle name="Calc Units (1) 2" xfId="262"/>
    <cellStyle name="Calc Units (2)" xfId="83"/>
    <cellStyle name="Calc Units (2) 2" xfId="263"/>
    <cellStyle name="Centered Heading" xfId="84"/>
    <cellStyle name="columns" xfId="85"/>
    <cellStyle name="Comma" xfId="1" builtinId="3"/>
    <cellStyle name="Comma  - Style1" xfId="264"/>
    <cellStyle name="Comma  - Style2" xfId="265"/>
    <cellStyle name="Comma  - Style3" xfId="266"/>
    <cellStyle name="Comma  - Style4" xfId="267"/>
    <cellStyle name="Comma  - Style5" xfId="268"/>
    <cellStyle name="Comma  - Style6" xfId="269"/>
    <cellStyle name="Comma  - Style7" xfId="270"/>
    <cellStyle name="Comma  - Style8" xfId="271"/>
    <cellStyle name="comma (0)" xfId="86"/>
    <cellStyle name="comma (0) 2" xfId="87"/>
    <cellStyle name="comma (0) 2 2" xfId="272"/>
    <cellStyle name="comma (0) 3" xfId="88"/>
    <cellStyle name="Comma [00]" xfId="89"/>
    <cellStyle name="Comma [00] 2" xfId="273"/>
    <cellStyle name="Comma 2" xfId="5"/>
    <cellStyle name="Comma 2 2" xfId="91"/>
    <cellStyle name="Comma 2 2 2" xfId="274"/>
    <cellStyle name="Comma 2 3" xfId="92"/>
    <cellStyle name="Comma 2 4" xfId="93"/>
    <cellStyle name="Comma 2 5" xfId="275"/>
    <cellStyle name="Comma 2 6" xfId="90"/>
    <cellStyle name="Comma 3" xfId="94"/>
    <cellStyle name="Comma 3 2" xfId="276"/>
    <cellStyle name="Comma 4" xfId="95"/>
    <cellStyle name="Comma 4 2" xfId="277"/>
    <cellStyle name="Comma 5" xfId="96"/>
    <cellStyle name="Comma 5 2" xfId="317"/>
    <cellStyle name="Comma Acctg" xfId="97"/>
    <cellStyle name="Comma Acctg 2" xfId="98"/>
    <cellStyle name="Comma0" xfId="99"/>
    <cellStyle name="Company Name" xfId="100"/>
    <cellStyle name="Contracts" xfId="101"/>
    <cellStyle name="CR Comma" xfId="102"/>
    <cellStyle name="CR Currency" xfId="103"/>
    <cellStyle name="curr" xfId="104"/>
    <cellStyle name="Currency [00]" xfId="105"/>
    <cellStyle name="Currency [00] 2" xfId="278"/>
    <cellStyle name="Currency 2" xfId="106"/>
    <cellStyle name="Currency Acctg" xfId="107"/>
    <cellStyle name="Currency0" xfId="108"/>
    <cellStyle name="Data" xfId="109"/>
    <cellStyle name="Date" xfId="110"/>
    <cellStyle name="Date Short" xfId="111"/>
    <cellStyle name="DateJoel" xfId="112"/>
    <cellStyle name="debbie" xfId="113"/>
    <cellStyle name="Dezimal [0]_laroux" xfId="114"/>
    <cellStyle name="Dezimal_laroux" xfId="115"/>
    <cellStyle name="Enter Currency (0)" xfId="116"/>
    <cellStyle name="Enter Currency (0) 2" xfId="279"/>
    <cellStyle name="Enter Currency (2)" xfId="117"/>
    <cellStyle name="Enter Currency (2) 2" xfId="280"/>
    <cellStyle name="Enter Units (0)" xfId="118"/>
    <cellStyle name="Enter Units (0) 2" xfId="281"/>
    <cellStyle name="Enter Units (1)" xfId="119"/>
    <cellStyle name="Enter Units (1) 2" xfId="282"/>
    <cellStyle name="Enter Units (2)" xfId="120"/>
    <cellStyle name="Enter Units (2) 2" xfId="283"/>
    <cellStyle name="eps" xfId="121"/>
    <cellStyle name="Euro" xfId="122"/>
    <cellStyle name="Grey" xfId="123"/>
    <cellStyle name="Header1" xfId="124"/>
    <cellStyle name="Header2" xfId="125"/>
    <cellStyle name="Header2 10" xfId="126"/>
    <cellStyle name="Header2 11" xfId="127"/>
    <cellStyle name="Header2 12" xfId="128"/>
    <cellStyle name="Header2 13" xfId="129"/>
    <cellStyle name="Header2 14" xfId="130"/>
    <cellStyle name="Header2 15" xfId="131"/>
    <cellStyle name="Header2 16" xfId="132"/>
    <cellStyle name="Header2 17" xfId="133"/>
    <cellStyle name="Header2 18" xfId="134"/>
    <cellStyle name="Header2 19" xfId="135"/>
    <cellStyle name="Header2 2" xfId="136"/>
    <cellStyle name="Header2 20" xfId="137"/>
    <cellStyle name="Header2 21" xfId="138"/>
    <cellStyle name="Header2 22" xfId="139"/>
    <cellStyle name="Header2 23" xfId="140"/>
    <cellStyle name="Header2 24" xfId="141"/>
    <cellStyle name="Header2 25" xfId="142"/>
    <cellStyle name="Header2 26" xfId="143"/>
    <cellStyle name="Header2 27" xfId="144"/>
    <cellStyle name="Header2 28" xfId="145"/>
    <cellStyle name="Header2 29" xfId="146"/>
    <cellStyle name="Header2 3" xfId="147"/>
    <cellStyle name="Header2 30" xfId="148"/>
    <cellStyle name="Header2 31" xfId="149"/>
    <cellStyle name="Header2 32" xfId="150"/>
    <cellStyle name="Header2 33" xfId="151"/>
    <cellStyle name="Header2 34" xfId="152"/>
    <cellStyle name="Header2 35" xfId="153"/>
    <cellStyle name="Header2 36" xfId="154"/>
    <cellStyle name="Header2 37" xfId="155"/>
    <cellStyle name="Header2 38" xfId="156"/>
    <cellStyle name="Header2 39" xfId="157"/>
    <cellStyle name="Header2 4" xfId="158"/>
    <cellStyle name="Header2 40" xfId="159"/>
    <cellStyle name="Header2 41" xfId="160"/>
    <cellStyle name="Header2 42" xfId="161"/>
    <cellStyle name="Header2 5" xfId="162"/>
    <cellStyle name="Header2 6" xfId="163"/>
    <cellStyle name="Header2 7" xfId="164"/>
    <cellStyle name="Header2 8" xfId="165"/>
    <cellStyle name="Header2 9" xfId="166"/>
    <cellStyle name="Heading" xfId="167"/>
    <cellStyle name="Heading 1 2" xfId="168"/>
    <cellStyle name="Heading 1 3" xfId="169"/>
    <cellStyle name="Heading 1 4" xfId="170"/>
    <cellStyle name="Heading 2 2" xfId="171"/>
    <cellStyle name="Heading 2 3" xfId="172"/>
    <cellStyle name="Heading 2 4" xfId="173"/>
    <cellStyle name="Heading No Underline" xfId="174"/>
    <cellStyle name="Heading With Underline" xfId="175"/>
    <cellStyle name="Hyperlink 2" xfId="284"/>
    <cellStyle name="Hyperlink 2 2" xfId="319"/>
    <cellStyle name="Hyperlink 2 2 2" xfId="320"/>
    <cellStyle name="Hyperlink 3" xfId="285"/>
    <cellStyle name="Hyperlink 4" xfId="321"/>
    <cellStyle name="Input [yellow]" xfId="176"/>
    <cellStyle name="Link Currency (0)" xfId="177"/>
    <cellStyle name="Link Currency (0) 2" xfId="286"/>
    <cellStyle name="Link Currency (2)" xfId="178"/>
    <cellStyle name="Link Currency (2) 2" xfId="287"/>
    <cellStyle name="Link Units (0)" xfId="179"/>
    <cellStyle name="Link Units (0) 2" xfId="288"/>
    <cellStyle name="Link Units (1)" xfId="180"/>
    <cellStyle name="Link Units (1) 2" xfId="289"/>
    <cellStyle name="Link Units (2)" xfId="181"/>
    <cellStyle name="Link Units (2) 2" xfId="290"/>
    <cellStyle name="Millares [0]_pldt" xfId="182"/>
    <cellStyle name="Millares_pldt" xfId="183"/>
    <cellStyle name="Milliers [0]_AR1194" xfId="184"/>
    <cellStyle name="Milliers_AR1194" xfId="185"/>
    <cellStyle name="Moneda [0]_pldt" xfId="186"/>
    <cellStyle name="Moneda_pldt" xfId="187"/>
    <cellStyle name="Monétaire [0]_AR1194" xfId="188"/>
    <cellStyle name="Monétaire_AR1194" xfId="189"/>
    <cellStyle name="negativ" xfId="190"/>
    <cellStyle name="no dec" xfId="191"/>
    <cellStyle name="nodollars" xfId="192"/>
    <cellStyle name="nodollars 2" xfId="193"/>
    <cellStyle name="Normal" xfId="0" builtinId="0"/>
    <cellStyle name="Normal - Style1" xfId="194"/>
    <cellStyle name="Normal - Style1 2" xfId="291"/>
    <cellStyle name="Normal - Style2" xfId="292"/>
    <cellStyle name="Normal - Style3" xfId="293"/>
    <cellStyle name="Normal - Style4" xfId="294"/>
    <cellStyle name="Normal - Style5" xfId="295"/>
    <cellStyle name="Normal 10" xfId="322"/>
    <cellStyle name="Normal 2" xfId="3"/>
    <cellStyle name="Normal 2 2" xfId="196"/>
    <cellStyle name="Normal 2 2 2" xfId="197"/>
    <cellStyle name="Normal 2 3" xfId="198"/>
    <cellStyle name="Normal 2 3 2" xfId="296"/>
    <cellStyle name="Normal 2 4" xfId="199"/>
    <cellStyle name="Normal 2 5" xfId="297"/>
    <cellStyle name="Normal 2 6" xfId="323"/>
    <cellStyle name="Normal 2 7" xfId="324"/>
    <cellStyle name="Normal 2 8" xfId="195"/>
    <cellStyle name="Normal 3" xfId="4"/>
    <cellStyle name="Normal 3 2" xfId="298"/>
    <cellStyle name="Normal 3 3" xfId="299"/>
    <cellStyle name="Normal 3 4" xfId="200"/>
    <cellStyle name="Normal 4" xfId="201"/>
    <cellStyle name="Normal 5" xfId="6"/>
    <cellStyle name="Normal 5 2" xfId="300"/>
    <cellStyle name="Normal 6" xfId="202"/>
    <cellStyle name="Normal 6 2" xfId="301"/>
    <cellStyle name="Normal 6 3" xfId="302"/>
    <cellStyle name="Normal 7" xfId="203"/>
    <cellStyle name="Normal 7 2" xfId="303"/>
    <cellStyle name="Normal 8" xfId="204"/>
    <cellStyle name="Normal 8 2" xfId="304"/>
    <cellStyle name="Normal 8 3" xfId="316"/>
    <cellStyle name="Normal 9" xfId="325"/>
    <cellStyle name="Number0DecimalStyle" xfId="205"/>
    <cellStyle name="Number0DecimalStyle 2" xfId="253"/>
    <cellStyle name="Number10DecimalStyle" xfId="206"/>
    <cellStyle name="Number1DecimalStyle" xfId="207"/>
    <cellStyle name="Number2DecimalStyle" xfId="208"/>
    <cellStyle name="Number2DecimalStyle 2" xfId="254"/>
    <cellStyle name="Number3DecimalStyle" xfId="209"/>
    <cellStyle name="Number4DecimalStyle" xfId="210"/>
    <cellStyle name="Number5DecimalStyle" xfId="211"/>
    <cellStyle name="Number6DecimalStyle" xfId="212"/>
    <cellStyle name="Number7DecimalStyle" xfId="213"/>
    <cellStyle name="Number8DecimalStyle" xfId="214"/>
    <cellStyle name="Number9DecimalStyle" xfId="215"/>
    <cellStyle name="over" xfId="216"/>
    <cellStyle name="Percent" xfId="2" builtinId="5"/>
    <cellStyle name="percent (0)" xfId="217"/>
    <cellStyle name="Percent [0]" xfId="218"/>
    <cellStyle name="Percent [0] 2" xfId="305"/>
    <cellStyle name="Percent [00]" xfId="219"/>
    <cellStyle name="Percent [00] 2" xfId="306"/>
    <cellStyle name="Percent [2]" xfId="220"/>
    <cellStyle name="Percent 10" xfId="318"/>
    <cellStyle name="Percent 2" xfId="221"/>
    <cellStyle name="Percent 2 2" xfId="222"/>
    <cellStyle name="Percent 2 3" xfId="223"/>
    <cellStyle name="Percent 2 4" xfId="224"/>
    <cellStyle name="Percent 3" xfId="225"/>
    <cellStyle name="Percent 3 2" xfId="307"/>
    <cellStyle name="Percent 4" xfId="308"/>
    <cellStyle name="Percent 6" xfId="326"/>
    <cellStyle name="PERCENTAGE" xfId="226"/>
    <cellStyle name="posit" xfId="227"/>
    <cellStyle name="Powerpoint Style" xfId="228"/>
    <cellStyle name="PrePop Currency (0)" xfId="229"/>
    <cellStyle name="PrePop Currency (0) 2" xfId="309"/>
    <cellStyle name="PrePop Currency (2)" xfId="230"/>
    <cellStyle name="PrePop Currency (2) 2" xfId="310"/>
    <cellStyle name="PrePop Units (0)" xfId="231"/>
    <cellStyle name="PrePop Units (0) 2" xfId="311"/>
    <cellStyle name="PrePop Units (1)" xfId="232"/>
    <cellStyle name="PrePop Units (1) 2" xfId="312"/>
    <cellStyle name="PrePop Units (2)" xfId="233"/>
    <cellStyle name="PrePop Units (2) 2" xfId="313"/>
    <cellStyle name="SingleTopDoubleBott" xfId="234"/>
    <cellStyle name="Standard_A" xfId="235"/>
    <cellStyle name="Style 1" xfId="236"/>
    <cellStyle name="Style 2" xfId="237"/>
    <cellStyle name="Style 3" xfId="327"/>
    <cellStyle name="Style 4" xfId="328"/>
    <cellStyle name="Text Indent A" xfId="238"/>
    <cellStyle name="Text Indent B" xfId="239"/>
    <cellStyle name="Text Indent B 2" xfId="314"/>
    <cellStyle name="Text Indent C" xfId="240"/>
    <cellStyle name="Text Indent C 2" xfId="315"/>
    <cellStyle name="TextStyle" xfId="241"/>
    <cellStyle name="Tickmark" xfId="242"/>
    <cellStyle name="TimStyle" xfId="243"/>
    <cellStyle name="Total 2" xfId="244"/>
    <cellStyle name="Total 3" xfId="245"/>
    <cellStyle name="Total 4" xfId="246"/>
    <cellStyle name="Underline" xfId="247"/>
    <cellStyle name="UnderlineDouble" xfId="248"/>
    <cellStyle name="Währung [0]_RESULTS" xfId="249"/>
    <cellStyle name="Währung_RESULTS" xfId="250"/>
    <cellStyle name="표준_BINV" xfId="251"/>
    <cellStyle name="標準_99B-05PE_IC2" xfId="2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xmlns:c16="http://schemas.microsoft.com/office/drawing/2014/char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A721-4EFC-AAD3-C4056A0A7B99}"/>
            </c:ext>
          </c:extLst>
        </c:ser>
        <c:dLbls>
          <c:showLegendKey val="0"/>
          <c:showVal val="0"/>
          <c:showCatName val="0"/>
          <c:showSerName val="0"/>
          <c:showPercent val="0"/>
          <c:showBubbleSize val="0"/>
        </c:dLbls>
        <c:smooth val="0"/>
        <c:axId val="455212624"/>
        <c:axId val="455213016"/>
      </c:lineChart>
      <c:catAx>
        <c:axId val="455212624"/>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455213016"/>
        <c:crosses val="autoZero"/>
        <c:auto val="1"/>
        <c:lblAlgn val="ctr"/>
        <c:lblOffset val="100"/>
        <c:tickLblSkip val="7"/>
        <c:noMultiLvlLbl val="1"/>
      </c:catAx>
      <c:valAx>
        <c:axId val="455213016"/>
        <c:scaling>
          <c:orientation val="minMax"/>
        </c:scaling>
        <c:delete val="0"/>
        <c:axPos val="l"/>
        <c:majorGridlines/>
        <c:numFmt formatCode="0.0\x" sourceLinked="0"/>
        <c:majorTickMark val="out"/>
        <c:minorTickMark val="none"/>
        <c:tickLblPos val="nextTo"/>
        <c:crossAx val="45521262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xmlns:c16="http://schemas.microsoft.com/office/drawing/2014/char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CC4A-4712-9787-47F5870BB50C}"/>
            </c:ext>
          </c:extLst>
        </c:ser>
        <c:dLbls>
          <c:showLegendKey val="0"/>
          <c:showVal val="0"/>
          <c:showCatName val="0"/>
          <c:showSerName val="0"/>
          <c:showPercent val="0"/>
          <c:showBubbleSize val="0"/>
        </c:dLbls>
        <c:smooth val="0"/>
        <c:axId val="455213800"/>
        <c:axId val="455214192"/>
      </c:lineChart>
      <c:catAx>
        <c:axId val="455213800"/>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455214192"/>
        <c:crosses val="autoZero"/>
        <c:auto val="1"/>
        <c:lblAlgn val="ctr"/>
        <c:lblOffset val="100"/>
        <c:tickLblSkip val="7"/>
        <c:noMultiLvlLbl val="1"/>
      </c:catAx>
      <c:valAx>
        <c:axId val="455214192"/>
        <c:scaling>
          <c:orientation val="minMax"/>
        </c:scaling>
        <c:delete val="0"/>
        <c:axPos val="l"/>
        <c:majorGridlines/>
        <c:numFmt formatCode="0.0\x" sourceLinked="0"/>
        <c:majorTickMark val="out"/>
        <c:minorTickMark val="none"/>
        <c:tickLblPos val="nextTo"/>
        <c:crossAx val="45521380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xmlns:c16="http://schemas.microsoft.com/office/drawing/2014/char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477F-4015-B873-EB220D30F9CA}"/>
            </c:ext>
          </c:extLst>
        </c:ser>
        <c:dLbls>
          <c:showLegendKey val="0"/>
          <c:showVal val="0"/>
          <c:showCatName val="0"/>
          <c:showSerName val="0"/>
          <c:showPercent val="0"/>
          <c:showBubbleSize val="0"/>
        </c:dLbls>
        <c:smooth val="0"/>
        <c:axId val="455214976"/>
        <c:axId val="455215368"/>
      </c:lineChart>
      <c:catAx>
        <c:axId val="455214976"/>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455215368"/>
        <c:crosses val="autoZero"/>
        <c:auto val="1"/>
        <c:lblAlgn val="ctr"/>
        <c:lblOffset val="100"/>
        <c:tickLblSkip val="7"/>
        <c:noMultiLvlLbl val="1"/>
      </c:catAx>
      <c:valAx>
        <c:axId val="455215368"/>
        <c:scaling>
          <c:orientation val="minMax"/>
        </c:scaling>
        <c:delete val="0"/>
        <c:axPos val="l"/>
        <c:majorGridlines/>
        <c:numFmt formatCode="0.0\x" sourceLinked="0"/>
        <c:majorTickMark val="out"/>
        <c:minorTickMark val="none"/>
        <c:tickLblPos val="nextTo"/>
        <c:crossAx val="455214976"/>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236802</xdr:colOff>
      <xdr:row>42</xdr:row>
      <xdr:rowOff>0</xdr:rowOff>
    </xdr:from>
    <xdr:to>
      <xdr:col>6</xdr:col>
      <xdr:colOff>718343</xdr:colOff>
      <xdr:row>42</xdr:row>
      <xdr:rowOff>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236802</xdr:colOff>
      <xdr:row>121</xdr:row>
      <xdr:rowOff>0</xdr:rowOff>
    </xdr:from>
    <xdr:to>
      <xdr:col>6</xdr:col>
      <xdr:colOff>718343</xdr:colOff>
      <xdr:row>121</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236802</xdr:colOff>
      <xdr:row>161</xdr:row>
      <xdr:rowOff>0</xdr:rowOff>
    </xdr:from>
    <xdr:to>
      <xdr:col>6</xdr:col>
      <xdr:colOff>718343</xdr:colOff>
      <xdr:row>161</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wner\Documents\Articles%20(10-8-2015)\Apple\Apple%20Model%209-3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rnings Model"/>
      <sheetName val="BOTE"/>
      <sheetName val="Estimates by Analyst"/>
      <sheetName val="After Earnings"/>
      <sheetName val="Charts"/>
      <sheetName val="Terms of Use"/>
    </sheetNames>
    <sheetDataSet>
      <sheetData sheetId="0"/>
      <sheetData sheetId="1"/>
      <sheetData sheetId="2">
        <row r="6">
          <cell r="B6" t="str">
            <v>Raymond James</v>
          </cell>
          <cell r="C6" t="str">
            <v>TAVIS C MCCOURT</v>
          </cell>
          <cell r="D6" t="str">
            <v>market perform</v>
          </cell>
          <cell r="E6">
            <v>42209</v>
          </cell>
          <cell r="F6">
            <v>0</v>
          </cell>
          <cell r="G6">
            <v>14314</v>
          </cell>
          <cell r="H6">
            <v>10550</v>
          </cell>
          <cell r="I6">
            <v>50163</v>
          </cell>
          <cell r="J6">
            <v>13914</v>
          </cell>
          <cell r="K6">
            <v>1.84</v>
          </cell>
          <cell r="L6">
            <v>33.299999999999997</v>
          </cell>
          <cell r="M6">
            <v>-146185</v>
          </cell>
        </row>
        <row r="7">
          <cell r="B7" t="str">
            <v>Exane BNP Paribas</v>
          </cell>
          <cell r="C7" t="str">
            <v>ALEXANDER PETERC</v>
          </cell>
          <cell r="D7" t="str">
            <v>outperform</v>
          </cell>
          <cell r="E7">
            <v>42209</v>
          </cell>
          <cell r="F7">
            <v>150</v>
          </cell>
          <cell r="G7">
            <v>0</v>
          </cell>
          <cell r="H7">
            <v>0</v>
          </cell>
          <cell r="I7">
            <v>0</v>
          </cell>
          <cell r="J7">
            <v>0</v>
          </cell>
          <cell r="K7">
            <v>0</v>
          </cell>
          <cell r="L7">
            <v>0</v>
          </cell>
          <cell r="M7">
            <v>0</v>
          </cell>
        </row>
        <row r="8">
          <cell r="B8" t="str">
            <v>Morgan Stanley</v>
          </cell>
          <cell r="C8" t="str">
            <v>KATHRYN HUBERTY</v>
          </cell>
          <cell r="D8" t="str">
            <v>Overwt/Cautious</v>
          </cell>
          <cell r="E8">
            <v>42208</v>
          </cell>
          <cell r="F8">
            <v>155</v>
          </cell>
          <cell r="G8">
            <v>0</v>
          </cell>
          <cell r="H8">
            <v>0</v>
          </cell>
          <cell r="I8">
            <v>0</v>
          </cell>
          <cell r="J8">
            <v>0</v>
          </cell>
          <cell r="K8">
            <v>0</v>
          </cell>
          <cell r="L8">
            <v>0</v>
          </cell>
          <cell r="M8">
            <v>0</v>
          </cell>
        </row>
        <row r="9">
          <cell r="B9" t="str">
            <v>BMO Capital Markets</v>
          </cell>
          <cell r="C9" t="str">
            <v>KEITH F BACHMAN</v>
          </cell>
          <cell r="D9" t="str">
            <v>outperform</v>
          </cell>
          <cell r="E9">
            <v>42207</v>
          </cell>
          <cell r="F9">
            <v>145</v>
          </cell>
          <cell r="G9">
            <v>0</v>
          </cell>
          <cell r="H9">
            <v>0</v>
          </cell>
          <cell r="I9">
            <v>0</v>
          </cell>
          <cell r="J9">
            <v>0</v>
          </cell>
          <cell r="K9">
            <v>0</v>
          </cell>
          <cell r="L9">
            <v>0</v>
          </cell>
          <cell r="M9">
            <v>0</v>
          </cell>
        </row>
        <row r="10">
          <cell r="B10" t="str">
            <v>Societe Generale</v>
          </cell>
          <cell r="C10" t="str">
            <v>ANDY PERKINS</v>
          </cell>
          <cell r="D10" t="str">
            <v>buy</v>
          </cell>
          <cell r="E10">
            <v>42207</v>
          </cell>
          <cell r="F10">
            <v>140</v>
          </cell>
          <cell r="G10">
            <v>14395</v>
          </cell>
          <cell r="H10">
            <v>10652</v>
          </cell>
          <cell r="I10">
            <v>49101</v>
          </cell>
          <cell r="J10">
            <v>0</v>
          </cell>
          <cell r="K10">
            <v>1.87</v>
          </cell>
          <cell r="L10">
            <v>0</v>
          </cell>
          <cell r="M10">
            <v>0</v>
          </cell>
        </row>
        <row r="11">
          <cell r="B11" t="str">
            <v>ABG Sundal Collier</v>
          </cell>
          <cell r="C11" t="str">
            <v>PER LINDBERG</v>
          </cell>
          <cell r="D11" t="str">
            <v>sell</v>
          </cell>
          <cell r="E11">
            <v>42207</v>
          </cell>
          <cell r="F11">
            <v>65</v>
          </cell>
          <cell r="G11">
            <v>0</v>
          </cell>
          <cell r="H11">
            <v>0</v>
          </cell>
          <cell r="I11">
            <v>0</v>
          </cell>
          <cell r="J11">
            <v>0</v>
          </cell>
          <cell r="K11">
            <v>0</v>
          </cell>
          <cell r="L11">
            <v>0</v>
          </cell>
          <cell r="M11">
            <v>0</v>
          </cell>
        </row>
        <row r="12">
          <cell r="B12" t="str">
            <v>RBC Capital Markets</v>
          </cell>
          <cell r="C12" t="str">
            <v>AMIT DARYANANI</v>
          </cell>
          <cell r="D12" t="str">
            <v>outperform</v>
          </cell>
          <cell r="E12">
            <v>42207</v>
          </cell>
          <cell r="F12">
            <v>150</v>
          </cell>
          <cell r="G12">
            <v>0</v>
          </cell>
          <cell r="H12">
            <v>0</v>
          </cell>
          <cell r="I12">
            <v>0</v>
          </cell>
          <cell r="J12">
            <v>0</v>
          </cell>
          <cell r="K12">
            <v>0</v>
          </cell>
          <cell r="L12">
            <v>0</v>
          </cell>
          <cell r="M12">
            <v>0</v>
          </cell>
        </row>
        <row r="13">
          <cell r="B13" t="str">
            <v>Argus Research Corp</v>
          </cell>
          <cell r="C13" t="str">
            <v>JAMES KELLEHER</v>
          </cell>
          <cell r="D13" t="str">
            <v>buy</v>
          </cell>
          <cell r="E13">
            <v>42207</v>
          </cell>
          <cell r="F13">
            <v>145</v>
          </cell>
          <cell r="G13">
            <v>0</v>
          </cell>
          <cell r="H13">
            <v>0</v>
          </cell>
          <cell r="I13">
            <v>51300</v>
          </cell>
          <cell r="J13">
            <v>0</v>
          </cell>
          <cell r="K13">
            <v>1.81</v>
          </cell>
          <cell r="L13">
            <v>0</v>
          </cell>
          <cell r="M13">
            <v>0</v>
          </cell>
        </row>
        <row r="14">
          <cell r="B14" t="str">
            <v>Brean Capital LLC</v>
          </cell>
          <cell r="C14" t="str">
            <v>ANANDA BARUAH</v>
          </cell>
          <cell r="D14" t="str">
            <v>buy</v>
          </cell>
          <cell r="E14">
            <v>42207</v>
          </cell>
          <cell r="F14">
            <v>170</v>
          </cell>
          <cell r="G14">
            <v>14482</v>
          </cell>
          <cell r="H14">
            <v>10934</v>
          </cell>
          <cell r="I14">
            <v>51300</v>
          </cell>
          <cell r="J14">
            <v>0</v>
          </cell>
          <cell r="K14">
            <v>1.91</v>
          </cell>
          <cell r="L14">
            <v>0</v>
          </cell>
          <cell r="M14">
            <v>0</v>
          </cell>
        </row>
        <row r="15">
          <cell r="B15" t="str">
            <v>Credit Suisse</v>
          </cell>
          <cell r="C15" t="str">
            <v>KULBINDER GARCHA</v>
          </cell>
          <cell r="D15" t="str">
            <v>outperform</v>
          </cell>
          <cell r="E15">
            <v>42207</v>
          </cell>
          <cell r="F15">
            <v>145</v>
          </cell>
          <cell r="G15">
            <v>0</v>
          </cell>
          <cell r="H15">
            <v>0</v>
          </cell>
          <cell r="I15">
            <v>0</v>
          </cell>
          <cell r="J15">
            <v>0</v>
          </cell>
          <cell r="K15">
            <v>0</v>
          </cell>
          <cell r="L15">
            <v>0</v>
          </cell>
          <cell r="M15">
            <v>0</v>
          </cell>
        </row>
        <row r="16">
          <cell r="B16" t="str">
            <v>Hilliard Lyons</v>
          </cell>
          <cell r="C16" t="str">
            <v>STEPHEN TURNER</v>
          </cell>
          <cell r="D16" t="str">
            <v>long-term buy</v>
          </cell>
          <cell r="E16">
            <v>42207</v>
          </cell>
          <cell r="F16">
            <v>154</v>
          </cell>
          <cell r="G16">
            <v>14643</v>
          </cell>
          <cell r="H16">
            <v>10792</v>
          </cell>
          <cell r="I16">
            <v>51383</v>
          </cell>
          <cell r="J16">
            <v>0</v>
          </cell>
          <cell r="K16">
            <v>1.9</v>
          </cell>
          <cell r="L16">
            <v>0</v>
          </cell>
          <cell r="M16">
            <v>0</v>
          </cell>
        </row>
        <row r="17">
          <cell r="B17" t="str">
            <v>JPMorgan</v>
          </cell>
          <cell r="C17" t="str">
            <v>ROD HALL</v>
          </cell>
          <cell r="D17" t="str">
            <v>overweight</v>
          </cell>
          <cell r="E17">
            <v>42207</v>
          </cell>
          <cell r="F17">
            <v>145</v>
          </cell>
          <cell r="G17">
            <v>0</v>
          </cell>
          <cell r="H17">
            <v>0</v>
          </cell>
          <cell r="I17">
            <v>0</v>
          </cell>
          <cell r="J17">
            <v>0</v>
          </cell>
          <cell r="K17">
            <v>0</v>
          </cell>
          <cell r="L17">
            <v>0</v>
          </cell>
          <cell r="M17">
            <v>0</v>
          </cell>
        </row>
        <row r="18">
          <cell r="B18" t="str">
            <v>Jefferies</v>
          </cell>
          <cell r="C18" t="str">
            <v>SUNDEEP BAJIKAR</v>
          </cell>
          <cell r="D18" t="str">
            <v>hold</v>
          </cell>
          <cell r="E18">
            <v>42207</v>
          </cell>
          <cell r="F18">
            <v>135</v>
          </cell>
          <cell r="G18">
            <v>14046</v>
          </cell>
          <cell r="H18">
            <v>10352</v>
          </cell>
          <cell r="I18">
            <v>50185</v>
          </cell>
          <cell r="J18">
            <v>13816</v>
          </cell>
          <cell r="K18">
            <v>1.81</v>
          </cell>
          <cell r="L18">
            <v>0</v>
          </cell>
          <cell r="M18">
            <v>0</v>
          </cell>
        </row>
        <row r="19">
          <cell r="B19" t="str">
            <v>Robert W. Baird &amp; Co</v>
          </cell>
          <cell r="C19" t="str">
            <v>WILLIAM V POWER</v>
          </cell>
          <cell r="D19" t="str">
            <v>outperform</v>
          </cell>
          <cell r="E19">
            <v>42207</v>
          </cell>
          <cell r="F19">
            <v>155</v>
          </cell>
          <cell r="G19">
            <v>0</v>
          </cell>
          <cell r="H19">
            <v>0</v>
          </cell>
          <cell r="I19">
            <v>0</v>
          </cell>
          <cell r="J19">
            <v>0</v>
          </cell>
          <cell r="K19">
            <v>0</v>
          </cell>
          <cell r="L19">
            <v>0</v>
          </cell>
          <cell r="M19">
            <v>0</v>
          </cell>
        </row>
        <row r="20">
          <cell r="B20" t="str">
            <v>FBR Capital Markets</v>
          </cell>
          <cell r="C20" t="str">
            <v>DANIEL H IVES</v>
          </cell>
          <cell r="D20" t="str">
            <v>outperform</v>
          </cell>
          <cell r="E20">
            <v>42207</v>
          </cell>
          <cell r="F20">
            <v>175</v>
          </cell>
          <cell r="G20">
            <v>14400</v>
          </cell>
          <cell r="H20">
            <v>10400</v>
          </cell>
          <cell r="I20">
            <v>50900</v>
          </cell>
          <cell r="J20">
            <v>0</v>
          </cell>
          <cell r="K20">
            <v>1.89</v>
          </cell>
          <cell r="L20">
            <v>0</v>
          </cell>
          <cell r="M20">
            <v>0</v>
          </cell>
        </row>
        <row r="21">
          <cell r="B21" t="str">
            <v>Macquarie</v>
          </cell>
          <cell r="C21" t="str">
            <v>BENJAMIN A SCHACHTER</v>
          </cell>
          <cell r="D21" t="str">
            <v>outperform</v>
          </cell>
          <cell r="E21">
            <v>42207</v>
          </cell>
          <cell r="F21">
            <v>140</v>
          </cell>
          <cell r="G21">
            <v>0</v>
          </cell>
          <cell r="H21">
            <v>0</v>
          </cell>
          <cell r="I21">
            <v>0</v>
          </cell>
          <cell r="J21">
            <v>0</v>
          </cell>
          <cell r="K21">
            <v>0</v>
          </cell>
          <cell r="L21">
            <v>0</v>
          </cell>
          <cell r="M21">
            <v>0</v>
          </cell>
        </row>
        <row r="22">
          <cell r="B22" t="str">
            <v>Cantor Fitzgerald</v>
          </cell>
          <cell r="C22" t="str">
            <v>BRIAN J WHITE</v>
          </cell>
          <cell r="D22" t="str">
            <v>buy</v>
          </cell>
          <cell r="E22">
            <v>42207</v>
          </cell>
          <cell r="F22">
            <v>195</v>
          </cell>
          <cell r="G22">
            <v>0</v>
          </cell>
          <cell r="H22">
            <v>0</v>
          </cell>
          <cell r="I22">
            <v>0</v>
          </cell>
          <cell r="J22">
            <v>0</v>
          </cell>
          <cell r="K22">
            <v>0</v>
          </cell>
          <cell r="L22">
            <v>0</v>
          </cell>
          <cell r="M22">
            <v>0</v>
          </cell>
        </row>
        <row r="23">
          <cell r="B23" t="str">
            <v>Stifel</v>
          </cell>
          <cell r="C23" t="str">
            <v>AARON C RAKERS</v>
          </cell>
          <cell r="D23" t="str">
            <v>buy</v>
          </cell>
          <cell r="E23">
            <v>42207</v>
          </cell>
          <cell r="F23">
            <v>150</v>
          </cell>
          <cell r="G23">
            <v>14315</v>
          </cell>
          <cell r="H23">
            <v>10550</v>
          </cell>
          <cell r="I23">
            <v>50235</v>
          </cell>
          <cell r="J23">
            <v>13915</v>
          </cell>
          <cell r="K23">
            <v>1.85</v>
          </cell>
          <cell r="L23">
            <v>0</v>
          </cell>
          <cell r="M23">
            <v>0</v>
          </cell>
        </row>
        <row r="24">
          <cell r="B24" t="str">
            <v>Berenberg</v>
          </cell>
          <cell r="C24" t="str">
            <v>ADNAAN AHMAD</v>
          </cell>
          <cell r="D24" t="str">
            <v>sell</v>
          </cell>
          <cell r="E24">
            <v>42207</v>
          </cell>
          <cell r="F24">
            <v>85</v>
          </cell>
          <cell r="G24">
            <v>0</v>
          </cell>
          <cell r="H24">
            <v>0</v>
          </cell>
          <cell r="I24">
            <v>0</v>
          </cell>
          <cell r="J24">
            <v>0</v>
          </cell>
          <cell r="K24">
            <v>0</v>
          </cell>
          <cell r="L24">
            <v>0</v>
          </cell>
          <cell r="M24">
            <v>0</v>
          </cell>
        </row>
        <row r="25">
          <cell r="B25" t="str">
            <v>Oppenheimer &amp; Co</v>
          </cell>
          <cell r="C25" t="str">
            <v>ANDREW UERKWITZ</v>
          </cell>
          <cell r="D25" t="str">
            <v>outperform</v>
          </cell>
          <cell r="E25">
            <v>42207</v>
          </cell>
          <cell r="F25">
            <v>155</v>
          </cell>
          <cell r="G25">
            <v>14469</v>
          </cell>
          <cell r="H25">
            <v>11600</v>
          </cell>
          <cell r="I25">
            <v>51071</v>
          </cell>
          <cell r="J25">
            <v>0</v>
          </cell>
          <cell r="K25">
            <v>2.0299999999999998</v>
          </cell>
          <cell r="L25">
            <v>33.9</v>
          </cell>
          <cell r="M25">
            <v>0</v>
          </cell>
        </row>
        <row r="26">
          <cell r="B26" t="str">
            <v>Wells Fargo Securities</v>
          </cell>
          <cell r="C26" t="str">
            <v>MAYNARD UM</v>
          </cell>
          <cell r="D26" t="str">
            <v>market perform</v>
          </cell>
          <cell r="E26">
            <v>42207</v>
          </cell>
          <cell r="F26">
            <v>0</v>
          </cell>
          <cell r="G26">
            <v>0</v>
          </cell>
          <cell r="H26">
            <v>0</v>
          </cell>
          <cell r="I26">
            <v>0</v>
          </cell>
          <cell r="J26">
            <v>0</v>
          </cell>
          <cell r="K26">
            <v>0</v>
          </cell>
          <cell r="L26">
            <v>0</v>
          </cell>
          <cell r="M26">
            <v>0</v>
          </cell>
        </row>
        <row r="27">
          <cell r="B27" t="str">
            <v>Cowen and Company</v>
          </cell>
          <cell r="C27" t="str">
            <v>TIMOTHY M ARCURI</v>
          </cell>
          <cell r="D27" t="str">
            <v>market perform</v>
          </cell>
          <cell r="E27">
            <v>42207</v>
          </cell>
          <cell r="F27">
            <v>130</v>
          </cell>
          <cell r="G27">
            <v>0</v>
          </cell>
          <cell r="H27">
            <v>0</v>
          </cell>
          <cell r="I27">
            <v>0</v>
          </cell>
          <cell r="J27">
            <v>0</v>
          </cell>
          <cell r="K27">
            <v>0</v>
          </cell>
          <cell r="L27">
            <v>0</v>
          </cell>
          <cell r="M27">
            <v>0</v>
          </cell>
        </row>
        <row r="28">
          <cell r="B28" t="str">
            <v>JMP Securities</v>
          </cell>
          <cell r="C28" t="str">
            <v>ALEX GAUNA</v>
          </cell>
          <cell r="D28" t="str">
            <v>market outperform</v>
          </cell>
          <cell r="E28">
            <v>42207</v>
          </cell>
          <cell r="F28">
            <v>150</v>
          </cell>
          <cell r="G28">
            <v>0</v>
          </cell>
          <cell r="H28">
            <v>0</v>
          </cell>
          <cell r="I28">
            <v>0</v>
          </cell>
          <cell r="J28">
            <v>0</v>
          </cell>
          <cell r="K28">
            <v>0</v>
          </cell>
          <cell r="L28">
            <v>0</v>
          </cell>
          <cell r="M28">
            <v>0</v>
          </cell>
        </row>
        <row r="29">
          <cell r="B29" t="str">
            <v>Maxim Group LLC</v>
          </cell>
          <cell r="C29" t="str">
            <v>NEHAL CHOKSHI</v>
          </cell>
          <cell r="D29" t="str">
            <v>hold</v>
          </cell>
          <cell r="E29">
            <v>42207</v>
          </cell>
          <cell r="F29">
            <v>144</v>
          </cell>
          <cell r="G29">
            <v>13770</v>
          </cell>
          <cell r="H29">
            <v>10158</v>
          </cell>
          <cell r="I29">
            <v>50070</v>
          </cell>
          <cell r="J29">
            <v>13459</v>
          </cell>
          <cell r="K29">
            <v>1.77</v>
          </cell>
          <cell r="L29">
            <v>0</v>
          </cell>
          <cell r="M29">
            <v>-142758</v>
          </cell>
        </row>
        <row r="30">
          <cell r="B30" t="str">
            <v>Susquehanna Financial Group</v>
          </cell>
          <cell r="C30" t="str">
            <v>CHRISTOPHER CASO</v>
          </cell>
          <cell r="D30" t="str">
            <v>Positive</v>
          </cell>
          <cell r="E30">
            <v>42207</v>
          </cell>
          <cell r="F30">
            <v>155</v>
          </cell>
          <cell r="G30">
            <v>14056</v>
          </cell>
          <cell r="H30">
            <v>10366</v>
          </cell>
          <cell r="I30">
            <v>50087</v>
          </cell>
          <cell r="J30">
            <v>0</v>
          </cell>
          <cell r="K30">
            <v>1.8</v>
          </cell>
          <cell r="L30">
            <v>0</v>
          </cell>
          <cell r="M30">
            <v>0</v>
          </cell>
        </row>
        <row r="31">
          <cell r="B31" t="str">
            <v>Atlantic Equities LLP</v>
          </cell>
          <cell r="C31" t="str">
            <v>JAMES CORDWELL</v>
          </cell>
          <cell r="D31" t="str">
            <v>overweight</v>
          </cell>
          <cell r="E31">
            <v>42207</v>
          </cell>
          <cell r="F31">
            <v>150</v>
          </cell>
          <cell r="G31">
            <v>14523</v>
          </cell>
          <cell r="H31">
            <v>10704</v>
          </cell>
          <cell r="I31">
            <v>51212</v>
          </cell>
          <cell r="J31">
            <v>0</v>
          </cell>
          <cell r="K31">
            <v>1.87</v>
          </cell>
          <cell r="L31">
            <v>0</v>
          </cell>
          <cell r="M31">
            <v>0</v>
          </cell>
        </row>
        <row r="32">
          <cell r="B32" t="str">
            <v>Cross Research</v>
          </cell>
          <cell r="C32" t="str">
            <v>SHANNON S CROSS</v>
          </cell>
          <cell r="D32" t="str">
            <v>buy</v>
          </cell>
          <cell r="E32">
            <v>42207</v>
          </cell>
          <cell r="F32">
            <v>150</v>
          </cell>
          <cell r="G32">
            <v>14485</v>
          </cell>
          <cell r="H32">
            <v>10647</v>
          </cell>
          <cell r="I32">
            <v>50514</v>
          </cell>
          <cell r="J32">
            <v>0</v>
          </cell>
          <cell r="K32">
            <v>1.86</v>
          </cell>
          <cell r="L32">
            <v>0</v>
          </cell>
          <cell r="M32">
            <v>0</v>
          </cell>
        </row>
        <row r="33">
          <cell r="B33" t="str">
            <v>Piper Jaffray</v>
          </cell>
          <cell r="C33" t="str">
            <v>EUGENE E MUNSTER</v>
          </cell>
          <cell r="D33" t="str">
            <v>overweight</v>
          </cell>
          <cell r="E33">
            <v>42207</v>
          </cell>
          <cell r="F33">
            <v>172</v>
          </cell>
          <cell r="G33">
            <v>0</v>
          </cell>
          <cell r="H33">
            <v>0</v>
          </cell>
          <cell r="I33">
            <v>0</v>
          </cell>
          <cell r="J33">
            <v>0</v>
          </cell>
          <cell r="K33">
            <v>0</v>
          </cell>
          <cell r="L33">
            <v>0</v>
          </cell>
          <cell r="M33">
            <v>0</v>
          </cell>
        </row>
        <row r="34">
          <cell r="B34" t="str">
            <v>FBN Securities</v>
          </cell>
          <cell r="C34" t="str">
            <v>SHEBLY SEYRAFI</v>
          </cell>
          <cell r="D34" t="str">
            <v>outperform</v>
          </cell>
          <cell r="E34">
            <v>42207</v>
          </cell>
          <cell r="F34">
            <v>150</v>
          </cell>
          <cell r="G34">
            <v>14745</v>
          </cell>
          <cell r="H34">
            <v>10867</v>
          </cell>
          <cell r="I34">
            <v>51554</v>
          </cell>
          <cell r="J34">
            <v>0</v>
          </cell>
          <cell r="K34">
            <v>1.9</v>
          </cell>
          <cell r="L34">
            <v>29.2</v>
          </cell>
          <cell r="M34">
            <v>-160538</v>
          </cell>
        </row>
        <row r="35">
          <cell r="B35" t="str">
            <v>Pacific Crest Securities</v>
          </cell>
          <cell r="C35" t="str">
            <v>ANDY HARGREAVES</v>
          </cell>
          <cell r="D35" t="str">
            <v>sector weight</v>
          </cell>
          <cell r="E35">
            <v>42206</v>
          </cell>
          <cell r="F35">
            <v>0</v>
          </cell>
          <cell r="G35">
            <v>0</v>
          </cell>
          <cell r="H35">
            <v>0</v>
          </cell>
          <cell r="I35">
            <v>0</v>
          </cell>
          <cell r="J35">
            <v>0</v>
          </cell>
          <cell r="K35">
            <v>0</v>
          </cell>
          <cell r="L35">
            <v>0</v>
          </cell>
          <cell r="M35">
            <v>0</v>
          </cell>
        </row>
        <row r="36">
          <cell r="B36" t="str">
            <v>William Blair &amp; Co</v>
          </cell>
          <cell r="C36" t="str">
            <v>ANIL K DORADLA</v>
          </cell>
          <cell r="D36" t="str">
            <v>outperform</v>
          </cell>
          <cell r="E36">
            <v>42206</v>
          </cell>
          <cell r="F36">
            <v>0</v>
          </cell>
          <cell r="G36">
            <v>14190</v>
          </cell>
          <cell r="H36">
            <v>10458</v>
          </cell>
          <cell r="I36">
            <v>50511</v>
          </cell>
          <cell r="J36">
            <v>0</v>
          </cell>
          <cell r="K36">
            <v>1.82</v>
          </cell>
          <cell r="L36">
            <v>0</v>
          </cell>
          <cell r="M36">
            <v>0</v>
          </cell>
        </row>
        <row r="37">
          <cell r="B37" t="str">
            <v>Canaccord Genuity Corp</v>
          </cell>
          <cell r="C37" t="str">
            <v>T MICHAEL WALKLEY</v>
          </cell>
          <cell r="D37" t="str">
            <v>buy</v>
          </cell>
          <cell r="E37">
            <v>42206</v>
          </cell>
          <cell r="F37">
            <v>155</v>
          </cell>
          <cell r="G37">
            <v>0</v>
          </cell>
          <cell r="H37">
            <v>0</v>
          </cell>
          <cell r="I37">
            <v>0</v>
          </cell>
          <cell r="J37">
            <v>0</v>
          </cell>
          <cell r="K37">
            <v>0</v>
          </cell>
          <cell r="L37">
            <v>0</v>
          </cell>
          <cell r="M37">
            <v>0</v>
          </cell>
        </row>
        <row r="38">
          <cell r="B38" t="str">
            <v>BGC Partners</v>
          </cell>
          <cell r="C38" t="str">
            <v>COLIN W GILLIS</v>
          </cell>
          <cell r="D38" t="str">
            <v>hold</v>
          </cell>
          <cell r="E38">
            <v>42206</v>
          </cell>
          <cell r="F38">
            <v>115</v>
          </cell>
          <cell r="G38">
            <v>14341</v>
          </cell>
          <cell r="H38">
            <v>10584</v>
          </cell>
          <cell r="I38">
            <v>51811</v>
          </cell>
          <cell r="J38">
            <v>0</v>
          </cell>
          <cell r="K38">
            <v>1.84</v>
          </cell>
          <cell r="L38">
            <v>0</v>
          </cell>
          <cell r="M38">
            <v>0</v>
          </cell>
        </row>
        <row r="39">
          <cell r="B39" t="str">
            <v>BTIG LLC</v>
          </cell>
          <cell r="C39" t="str">
            <v>WALTER P PIECYK JR</v>
          </cell>
          <cell r="D39" t="str">
            <v>buy</v>
          </cell>
          <cell r="E39">
            <v>42206</v>
          </cell>
          <cell r="F39">
            <v>160</v>
          </cell>
          <cell r="G39">
            <v>14761</v>
          </cell>
          <cell r="H39">
            <v>10879</v>
          </cell>
          <cell r="I39">
            <v>51168</v>
          </cell>
          <cell r="J39">
            <v>0</v>
          </cell>
          <cell r="K39">
            <v>1.92</v>
          </cell>
          <cell r="L39">
            <v>0</v>
          </cell>
          <cell r="M39">
            <v>-145107</v>
          </cell>
        </row>
        <row r="40">
          <cell r="B40" t="str">
            <v>Edward Jones</v>
          </cell>
          <cell r="C40" t="str">
            <v>WILLIAM C KREHER</v>
          </cell>
          <cell r="D40" t="str">
            <v>hold</v>
          </cell>
          <cell r="E40">
            <v>42179</v>
          </cell>
          <cell r="F40">
            <v>0</v>
          </cell>
          <cell r="G40">
            <v>0</v>
          </cell>
          <cell r="H40">
            <v>0</v>
          </cell>
          <cell r="I40">
            <v>0</v>
          </cell>
          <cell r="J40">
            <v>0</v>
          </cell>
          <cell r="K40">
            <v>0</v>
          </cell>
          <cell r="L40">
            <v>0</v>
          </cell>
          <cell r="M40">
            <v>0</v>
          </cell>
        </row>
        <row r="41">
          <cell r="B41" t="str">
            <v>EVA Dimensions</v>
          </cell>
          <cell r="C41" t="str">
            <v>AUSTIN BURKETT</v>
          </cell>
          <cell r="D41" t="str">
            <v>hold</v>
          </cell>
          <cell r="E41">
            <v>42160</v>
          </cell>
          <cell r="F41">
            <v>0</v>
          </cell>
          <cell r="G41">
            <v>0</v>
          </cell>
          <cell r="H41">
            <v>0</v>
          </cell>
          <cell r="I41">
            <v>0</v>
          </cell>
          <cell r="J41">
            <v>0</v>
          </cell>
          <cell r="K41">
            <v>0</v>
          </cell>
          <cell r="L41">
            <v>0</v>
          </cell>
          <cell r="M41">
            <v>0</v>
          </cell>
        </row>
        <row r="42">
          <cell r="B42" t="str">
            <v>Ameriprise Advisor Services, Inc</v>
          </cell>
          <cell r="C42" t="str">
            <v>JUSTIN H BURGIN</v>
          </cell>
          <cell r="D42" t="str">
            <v>buy</v>
          </cell>
          <cell r="E42">
            <v>42131</v>
          </cell>
          <cell r="F42">
            <v>0</v>
          </cell>
          <cell r="G42">
            <v>0</v>
          </cell>
          <cell r="H42">
            <v>0</v>
          </cell>
          <cell r="I42">
            <v>0</v>
          </cell>
          <cell r="J42">
            <v>0</v>
          </cell>
          <cell r="K42">
            <v>0</v>
          </cell>
          <cell r="L42">
            <v>0</v>
          </cell>
          <cell r="M42">
            <v>0</v>
          </cell>
        </row>
        <row r="43">
          <cell r="B43" t="str">
            <v>Daiwa Securities Co. Ltd.</v>
          </cell>
          <cell r="C43" t="str">
            <v>YOKO YAMADA</v>
          </cell>
          <cell r="D43" t="str">
            <v>outperform</v>
          </cell>
          <cell r="E43">
            <v>42125</v>
          </cell>
          <cell r="F43">
            <v>137</v>
          </cell>
          <cell r="G43">
            <v>0</v>
          </cell>
          <cell r="H43">
            <v>0</v>
          </cell>
          <cell r="I43">
            <v>0</v>
          </cell>
          <cell r="J43">
            <v>0</v>
          </cell>
          <cell r="K43">
            <v>0</v>
          </cell>
          <cell r="L43">
            <v>0</v>
          </cell>
          <cell r="M43">
            <v>0</v>
          </cell>
        </row>
        <row r="44">
          <cell r="B44" t="str">
            <v>First Shanghai Securities Ltd</v>
          </cell>
          <cell r="C44" t="str">
            <v>TSOI HO</v>
          </cell>
          <cell r="D44" t="str">
            <v>buy</v>
          </cell>
          <cell r="E44">
            <v>42124</v>
          </cell>
          <cell r="F44">
            <v>165</v>
          </cell>
          <cell r="G44">
            <v>0</v>
          </cell>
          <cell r="H44">
            <v>0</v>
          </cell>
          <cell r="I44">
            <v>0</v>
          </cell>
          <cell r="J44">
            <v>0</v>
          </cell>
          <cell r="K44">
            <v>0</v>
          </cell>
          <cell r="L44">
            <v>0</v>
          </cell>
          <cell r="M44">
            <v>0</v>
          </cell>
        </row>
        <row r="45">
          <cell r="B45" t="str">
            <v>Goldman Sachs</v>
          </cell>
          <cell r="C45" t="str">
            <v>BILL SHOPE</v>
          </cell>
          <cell r="D45" t="str">
            <v>Buy/Cautious</v>
          </cell>
          <cell r="E45">
            <v>42122</v>
          </cell>
          <cell r="F45">
            <v>163</v>
          </cell>
          <cell r="G45">
            <v>0</v>
          </cell>
          <cell r="H45">
            <v>0</v>
          </cell>
          <cell r="I45">
            <v>0</v>
          </cell>
          <cell r="J45">
            <v>0</v>
          </cell>
          <cell r="K45">
            <v>0</v>
          </cell>
          <cell r="L45">
            <v>0</v>
          </cell>
          <cell r="M45">
            <v>0</v>
          </cell>
        </row>
        <row r="46">
          <cell r="B46" t="str">
            <v>Hamburger Sparkasse</v>
          </cell>
          <cell r="C46" t="str">
            <v>MARCO GUENTHER</v>
          </cell>
          <cell r="D46" t="str">
            <v>neutral</v>
          </cell>
          <cell r="E46">
            <v>42122</v>
          </cell>
          <cell r="F46">
            <v>0</v>
          </cell>
          <cell r="G46">
            <v>0</v>
          </cell>
          <cell r="H46">
            <v>0</v>
          </cell>
          <cell r="I46">
            <v>0</v>
          </cell>
          <cell r="J46">
            <v>0</v>
          </cell>
          <cell r="K46">
            <v>0</v>
          </cell>
          <cell r="L46">
            <v>0</v>
          </cell>
          <cell r="M46">
            <v>0</v>
          </cell>
        </row>
        <row r="47">
          <cell r="B47" t="str">
            <v>UBS</v>
          </cell>
          <cell r="C47" t="str">
            <v>STEVEN M MILUNOVICH</v>
          </cell>
          <cell r="D47" t="str">
            <v>buy</v>
          </cell>
          <cell r="E47">
            <v>42048</v>
          </cell>
          <cell r="F47">
            <v>150</v>
          </cell>
          <cell r="G47">
            <v>0</v>
          </cell>
          <cell r="H47">
            <v>0</v>
          </cell>
          <cell r="I47">
            <v>0</v>
          </cell>
          <cell r="J47">
            <v>0</v>
          </cell>
          <cell r="K47">
            <v>0</v>
          </cell>
          <cell r="L47">
            <v>0</v>
          </cell>
          <cell r="M47">
            <v>0</v>
          </cell>
        </row>
        <row r="48">
          <cell r="B48" t="str">
            <v>Accountability Research Corp</v>
          </cell>
          <cell r="C48" t="str">
            <v>KEVIN CHU</v>
          </cell>
          <cell r="D48" t="str">
            <v>buy</v>
          </cell>
          <cell r="E48">
            <v>42040</v>
          </cell>
          <cell r="F48">
            <v>139</v>
          </cell>
          <cell r="G48">
            <v>0</v>
          </cell>
          <cell r="H48">
            <v>0</v>
          </cell>
          <cell r="I48">
            <v>0</v>
          </cell>
          <cell r="J48">
            <v>0</v>
          </cell>
          <cell r="K48">
            <v>0</v>
          </cell>
          <cell r="L48">
            <v>0</v>
          </cell>
          <cell r="M48">
            <v>0</v>
          </cell>
        </row>
        <row r="49">
          <cell r="B49" t="str">
            <v>Scotia Capital</v>
          </cell>
          <cell r="C49" t="str">
            <v>DANIEL CHAN</v>
          </cell>
          <cell r="D49" t="str">
            <v>suspended coverage</v>
          </cell>
          <cell r="E49">
            <v>41913</v>
          </cell>
          <cell r="F49">
            <v>0</v>
          </cell>
          <cell r="G49">
            <v>0</v>
          </cell>
          <cell r="H49">
            <v>0</v>
          </cell>
          <cell r="I49">
            <v>0</v>
          </cell>
          <cell r="J49">
            <v>0</v>
          </cell>
          <cell r="K49">
            <v>1.57</v>
          </cell>
          <cell r="L49">
            <v>0</v>
          </cell>
          <cell r="M49">
            <v>0</v>
          </cell>
        </row>
        <row r="50">
          <cell r="B50" t="str">
            <v>Erste Group</v>
          </cell>
          <cell r="C50" t="str">
            <v>HANS ENGEL</v>
          </cell>
          <cell r="D50" t="str">
            <v>buy</v>
          </cell>
          <cell r="E50">
            <v>41842</v>
          </cell>
          <cell r="F50">
            <v>0</v>
          </cell>
          <cell r="G50">
            <v>0</v>
          </cell>
          <cell r="H50">
            <v>0</v>
          </cell>
          <cell r="I50">
            <v>0</v>
          </cell>
          <cell r="J50">
            <v>0</v>
          </cell>
          <cell r="K50">
            <v>0</v>
          </cell>
          <cell r="L50">
            <v>0</v>
          </cell>
          <cell r="M50">
            <v>0</v>
          </cell>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243"/>
  <sheetViews>
    <sheetView showGridLines="0" tabSelected="1" topLeftCell="A4" zoomScale="80" zoomScaleNormal="80" workbookViewId="0">
      <pane xSplit="3" ySplit="7" topLeftCell="D11" activePane="bottomRight" state="frozen"/>
      <selection activeCell="A4" sqref="A4"/>
      <selection pane="topRight" activeCell="D4" sqref="D4"/>
      <selection pane="bottomLeft" activeCell="A11" sqref="A11"/>
      <selection pane="bottomRight" activeCell="J6" sqref="J6"/>
    </sheetView>
  </sheetViews>
  <sheetFormatPr defaultRowHeight="14.4" outlineLevelRow="1" outlineLevelCol="1" x14ac:dyDescent="0.3"/>
  <cols>
    <col min="1" max="1" width="1.6640625" customWidth="1"/>
    <col min="2" max="2" width="31.6640625" customWidth="1"/>
    <col min="3" max="3" width="26.109375" style="9" customWidth="1"/>
    <col min="4" max="5" width="12.33203125" style="111" customWidth="1" outlineLevel="1"/>
    <col min="6" max="7" width="12.33203125" style="112" customWidth="1" outlineLevel="1"/>
    <col min="8" max="8" width="12.33203125" style="112" customWidth="1"/>
    <col min="9" max="9" width="11.5546875" style="111" customWidth="1" outlineLevel="1"/>
    <col min="10" max="10" width="13.6640625" style="1" customWidth="1" outlineLevel="1"/>
    <col min="11" max="12" width="11.5546875" style="2" customWidth="1" outlineLevel="1"/>
    <col min="13" max="13" width="12.33203125" style="2" bestFit="1" customWidth="1"/>
    <col min="14" max="15" width="11.5546875" style="1" customWidth="1" outlineLevel="1"/>
    <col min="16" max="17" width="11.5546875" style="2" customWidth="1" outlineLevel="1"/>
    <col min="18" max="18" width="11.5546875" style="2" customWidth="1"/>
    <col min="19" max="19" width="4.33203125" customWidth="1"/>
    <col min="20" max="20" width="16.109375" customWidth="1"/>
  </cols>
  <sheetData>
    <row r="1" spans="1:25" s="43" customFormat="1" x14ac:dyDescent="0.3">
      <c r="A1" s="79"/>
      <c r="C1" s="44"/>
      <c r="D1" s="111"/>
      <c r="E1" s="111"/>
      <c r="F1" s="112"/>
      <c r="G1" s="112"/>
      <c r="H1" s="112"/>
      <c r="I1" s="111"/>
      <c r="J1" s="1"/>
      <c r="K1" s="2"/>
      <c r="L1" s="2"/>
      <c r="M1" s="2"/>
      <c r="N1" s="1"/>
      <c r="O1" s="1"/>
      <c r="P1" s="2"/>
      <c r="Q1" s="2"/>
      <c r="R1" s="2"/>
      <c r="Y1" s="79" t="s">
        <v>61</v>
      </c>
    </row>
    <row r="2" spans="1:25" ht="46.2" customHeight="1" x14ac:dyDescent="0.3">
      <c r="B2" s="242" t="s">
        <v>60</v>
      </c>
      <c r="C2" s="243"/>
    </row>
    <row r="3" spans="1:25" x14ac:dyDescent="0.3">
      <c r="B3" s="244" t="s">
        <v>48</v>
      </c>
      <c r="C3" s="245"/>
    </row>
    <row r="4" spans="1:25" x14ac:dyDescent="0.3">
      <c r="B4" s="246" t="s">
        <v>113</v>
      </c>
      <c r="C4" s="247"/>
    </row>
    <row r="5" spans="1:25" x14ac:dyDescent="0.3">
      <c r="B5" s="248" t="s">
        <v>222</v>
      </c>
      <c r="C5" s="249"/>
      <c r="F5" s="111"/>
      <c r="G5" s="111"/>
      <c r="I5" s="211"/>
      <c r="J5" s="15"/>
      <c r="K5" s="15"/>
      <c r="L5" s="15"/>
      <c r="M5" s="15"/>
      <c r="N5" s="15"/>
      <c r="O5" s="15"/>
      <c r="P5" s="15"/>
      <c r="Q5" s="15"/>
      <c r="R5" s="15"/>
    </row>
    <row r="6" spans="1:25" x14ac:dyDescent="0.3">
      <c r="B6" s="74" t="s">
        <v>27</v>
      </c>
      <c r="C6" s="75">
        <f>C216</f>
        <v>80.000000000000014</v>
      </c>
      <c r="F6" s="111"/>
      <c r="G6" s="111"/>
      <c r="I6" s="113"/>
      <c r="J6" s="15"/>
      <c r="K6" s="15"/>
      <c r="L6" s="15"/>
      <c r="M6" s="15"/>
      <c r="N6" s="15"/>
      <c r="O6" s="15"/>
      <c r="P6" s="15"/>
      <c r="Q6" s="15"/>
      <c r="R6" s="15"/>
    </row>
    <row r="7" spans="1:25" s="43" customFormat="1" x14ac:dyDescent="0.3">
      <c r="B7" s="49" t="s">
        <v>53</v>
      </c>
      <c r="C7" s="69" t="str">
        <f>TEXT(C225,"$0")&amp;" to "&amp;TEXT(C224,"$0")</f>
        <v>$74 to $86</v>
      </c>
      <c r="D7" s="111"/>
      <c r="E7" s="111"/>
      <c r="F7" s="111"/>
      <c r="G7" s="111"/>
      <c r="H7" s="111"/>
      <c r="I7" s="111"/>
      <c r="J7" s="10"/>
      <c r="K7" s="10"/>
      <c r="L7" s="10"/>
      <c r="M7" s="76"/>
      <c r="N7" s="10"/>
      <c r="O7" s="10"/>
      <c r="P7" s="10"/>
      <c r="Q7" s="10"/>
      <c r="R7" s="10"/>
    </row>
    <row r="8" spans="1:25" ht="4.5" customHeight="1" x14ac:dyDescent="0.3">
      <c r="C8" s="16"/>
      <c r="D8" s="113"/>
      <c r="E8" s="113"/>
      <c r="F8" s="113"/>
      <c r="G8" s="114"/>
      <c r="H8" s="115"/>
      <c r="I8" s="114"/>
      <c r="J8" s="13"/>
      <c r="K8" s="13"/>
      <c r="L8" s="15"/>
      <c r="M8" s="15"/>
      <c r="N8" s="13"/>
      <c r="O8" s="13"/>
      <c r="P8" s="13"/>
      <c r="Q8" s="15"/>
      <c r="R8" s="15"/>
    </row>
    <row r="9" spans="1:25" ht="15.6" x14ac:dyDescent="0.3">
      <c r="B9" s="238" t="s">
        <v>112</v>
      </c>
      <c r="C9" s="239"/>
      <c r="D9" s="116" t="s">
        <v>3</v>
      </c>
      <c r="E9" s="116" t="s">
        <v>4</v>
      </c>
      <c r="F9" s="116" t="s">
        <v>5</v>
      </c>
      <c r="G9" s="116" t="s">
        <v>7</v>
      </c>
      <c r="H9" s="116" t="s">
        <v>7</v>
      </c>
      <c r="I9" s="116" t="s">
        <v>8</v>
      </c>
      <c r="J9" s="39" t="s">
        <v>9</v>
      </c>
      <c r="K9" s="39" t="s">
        <v>10</v>
      </c>
      <c r="L9" s="39" t="s">
        <v>6</v>
      </c>
      <c r="M9" s="39" t="s">
        <v>6</v>
      </c>
      <c r="N9" s="39" t="s">
        <v>11</v>
      </c>
      <c r="O9" s="39" t="s">
        <v>12</v>
      </c>
      <c r="P9" s="39" t="s">
        <v>13</v>
      </c>
      <c r="Q9" s="39" t="s">
        <v>14</v>
      </c>
      <c r="R9" s="51" t="s">
        <v>14</v>
      </c>
    </row>
    <row r="10" spans="1:25" ht="16.2" x14ac:dyDescent="0.45">
      <c r="B10" s="240" t="s">
        <v>0</v>
      </c>
      <c r="C10" s="241"/>
      <c r="D10" s="117" t="s">
        <v>35</v>
      </c>
      <c r="E10" s="117" t="s">
        <v>36</v>
      </c>
      <c r="F10" s="117" t="s">
        <v>44</v>
      </c>
      <c r="G10" s="117" t="s">
        <v>51</v>
      </c>
      <c r="H10" s="117" t="s">
        <v>52</v>
      </c>
      <c r="I10" s="117" t="s">
        <v>114</v>
      </c>
      <c r="J10" s="40" t="s">
        <v>37</v>
      </c>
      <c r="K10" s="40" t="s">
        <v>38</v>
      </c>
      <c r="L10" s="40" t="s">
        <v>39</v>
      </c>
      <c r="M10" s="40" t="s">
        <v>24</v>
      </c>
      <c r="N10" s="40" t="s">
        <v>40</v>
      </c>
      <c r="O10" s="40" t="s">
        <v>41</v>
      </c>
      <c r="P10" s="40" t="s">
        <v>42</v>
      </c>
      <c r="Q10" s="40" t="s">
        <v>43</v>
      </c>
      <c r="R10" s="52" t="s">
        <v>25</v>
      </c>
    </row>
    <row r="11" spans="1:25" s="44" customFormat="1" x14ac:dyDescent="0.3">
      <c r="B11" s="252" t="s">
        <v>152</v>
      </c>
      <c r="C11" s="253"/>
      <c r="D11" s="160">
        <v>22778</v>
      </c>
      <c r="E11" s="162">
        <v>28512</v>
      </c>
      <c r="F11" s="162">
        <v>25792</v>
      </c>
      <c r="G11" s="162">
        <v>21893</v>
      </c>
      <c r="H11" s="163">
        <f>SUM(D11:G11)</f>
        <v>98975</v>
      </c>
      <c r="I11" s="162">
        <v>17409</v>
      </c>
      <c r="J11" s="162"/>
      <c r="K11" s="162"/>
      <c r="L11" s="162"/>
      <c r="M11" s="163"/>
      <c r="N11" s="162"/>
      <c r="O11" s="162"/>
      <c r="P11" s="162"/>
      <c r="Q11" s="162"/>
      <c r="R11" s="163"/>
    </row>
    <row r="12" spans="1:25" s="44" customFormat="1" x14ac:dyDescent="0.3">
      <c r="B12" s="151" t="s">
        <v>148</v>
      </c>
      <c r="C12" s="152"/>
      <c r="D12" s="160">
        <v>456</v>
      </c>
      <c r="E12" s="162">
        <v>407</v>
      </c>
      <c r="F12" s="162">
        <v>583</v>
      </c>
      <c r="G12" s="162">
        <v>127</v>
      </c>
      <c r="H12" s="163">
        <f t="shared" ref="H12:H14" si="0">SUM(D12:G12)</f>
        <v>1573</v>
      </c>
      <c r="I12" s="162">
        <v>333</v>
      </c>
      <c r="J12" s="222"/>
      <c r="K12" s="222"/>
      <c r="L12" s="222"/>
      <c r="M12" s="163"/>
      <c r="N12" s="222"/>
      <c r="O12" s="222"/>
      <c r="P12" s="222"/>
      <c r="Q12" s="222"/>
      <c r="R12" s="163"/>
    </row>
    <row r="13" spans="1:25" s="44" customFormat="1" x14ac:dyDescent="0.3">
      <c r="B13" s="151" t="s">
        <v>149</v>
      </c>
      <c r="C13" s="152"/>
      <c r="D13" s="160">
        <v>122</v>
      </c>
      <c r="E13" s="162">
        <v>139</v>
      </c>
      <c r="F13" s="162">
        <v>22</v>
      </c>
      <c r="G13" s="162">
        <v>0</v>
      </c>
      <c r="H13" s="163">
        <f t="shared" si="0"/>
        <v>283</v>
      </c>
      <c r="I13" s="162">
        <v>0</v>
      </c>
      <c r="J13" s="222"/>
      <c r="K13" s="222"/>
      <c r="L13" s="222"/>
      <c r="M13" s="163"/>
      <c r="N13" s="222"/>
      <c r="O13" s="222"/>
      <c r="P13" s="222"/>
      <c r="Q13" s="222"/>
      <c r="R13" s="163"/>
    </row>
    <row r="14" spans="1:25" s="44" customFormat="1" ht="16.2" x14ac:dyDescent="0.45">
      <c r="B14" s="151" t="s">
        <v>150</v>
      </c>
      <c r="C14" s="152"/>
      <c r="D14" s="168">
        <v>70</v>
      </c>
      <c r="E14" s="171">
        <v>19</v>
      </c>
      <c r="F14" s="171">
        <v>20</v>
      </c>
      <c r="G14" s="171">
        <v>9</v>
      </c>
      <c r="H14" s="170">
        <f t="shared" si="0"/>
        <v>118</v>
      </c>
      <c r="I14" s="171">
        <v>18</v>
      </c>
      <c r="J14" s="223"/>
      <c r="K14" s="223"/>
      <c r="L14" s="223"/>
      <c r="M14" s="170"/>
      <c r="N14" s="223"/>
      <c r="O14" s="223"/>
      <c r="P14" s="223"/>
      <c r="Q14" s="223"/>
      <c r="R14" s="170"/>
    </row>
    <row r="15" spans="1:25" s="44" customFormat="1" x14ac:dyDescent="0.3">
      <c r="B15" s="153" t="s">
        <v>151</v>
      </c>
      <c r="C15" s="152"/>
      <c r="D15" s="164">
        <f>SUM(D11:D14)</f>
        <v>23426</v>
      </c>
      <c r="E15" s="165">
        <f t="shared" ref="E15:G15" si="1">SUM(E11:E14)</f>
        <v>29077</v>
      </c>
      <c r="F15" s="165">
        <f t="shared" si="1"/>
        <v>26417</v>
      </c>
      <c r="G15" s="165">
        <f t="shared" si="1"/>
        <v>22029</v>
      </c>
      <c r="H15" s="166">
        <f>SUM(H11:H14)</f>
        <v>100949</v>
      </c>
      <c r="I15" s="167">
        <f>SUM(I11:I14)</f>
        <v>17760</v>
      </c>
      <c r="J15" s="167"/>
      <c r="K15" s="167"/>
      <c r="L15" s="167"/>
      <c r="M15" s="166"/>
      <c r="N15" s="167"/>
      <c r="O15" s="167"/>
      <c r="P15" s="167"/>
      <c r="Q15" s="167"/>
      <c r="R15" s="166"/>
    </row>
    <row r="16" spans="1:25" s="38" customFormat="1" ht="17.25" customHeight="1" x14ac:dyDescent="0.3">
      <c r="B16" s="252" t="s">
        <v>142</v>
      </c>
      <c r="C16" s="253"/>
      <c r="D16" s="160">
        <v>16695</v>
      </c>
      <c r="E16" s="162">
        <v>22253</v>
      </c>
      <c r="F16" s="162">
        <v>18580</v>
      </c>
      <c r="G16" s="162">
        <v>15871</v>
      </c>
      <c r="H16" s="163">
        <f>SUM(D16:G16)</f>
        <v>73399</v>
      </c>
      <c r="I16" s="162">
        <v>11930</v>
      </c>
      <c r="J16" s="162"/>
      <c r="K16" s="162"/>
      <c r="L16" s="162"/>
      <c r="M16" s="163"/>
      <c r="N16" s="162"/>
      <c r="O16" s="162"/>
      <c r="P16" s="162"/>
      <c r="Q16" s="162"/>
      <c r="R16" s="163"/>
    </row>
    <row r="17" spans="1:19" s="43" customFormat="1" x14ac:dyDescent="0.3">
      <c r="B17" s="53" t="s">
        <v>115</v>
      </c>
      <c r="C17" s="54"/>
      <c r="D17" s="160">
        <v>1094</v>
      </c>
      <c r="E17" s="162">
        <v>1043</v>
      </c>
      <c r="F17" s="162">
        <v>1083</v>
      </c>
      <c r="G17" s="173">
        <v>1074</v>
      </c>
      <c r="H17" s="163">
        <f t="shared" ref="H17:H21" si="2">SUM(D17:G17)</f>
        <v>4294</v>
      </c>
      <c r="I17" s="174">
        <v>1023</v>
      </c>
      <c r="J17" s="162"/>
      <c r="K17" s="162"/>
      <c r="L17" s="173"/>
      <c r="M17" s="163"/>
      <c r="N17" s="174"/>
      <c r="O17" s="162"/>
      <c r="P17" s="162"/>
      <c r="Q17" s="173"/>
      <c r="R17" s="163"/>
    </row>
    <row r="18" spans="1:19" s="43" customFormat="1" x14ac:dyDescent="0.3">
      <c r="B18" s="56" t="s">
        <v>143</v>
      </c>
      <c r="C18" s="48"/>
      <c r="D18" s="160">
        <v>394</v>
      </c>
      <c r="E18" s="162">
        <v>406</v>
      </c>
      <c r="F18" s="162">
        <v>437</v>
      </c>
      <c r="G18" s="173">
        <v>433</v>
      </c>
      <c r="H18" s="163">
        <f t="shared" si="2"/>
        <v>1670</v>
      </c>
      <c r="I18" s="174">
        <v>386</v>
      </c>
      <c r="J18" s="162"/>
      <c r="K18" s="162"/>
      <c r="L18" s="173"/>
      <c r="M18" s="163"/>
      <c r="N18" s="174"/>
      <c r="O18" s="162"/>
      <c r="P18" s="162"/>
      <c r="Q18" s="173"/>
      <c r="R18" s="163"/>
    </row>
    <row r="19" spans="1:19" s="154" customFormat="1" x14ac:dyDescent="0.3">
      <c r="A19" s="43"/>
      <c r="B19" s="148" t="s">
        <v>121</v>
      </c>
      <c r="C19" s="149"/>
      <c r="D19" s="160">
        <v>0</v>
      </c>
      <c r="E19" s="162">
        <v>2</v>
      </c>
      <c r="F19" s="162">
        <v>1</v>
      </c>
      <c r="G19" s="173">
        <v>4</v>
      </c>
      <c r="H19" s="163">
        <f t="shared" si="2"/>
        <v>7</v>
      </c>
      <c r="I19" s="174">
        <v>0</v>
      </c>
      <c r="J19" s="162"/>
      <c r="K19" s="162"/>
      <c r="L19" s="173"/>
      <c r="M19" s="163"/>
      <c r="N19" s="174"/>
      <c r="O19" s="162"/>
      <c r="P19" s="162"/>
      <c r="Q19" s="173"/>
      <c r="R19" s="163"/>
    </row>
    <row r="20" spans="1:19" s="44" customFormat="1" x14ac:dyDescent="0.3">
      <c r="B20" s="148" t="s">
        <v>145</v>
      </c>
      <c r="C20" s="149"/>
      <c r="D20" s="175">
        <v>3462</v>
      </c>
      <c r="E20" s="162">
        <v>3549</v>
      </c>
      <c r="F20" s="162">
        <v>3610</v>
      </c>
      <c r="G20" s="173">
        <v>3456</v>
      </c>
      <c r="H20" s="178">
        <f t="shared" si="2"/>
        <v>14077</v>
      </c>
      <c r="I20" s="174">
        <v>3461</v>
      </c>
      <c r="J20" s="162"/>
      <c r="K20" s="162"/>
      <c r="L20" s="173"/>
      <c r="M20" s="178"/>
      <c r="N20" s="174"/>
      <c r="O20" s="162"/>
      <c r="P20" s="162"/>
      <c r="Q20" s="173"/>
      <c r="R20" s="178"/>
    </row>
    <row r="21" spans="1:19" s="154" customFormat="1" x14ac:dyDescent="0.3">
      <c r="A21" s="43"/>
      <c r="B21" s="148" t="s">
        <v>146</v>
      </c>
      <c r="C21" s="149"/>
      <c r="D21" s="160">
        <v>5</v>
      </c>
      <c r="E21" s="162">
        <v>6</v>
      </c>
      <c r="F21" s="162">
        <v>5</v>
      </c>
      <c r="G21" s="173">
        <v>5</v>
      </c>
      <c r="H21" s="163">
        <f t="shared" si="2"/>
        <v>21</v>
      </c>
      <c r="I21" s="174">
        <v>5</v>
      </c>
      <c r="J21" s="162"/>
      <c r="K21" s="162"/>
      <c r="L21" s="173"/>
      <c r="M21" s="163"/>
      <c r="N21" s="174"/>
      <c r="O21" s="162"/>
      <c r="P21" s="162"/>
      <c r="Q21" s="173"/>
      <c r="R21" s="163"/>
    </row>
    <row r="22" spans="1:19" s="43" customFormat="1" ht="16.2" x14ac:dyDescent="0.45">
      <c r="B22" s="148" t="s">
        <v>147</v>
      </c>
      <c r="C22" s="149"/>
      <c r="D22" s="168">
        <v>49</v>
      </c>
      <c r="E22" s="171">
        <v>0</v>
      </c>
      <c r="F22" s="171">
        <v>1</v>
      </c>
      <c r="G22" s="209">
        <v>-1</v>
      </c>
      <c r="H22" s="170">
        <f>SUM(D22:G22)</f>
        <v>49</v>
      </c>
      <c r="I22" s="210">
        <v>-7</v>
      </c>
      <c r="J22" s="171"/>
      <c r="K22" s="171"/>
      <c r="L22" s="209"/>
      <c r="M22" s="170"/>
      <c r="N22" s="210"/>
      <c r="O22" s="171"/>
      <c r="P22" s="171"/>
      <c r="Q22" s="209"/>
      <c r="R22" s="170"/>
      <c r="S22" s="154"/>
    </row>
    <row r="23" spans="1:19" s="302" customFormat="1" x14ac:dyDescent="0.3">
      <c r="B23" s="303" t="s">
        <v>204</v>
      </c>
      <c r="C23" s="304"/>
      <c r="D23" s="306">
        <f>D15-(SUM(D16:D22))-D26</f>
        <v>1722</v>
      </c>
      <c r="E23" s="307">
        <f t="shared" ref="E23:I23" si="3">E15-(SUM(E16:E22))-E26</f>
        <v>1806</v>
      </c>
      <c r="F23" s="307">
        <f t="shared" si="3"/>
        <v>2695</v>
      </c>
      <c r="G23" s="308">
        <f t="shared" si="3"/>
        <v>1182</v>
      </c>
      <c r="H23" s="305">
        <f t="shared" si="3"/>
        <v>7405</v>
      </c>
      <c r="I23" s="309">
        <f t="shared" si="3"/>
        <v>959</v>
      </c>
      <c r="J23" s="324">
        <f>J61+J73+J89+J103+J109</f>
        <v>1800</v>
      </c>
      <c r="K23" s="324">
        <f>K61+K73+K89+K103+K109</f>
        <v>1925.9999999999995</v>
      </c>
      <c r="L23" s="325">
        <f>L61+L73+L89+L103+L109</f>
        <v>1271</v>
      </c>
      <c r="M23" s="305">
        <f>SUM(I23:L23)</f>
        <v>5956</v>
      </c>
      <c r="N23" s="326">
        <f>N61+N73+N89+N103+N109</f>
        <v>1408.9999999999998</v>
      </c>
      <c r="O23" s="307">
        <f>O61+O73+O89+O103+O109</f>
        <v>1700.0000000000002</v>
      </c>
      <c r="P23" s="307">
        <f>P61+P73+P89+P103+P109</f>
        <v>1903.2428571428572</v>
      </c>
      <c r="Q23" s="308">
        <f>Q61+Q73+Q89+Q103+Q109</f>
        <v>1449.8142857142857</v>
      </c>
      <c r="R23" s="305">
        <f>SUM(N23:Q23)</f>
        <v>6462.0571428571429</v>
      </c>
    </row>
    <row r="24" spans="1:19" s="43" customFormat="1" x14ac:dyDescent="0.3">
      <c r="B24" s="148" t="s">
        <v>144</v>
      </c>
      <c r="C24" s="149"/>
      <c r="D24" s="160">
        <v>253</v>
      </c>
      <c r="E24" s="162">
        <v>274</v>
      </c>
      <c r="F24" s="162">
        <v>270</v>
      </c>
      <c r="G24" s="173">
        <v>281</v>
      </c>
      <c r="H24" s="163">
        <f>SUM(D24:G24)</f>
        <v>1078</v>
      </c>
      <c r="I24" s="174">
        <v>280</v>
      </c>
      <c r="J24" s="162">
        <f>J60+J88+J102</f>
        <v>259</v>
      </c>
      <c r="K24" s="162">
        <f t="shared" ref="K24:L24" si="4">K60+K88+K102</f>
        <v>259</v>
      </c>
      <c r="L24" s="173">
        <f t="shared" si="4"/>
        <v>259</v>
      </c>
      <c r="M24" s="163">
        <f>SUM(I24:L24)</f>
        <v>1057</v>
      </c>
      <c r="N24" s="174">
        <f t="shared" ref="N24:Q24" si="5">N60+N88+N102</f>
        <v>259</v>
      </c>
      <c r="O24" s="162">
        <f t="shared" si="5"/>
        <v>259</v>
      </c>
      <c r="P24" s="162">
        <f t="shared" si="5"/>
        <v>259</v>
      </c>
      <c r="Q24" s="173">
        <f t="shared" si="5"/>
        <v>259</v>
      </c>
      <c r="R24" s="163">
        <f>SUM(N24:Q24)</f>
        <v>1036</v>
      </c>
    </row>
    <row r="25" spans="1:19" s="43" customFormat="1" x14ac:dyDescent="0.3">
      <c r="B25" s="53" t="s">
        <v>153</v>
      </c>
      <c r="C25" s="54"/>
      <c r="D25" s="160">
        <v>86</v>
      </c>
      <c r="E25" s="162">
        <v>79</v>
      </c>
      <c r="F25" s="162">
        <v>71</v>
      </c>
      <c r="G25" s="162">
        <v>74</v>
      </c>
      <c r="H25" s="163">
        <f>SUM(D25:G25)</f>
        <v>310</v>
      </c>
      <c r="I25" s="162">
        <v>86</v>
      </c>
      <c r="J25" s="318">
        <f>I25</f>
        <v>86</v>
      </c>
      <c r="K25" s="318">
        <f>AVERAGE(J25,I25)</f>
        <v>86</v>
      </c>
      <c r="L25" s="318">
        <f>AVERAGE(K25,J25)</f>
        <v>86</v>
      </c>
      <c r="M25" s="163">
        <f>SUM(I25:L25)</f>
        <v>344</v>
      </c>
      <c r="N25" s="318">
        <f>AVERAGE(L25,K25)</f>
        <v>86</v>
      </c>
      <c r="O25" s="318">
        <f>AVERAGE(N25,L25)</f>
        <v>86</v>
      </c>
      <c r="P25" s="318">
        <f>AVERAGE(O25,N25)</f>
        <v>86</v>
      </c>
      <c r="Q25" s="318">
        <f>AVERAGE(P25,O25)</f>
        <v>86</v>
      </c>
      <c r="R25" s="163">
        <f>SUM(N25:Q25)</f>
        <v>344</v>
      </c>
    </row>
    <row r="26" spans="1:19" s="295" customFormat="1" x14ac:dyDescent="0.3">
      <c r="B26" s="296" t="s">
        <v>203</v>
      </c>
      <c r="C26" s="297"/>
      <c r="D26" s="299">
        <f>D25-81</f>
        <v>5</v>
      </c>
      <c r="E26" s="300">
        <f>E25-67</f>
        <v>12</v>
      </c>
      <c r="F26" s="300">
        <f>F25-66</f>
        <v>5</v>
      </c>
      <c r="G26" s="300">
        <f>G25-69</f>
        <v>5</v>
      </c>
      <c r="H26" s="298">
        <f>SUM(D26:G26)</f>
        <v>27</v>
      </c>
      <c r="I26" s="300">
        <f>I25-83</f>
        <v>3</v>
      </c>
      <c r="J26" s="318">
        <f>AVERAGE(I26,G26)</f>
        <v>4</v>
      </c>
      <c r="K26" s="318">
        <f>AVERAGE(J26,I26)</f>
        <v>3.5</v>
      </c>
      <c r="L26" s="318">
        <f>AVERAGE(K26,J26)</f>
        <v>3.75</v>
      </c>
      <c r="M26" s="298">
        <f>SUM(I26:L26)</f>
        <v>14.25</v>
      </c>
      <c r="N26" s="318">
        <f>AVERAGE(L26,K26)</f>
        <v>3.625</v>
      </c>
      <c r="O26" s="318">
        <f>AVERAGE(N26,L26)</f>
        <v>3.6875</v>
      </c>
      <c r="P26" s="318">
        <f>AVERAGE(O26,N26)</f>
        <v>3.65625</v>
      </c>
      <c r="Q26" s="318">
        <f>AVERAGE(P26,O26)</f>
        <v>3.671875</v>
      </c>
      <c r="R26" s="298">
        <f>SUM(N26:Q26)</f>
        <v>14.640625</v>
      </c>
    </row>
    <row r="27" spans="1:19" s="45" customFormat="1" ht="16.2" x14ac:dyDescent="0.45">
      <c r="B27" s="155" t="s">
        <v>154</v>
      </c>
      <c r="C27" s="156"/>
      <c r="D27" s="179">
        <f>SUM(D16:D22)+D24+D25</f>
        <v>22038</v>
      </c>
      <c r="E27" s="179">
        <f t="shared" ref="E27:I27" si="6">SUM(E16:E22)+E24+E25</f>
        <v>27612</v>
      </c>
      <c r="F27" s="179">
        <f t="shared" si="6"/>
        <v>24058</v>
      </c>
      <c r="G27" s="179">
        <f t="shared" si="6"/>
        <v>21197</v>
      </c>
      <c r="H27" s="180">
        <f t="shared" si="6"/>
        <v>94905</v>
      </c>
      <c r="I27" s="179">
        <f t="shared" si="6"/>
        <v>17164</v>
      </c>
      <c r="J27" s="179"/>
      <c r="K27" s="179"/>
      <c r="L27" s="179"/>
      <c r="M27" s="180"/>
      <c r="N27" s="179"/>
      <c r="O27" s="179"/>
      <c r="P27" s="179"/>
      <c r="Q27" s="179"/>
      <c r="R27" s="180"/>
    </row>
    <row r="28" spans="1:19" x14ac:dyDescent="0.3">
      <c r="B28" s="250" t="s">
        <v>45</v>
      </c>
      <c r="C28" s="251"/>
      <c r="D28" s="165">
        <f>D15-D27</f>
        <v>1388</v>
      </c>
      <c r="E28" s="165">
        <f>E15-E27</f>
        <v>1465</v>
      </c>
      <c r="F28" s="165">
        <f>F15-F27</f>
        <v>2359</v>
      </c>
      <c r="G28" s="165">
        <f>G15-G27</f>
        <v>832</v>
      </c>
      <c r="H28" s="166">
        <f>H15-H27</f>
        <v>6044</v>
      </c>
      <c r="I28" s="165">
        <f>I15-I27</f>
        <v>596</v>
      </c>
      <c r="J28" s="165">
        <f>J23-J24-J25+J26</f>
        <v>1459</v>
      </c>
      <c r="K28" s="165">
        <f t="shared" ref="K28:R28" si="7">K23-K24-K25+K26</f>
        <v>1584.4999999999995</v>
      </c>
      <c r="L28" s="165">
        <f t="shared" si="7"/>
        <v>929.75</v>
      </c>
      <c r="M28" s="166">
        <f t="shared" si="7"/>
        <v>4569.25</v>
      </c>
      <c r="N28" s="165">
        <f t="shared" si="7"/>
        <v>1067.6249999999998</v>
      </c>
      <c r="O28" s="165">
        <f t="shared" si="7"/>
        <v>1358.6875000000002</v>
      </c>
      <c r="P28" s="165">
        <f t="shared" si="7"/>
        <v>1561.8991071428572</v>
      </c>
      <c r="Q28" s="165">
        <f t="shared" si="7"/>
        <v>1108.4861607142857</v>
      </c>
      <c r="R28" s="166">
        <f t="shared" si="7"/>
        <v>5096.6977678571429</v>
      </c>
    </row>
    <row r="29" spans="1:19" x14ac:dyDescent="0.3">
      <c r="B29" s="236" t="s">
        <v>49</v>
      </c>
      <c r="C29" s="237"/>
      <c r="D29" s="160">
        <v>391</v>
      </c>
      <c r="E29" s="162">
        <v>440</v>
      </c>
      <c r="F29" s="162">
        <v>767</v>
      </c>
      <c r="G29" s="162">
        <v>166</v>
      </c>
      <c r="H29" s="181">
        <f>SUM(D29:G29)</f>
        <v>1764</v>
      </c>
      <c r="I29" s="162">
        <v>198</v>
      </c>
      <c r="J29" s="162">
        <f>J28*J112</f>
        <v>510.65</v>
      </c>
      <c r="K29" s="162">
        <f t="shared" ref="K29:L29" si="8">K28*K112</f>
        <v>539.13305657580975</v>
      </c>
      <c r="L29" s="162">
        <f t="shared" si="8"/>
        <v>300.48179262059256</v>
      </c>
      <c r="M29" s="163">
        <f>SUM(I29:L29)</f>
        <v>1548.2648491964023</v>
      </c>
      <c r="N29" s="162">
        <f t="shared" ref="N29:Q29" si="9">N28*N112</f>
        <v>348.7930874999999</v>
      </c>
      <c r="O29" s="162">
        <f t="shared" si="9"/>
        <v>448.36687500000011</v>
      </c>
      <c r="P29" s="162">
        <f t="shared" si="9"/>
        <v>515.42670535714296</v>
      </c>
      <c r="Q29" s="162">
        <f t="shared" si="9"/>
        <v>365.80043303571432</v>
      </c>
      <c r="R29" s="163">
        <f>SUM(N29:Q29)</f>
        <v>1678.3871008928572</v>
      </c>
    </row>
    <row r="30" spans="1:19" s="43" customFormat="1" x14ac:dyDescent="0.3">
      <c r="B30" s="144" t="s">
        <v>141</v>
      </c>
      <c r="C30" s="146"/>
      <c r="D30" s="160">
        <v>0</v>
      </c>
      <c r="E30" s="162">
        <v>0</v>
      </c>
      <c r="F30" s="162">
        <v>0</v>
      </c>
      <c r="G30" s="162">
        <v>0</v>
      </c>
      <c r="H30" s="163">
        <f>SUM(D30:G30)</f>
        <v>0</v>
      </c>
      <c r="I30" s="167">
        <v>0</v>
      </c>
      <c r="J30" s="322">
        <f t="shared" ref="J30" si="10">AVERAGE(I30,G30)</f>
        <v>0</v>
      </c>
      <c r="K30" s="322">
        <f t="shared" ref="K30:L30" si="11">AVERAGE(J30,I30)</f>
        <v>0</v>
      </c>
      <c r="L30" s="322">
        <f t="shared" si="11"/>
        <v>0</v>
      </c>
      <c r="M30" s="166">
        <f t="shared" ref="M30:M31" si="12">SUM(I30:L30)</f>
        <v>0</v>
      </c>
      <c r="N30" s="322">
        <f t="shared" ref="N30:N31" si="13">AVERAGE(L30,K30)</f>
        <v>0</v>
      </c>
      <c r="O30" s="322">
        <f t="shared" ref="O30:O31" si="14">AVERAGE(N30,L30)</f>
        <v>0</v>
      </c>
      <c r="P30" s="322">
        <f t="shared" ref="P30:Q30" si="15">AVERAGE(O30,N30)</f>
        <v>0</v>
      </c>
      <c r="Q30" s="322">
        <f t="shared" si="15"/>
        <v>0</v>
      </c>
      <c r="R30" s="166">
        <f t="shared" ref="R30:R31" si="16">SUM(N30:Q30)</f>
        <v>0</v>
      </c>
    </row>
    <row r="31" spans="1:19" s="43" customFormat="1" ht="16.2" x14ac:dyDescent="0.45">
      <c r="B31" s="144" t="s">
        <v>155</v>
      </c>
      <c r="C31" s="146"/>
      <c r="D31" s="168">
        <v>10</v>
      </c>
      <c r="E31" s="171">
        <v>13</v>
      </c>
      <c r="F31" s="171">
        <v>14</v>
      </c>
      <c r="G31" s="171">
        <v>16</v>
      </c>
      <c r="H31" s="170">
        <f>SUM(D31:G31)</f>
        <v>53</v>
      </c>
      <c r="I31" s="171">
        <v>13</v>
      </c>
      <c r="J31" s="316">
        <f>AVERAGE(I31,G31)</f>
        <v>14.5</v>
      </c>
      <c r="K31" s="316">
        <f t="shared" ref="K31:L31" si="17">AVERAGE(J31,I31)</f>
        <v>13.75</v>
      </c>
      <c r="L31" s="316">
        <f t="shared" si="17"/>
        <v>14.125</v>
      </c>
      <c r="M31" s="170">
        <f t="shared" si="12"/>
        <v>55.375</v>
      </c>
      <c r="N31" s="316">
        <f t="shared" si="13"/>
        <v>13.9375</v>
      </c>
      <c r="O31" s="316">
        <f t="shared" si="14"/>
        <v>14.03125</v>
      </c>
      <c r="P31" s="316">
        <f t="shared" ref="P31:Q31" si="18">AVERAGE(O31,N31)</f>
        <v>13.984375</v>
      </c>
      <c r="Q31" s="316">
        <f t="shared" si="18"/>
        <v>14.0078125</v>
      </c>
      <c r="R31" s="170">
        <f t="shared" si="16"/>
        <v>55.9609375</v>
      </c>
    </row>
    <row r="32" spans="1:19" s="43" customFormat="1" x14ac:dyDescent="0.3">
      <c r="B32" s="157" t="s">
        <v>157</v>
      </c>
      <c r="C32" s="146"/>
      <c r="D32" s="164">
        <f>D28-D29+D30-D31</f>
        <v>987</v>
      </c>
      <c r="E32" s="165">
        <f t="shared" ref="E32:G32" si="19">E28-E29+E30-E31</f>
        <v>1012</v>
      </c>
      <c r="F32" s="165">
        <f t="shared" si="19"/>
        <v>1578</v>
      </c>
      <c r="G32" s="172">
        <f t="shared" si="19"/>
        <v>650</v>
      </c>
      <c r="H32" s="166">
        <f t="shared" ref="H32" si="20">H28-H29+H30-H31</f>
        <v>4227</v>
      </c>
      <c r="I32" s="167">
        <f t="shared" ref="I32" si="21">I28-I29+I30-I31</f>
        <v>385</v>
      </c>
      <c r="J32" s="167">
        <f>J28-J29+J30-J31</f>
        <v>933.85</v>
      </c>
      <c r="K32" s="167">
        <f t="shared" ref="K32" si="22">K28-K29+K30-K31</f>
        <v>1031.6169434241897</v>
      </c>
      <c r="L32" s="167">
        <f t="shared" ref="L32" si="23">L28-L29+L30-L31</f>
        <v>615.14320737940739</v>
      </c>
      <c r="M32" s="183">
        <f t="shared" ref="M32" si="24">M28-M29+M30-M31</f>
        <v>2965.6101508035977</v>
      </c>
      <c r="N32" s="167">
        <f t="shared" ref="N32" si="25">N28-N29+N30-N31</f>
        <v>704.89441249999982</v>
      </c>
      <c r="O32" s="167">
        <f t="shared" ref="O32" si="26">O28-O29+O30-O31</f>
        <v>896.28937500000006</v>
      </c>
      <c r="P32" s="167">
        <f t="shared" ref="P32" si="27">P28-P29+P30-P31</f>
        <v>1032.4880267857143</v>
      </c>
      <c r="Q32" s="167">
        <f t="shared" ref="Q32" si="28">Q28-Q29+Q30-Q31</f>
        <v>728.67791517857131</v>
      </c>
      <c r="R32" s="183">
        <f t="shared" ref="R32" si="29">R28-R29+R30-R31</f>
        <v>3362.3497294642857</v>
      </c>
    </row>
    <row r="33" spans="2:18" s="44" customFormat="1" ht="16.2" x14ac:dyDescent="0.45">
      <c r="B33" s="144" t="s">
        <v>219</v>
      </c>
      <c r="C33" s="145"/>
      <c r="D33" s="168">
        <f>D64+D76+D92+D106+D111</f>
        <v>153</v>
      </c>
      <c r="E33" s="171">
        <f t="shared" ref="E33:G33" si="30">E64+E76+E92+E106+E111</f>
        <v>10</v>
      </c>
      <c r="F33" s="171">
        <f t="shared" si="30"/>
        <v>-69</v>
      </c>
      <c r="G33" s="171">
        <f t="shared" si="30"/>
        <v>-60</v>
      </c>
      <c r="H33" s="170">
        <f>SUM(D33:G33)</f>
        <v>34</v>
      </c>
      <c r="I33" s="171">
        <f t="shared" ref="I33:L33" si="31">I64+I76+I92+I106+I111</f>
        <v>25</v>
      </c>
      <c r="J33" s="171">
        <f t="shared" si="31"/>
        <v>25</v>
      </c>
      <c r="K33" s="171">
        <f t="shared" si="31"/>
        <v>25</v>
      </c>
      <c r="L33" s="171">
        <f t="shared" si="31"/>
        <v>25</v>
      </c>
      <c r="M33" s="170">
        <f>SUM(I33:L33)</f>
        <v>100</v>
      </c>
      <c r="N33" s="171">
        <f t="shared" ref="N33:Q33" si="32">N64+N76+N92+N106+N111</f>
        <v>25</v>
      </c>
      <c r="O33" s="171">
        <f t="shared" si="32"/>
        <v>25</v>
      </c>
      <c r="P33" s="171">
        <f t="shared" si="32"/>
        <v>25</v>
      </c>
      <c r="Q33" s="171">
        <f t="shared" si="32"/>
        <v>25</v>
      </c>
      <c r="R33" s="170">
        <f>SUM(N33:Q33)</f>
        <v>100</v>
      </c>
    </row>
    <row r="34" spans="2:18" s="21" customFormat="1" x14ac:dyDescent="0.3">
      <c r="B34" s="250" t="s">
        <v>156</v>
      </c>
      <c r="C34" s="251"/>
      <c r="D34" s="164">
        <f>D32-D33</f>
        <v>834</v>
      </c>
      <c r="E34" s="167">
        <f t="shared" ref="E34:R34" si="33">E32-E33</f>
        <v>1002</v>
      </c>
      <c r="F34" s="167">
        <f t="shared" si="33"/>
        <v>1647</v>
      </c>
      <c r="G34" s="167">
        <f t="shared" si="33"/>
        <v>710</v>
      </c>
      <c r="H34" s="166">
        <f t="shared" si="33"/>
        <v>4193</v>
      </c>
      <c r="I34" s="167">
        <f t="shared" si="33"/>
        <v>360</v>
      </c>
      <c r="J34" s="167">
        <f>J32-J33</f>
        <v>908.85</v>
      </c>
      <c r="K34" s="167">
        <f t="shared" si="33"/>
        <v>1006.6169434241897</v>
      </c>
      <c r="L34" s="167">
        <f t="shared" si="33"/>
        <v>590.14320737940739</v>
      </c>
      <c r="M34" s="166">
        <f t="shared" si="33"/>
        <v>2865.6101508035977</v>
      </c>
      <c r="N34" s="167">
        <f t="shared" si="33"/>
        <v>679.89441249999982</v>
      </c>
      <c r="O34" s="167">
        <f t="shared" si="33"/>
        <v>871.28937500000006</v>
      </c>
      <c r="P34" s="167">
        <f t="shared" si="33"/>
        <v>1007.4880267857143</v>
      </c>
      <c r="Q34" s="167">
        <f t="shared" si="33"/>
        <v>703.67791517857131</v>
      </c>
      <c r="R34" s="166">
        <f t="shared" si="33"/>
        <v>3262.3497294642857</v>
      </c>
    </row>
    <row r="35" spans="2:18" x14ac:dyDescent="0.3">
      <c r="B35" s="236" t="s">
        <v>18</v>
      </c>
      <c r="C35" s="237"/>
      <c r="D35" s="160">
        <f>548200*1000/1000000</f>
        <v>548.20000000000005</v>
      </c>
      <c r="E35" s="162">
        <v>544.61699999999996</v>
      </c>
      <c r="F35" s="162">
        <f>540357*1000/1000000</f>
        <v>540.35699999999997</v>
      </c>
      <c r="G35" s="162">
        <f>536399*1000/1000000</f>
        <v>536.399</v>
      </c>
      <c r="H35" s="163">
        <v>542.35500000000002</v>
      </c>
      <c r="I35" s="162">
        <v>531.73900000000003</v>
      </c>
      <c r="J35" s="162">
        <f>I35*(1+J113)-J117</f>
        <v>527.89573899999994</v>
      </c>
      <c r="K35" s="162">
        <f>J35*(1+K113)-K117</f>
        <v>524.04863473899991</v>
      </c>
      <c r="L35" s="162">
        <f>K35*(1+L113)-L117</f>
        <v>520.19768337373887</v>
      </c>
      <c r="M35" s="163">
        <f>((I35*I32/M32)+(J35*J32/M32)+(K35*K32/M32)+(L35*L32/M32))</f>
        <v>525.45965039936823</v>
      </c>
      <c r="N35" s="162">
        <f>L35*(1+N113)-N117</f>
        <v>516.34288105711255</v>
      </c>
      <c r="O35" s="162">
        <f>N35*(1+O113)-O117</f>
        <v>512.48422393816963</v>
      </c>
      <c r="P35" s="162">
        <f>O35*(1+P113)-P117</f>
        <v>508.62170816210778</v>
      </c>
      <c r="Q35" s="162">
        <f>P35*(1+Q113)-Q117</f>
        <v>504.7553298702698</v>
      </c>
      <c r="R35" s="163">
        <f>((N35*N32/R32)+(O35*O32/R32)+(P35*P32/R32)+(Q35*Q32/R32))</f>
        <v>510.43210847714909</v>
      </c>
    </row>
    <row r="36" spans="2:18" ht="15.75" customHeight="1" x14ac:dyDescent="0.3">
      <c r="B36" s="236" t="s">
        <v>19</v>
      </c>
      <c r="C36" s="237"/>
      <c r="D36" s="160">
        <f>552337*1000/1000000</f>
        <v>552.33699999999999</v>
      </c>
      <c r="E36" s="162">
        <v>548.92600000000004</v>
      </c>
      <c r="F36" s="162">
        <f>544696*1000/1000000</f>
        <v>544.69600000000003</v>
      </c>
      <c r="G36" s="162">
        <f>540245*1000/1000000</f>
        <v>540.245</v>
      </c>
      <c r="H36" s="163">
        <v>546.97699999999998</v>
      </c>
      <c r="I36" s="162">
        <f>534709*1000/1000000</f>
        <v>534.70899999999995</v>
      </c>
      <c r="J36" s="162">
        <f>I36*(1+J114)-J117</f>
        <v>530.86870899999985</v>
      </c>
      <c r="K36" s="162">
        <f>J36*(1+K114)-K117</f>
        <v>527.0245777089998</v>
      </c>
      <c r="L36" s="162">
        <f>K36*(1+L114)-L117</f>
        <v>523.17660228670877</v>
      </c>
      <c r="M36" s="163">
        <f>((I36*I32/M32)+(J36*J32/M32)+(K36*K32/M32)+(L36*L32/M32))</f>
        <v>528.43450296293679</v>
      </c>
      <c r="N36" s="162">
        <f>L36*(1+N114)-N117</f>
        <v>519.32477888899541</v>
      </c>
      <c r="O36" s="162">
        <f>N36*(1+O114)-O117</f>
        <v>515.46910366788438</v>
      </c>
      <c r="P36" s="162">
        <f>O36*(1+P114)-P117</f>
        <v>511.60957277155217</v>
      </c>
      <c r="Q36" s="162">
        <f>P36*(1+Q114)-Q117</f>
        <v>507.74618234432364</v>
      </c>
      <c r="R36" s="163">
        <f>((N36*N32/R32)+(O36*O32/R32)+(P36*P32/R32)+(Q36*Q32/R32))</f>
        <v>513.41857404319376</v>
      </c>
    </row>
    <row r="37" spans="2:18" s="44" customFormat="1" ht="15.75" customHeight="1" x14ac:dyDescent="0.3">
      <c r="B37" s="236" t="s">
        <v>16</v>
      </c>
      <c r="C37" s="237"/>
      <c r="D37" s="310">
        <f>D32/D35</f>
        <v>1.8004377964246623</v>
      </c>
      <c r="E37" s="32">
        <f>E32/E35</f>
        <v>1.8581865788251195</v>
      </c>
      <c r="F37" s="32">
        <f>F32/F35</f>
        <v>2.9202915850076896</v>
      </c>
      <c r="G37" s="32">
        <f>G32/G35</f>
        <v>1.2117845111568069</v>
      </c>
      <c r="H37" s="33">
        <f>H32/H35</f>
        <v>7.7937882014547668</v>
      </c>
      <c r="I37" s="32">
        <f>I32/I35</f>
        <v>0.72403942535717702</v>
      </c>
      <c r="J37" s="32">
        <f>J32/J35</f>
        <v>1.7690046177849528</v>
      </c>
      <c r="K37" s="32">
        <f>K32/K35</f>
        <v>1.9685519149152673</v>
      </c>
      <c r="L37" s="32">
        <f>L32/L35</f>
        <v>1.1825181600000598</v>
      </c>
      <c r="M37" s="33">
        <f>M32/M35</f>
        <v>5.6438399191063047</v>
      </c>
      <c r="N37" s="32">
        <f>N32/N35</f>
        <v>1.3651672916587216</v>
      </c>
      <c r="O37" s="32">
        <f>O32/O35</f>
        <v>1.7489111530350949</v>
      </c>
      <c r="P37" s="32">
        <f>P32/P35</f>
        <v>2.0299723944473089</v>
      </c>
      <c r="Q37" s="32">
        <f>Q32/Q35</f>
        <v>1.44362599472868</v>
      </c>
      <c r="R37" s="33">
        <f>R32/R35</f>
        <v>6.5872614077819334</v>
      </c>
    </row>
    <row r="38" spans="2:18" x14ac:dyDescent="0.3">
      <c r="B38" s="250" t="s">
        <v>17</v>
      </c>
      <c r="C38" s="251"/>
      <c r="D38" s="311">
        <f>D32/D36</f>
        <v>1.7869525307918899</v>
      </c>
      <c r="E38" s="7">
        <f>E32/E36</f>
        <v>1.8436000480939141</v>
      </c>
      <c r="F38" s="7">
        <f>F32/F36</f>
        <v>2.8970288013864613</v>
      </c>
      <c r="G38" s="7">
        <f>G32/G36</f>
        <v>1.2031578265416616</v>
      </c>
      <c r="H38" s="42">
        <f>H32/H36</f>
        <v>7.7279300592163844</v>
      </c>
      <c r="I38" s="7">
        <f>I32/I36</f>
        <v>0.72001780407660998</v>
      </c>
      <c r="J38" s="7">
        <f>J32/J36</f>
        <v>1.7590978412705811</v>
      </c>
      <c r="K38" s="7">
        <f>K32/K36</f>
        <v>1.957436117891648</v>
      </c>
      <c r="L38" s="7">
        <f>L32/L36</f>
        <v>1.1757850115825699</v>
      </c>
      <c r="M38" s="42">
        <f>M32/M36</f>
        <v>5.6120675962212836</v>
      </c>
      <c r="N38" s="7">
        <f>N32/N36</f>
        <v>1.3573286720652886</v>
      </c>
      <c r="O38" s="7">
        <f>O32/O36</f>
        <v>1.7387838933940789</v>
      </c>
      <c r="P38" s="7">
        <f>P32/P36</f>
        <v>2.018117098928383</v>
      </c>
      <c r="Q38" s="7">
        <f>Q32/Q36</f>
        <v>1.4351223909044082</v>
      </c>
      <c r="R38" s="42">
        <f>R32/R36</f>
        <v>6.5489444664723253</v>
      </c>
    </row>
    <row r="39" spans="2:18" s="44" customFormat="1" x14ac:dyDescent="0.3">
      <c r="B39" s="236" t="s">
        <v>20</v>
      </c>
      <c r="C39" s="237"/>
      <c r="D39" s="36">
        <f>D34/D36</f>
        <v>1.5099477311858522</v>
      </c>
      <c r="E39" s="36">
        <f t="shared" ref="E39:R39" si="34">E34/E36</f>
        <v>1.8253826563143301</v>
      </c>
      <c r="F39" s="36">
        <f t="shared" si="34"/>
        <v>3.0237049657056412</v>
      </c>
      <c r="G39" s="36">
        <f t="shared" si="34"/>
        <v>1.3142185489916611</v>
      </c>
      <c r="H39" s="33">
        <f t="shared" si="34"/>
        <v>7.6657702243421575</v>
      </c>
      <c r="I39" s="32">
        <f t="shared" si="34"/>
        <v>0.67326340121449246</v>
      </c>
      <c r="J39" s="327">
        <f t="shared" si="34"/>
        <v>1.7120052182243053</v>
      </c>
      <c r="K39" s="327">
        <f t="shared" si="34"/>
        <v>1.9100000000000001</v>
      </c>
      <c r="L39" s="327">
        <f t="shared" si="34"/>
        <v>1.1279999999999999</v>
      </c>
      <c r="M39" s="33">
        <f t="shared" si="34"/>
        <v>5.422829385167125</v>
      </c>
      <c r="N39" s="327">
        <f t="shared" si="34"/>
        <v>1.3091892398327596</v>
      </c>
      <c r="O39" s="32">
        <f t="shared" si="34"/>
        <v>1.6902843813532806</v>
      </c>
      <c r="P39" s="32">
        <f t="shared" si="34"/>
        <v>1.9692517114717585</v>
      </c>
      <c r="Q39" s="32">
        <f t="shared" si="34"/>
        <v>1.3858851915530077</v>
      </c>
      <c r="R39" s="33">
        <f t="shared" si="34"/>
        <v>6.3541716143479938</v>
      </c>
    </row>
    <row r="40" spans="2:18" s="9" customFormat="1" x14ac:dyDescent="0.3">
      <c r="B40" s="30" t="s">
        <v>28</v>
      </c>
      <c r="C40" s="31"/>
      <c r="D40" s="36">
        <v>0.5</v>
      </c>
      <c r="E40" s="32">
        <v>0.56000000000000005</v>
      </c>
      <c r="F40" s="32">
        <v>0.56000000000000005</v>
      </c>
      <c r="G40" s="32">
        <v>0.56000000000000005</v>
      </c>
      <c r="H40" s="33">
        <f>SUM(D40:G40)</f>
        <v>2.1800000000000002</v>
      </c>
      <c r="I40" s="32">
        <v>0.56000000000000005</v>
      </c>
      <c r="J40" s="218">
        <v>0.63</v>
      </c>
      <c r="K40" s="218">
        <f>J40</f>
        <v>0.63</v>
      </c>
      <c r="L40" s="218">
        <f>K40</f>
        <v>0.63</v>
      </c>
      <c r="M40" s="33">
        <f>SUM(I40:L40)</f>
        <v>2.4499999999999997</v>
      </c>
      <c r="N40" s="218">
        <f>L40</f>
        <v>0.63</v>
      </c>
      <c r="O40" s="218">
        <f>N40</f>
        <v>0.63</v>
      </c>
      <c r="P40" s="218">
        <f>O40</f>
        <v>0.63</v>
      </c>
      <c r="Q40" s="218">
        <f>P40</f>
        <v>0.63</v>
      </c>
      <c r="R40" s="33">
        <f>SUM(N40:Q40)</f>
        <v>2.52</v>
      </c>
    </row>
    <row r="41" spans="2:18" x14ac:dyDescent="0.3">
      <c r="B41" s="17"/>
      <c r="C41" s="20"/>
      <c r="D41" s="50">
        <f>ROUND(((D32-D58-D70-D98-D85-D108)+(D23-D61-D73-D89-D103-D109)),0)</f>
        <v>-5</v>
      </c>
      <c r="E41" s="50">
        <f>ROUND(((E32-E58-E70-E98-E85-E108)+(E23-E61-E73-E89-E103-E109)),0)</f>
        <v>-14</v>
      </c>
      <c r="F41" s="50">
        <f>ROUND(((F32-F58-F70-F98-F85-F108)+(F23-F61-F73-F89-F103-F109)),0)</f>
        <v>-19</v>
      </c>
      <c r="G41" s="50">
        <f>ROUND(((G32-G58-G70-G98-G85-G108)+(G23-G61-G73-G89-G103-G109)),0)</f>
        <v>-9</v>
      </c>
      <c r="H41" s="118"/>
      <c r="I41" s="50">
        <f>ROUND(((I32-I58-I70-I98-I85-I108)+(I23-I61-I73-I89-I103-I109)),0)</f>
        <v>-8</v>
      </c>
      <c r="J41" s="50">
        <f>ROUND(((J32-J58-J70-J98-J85-J108)+(J23-J61-J73-J89-J103-J109)),0)</f>
        <v>-74</v>
      </c>
      <c r="K41" s="50">
        <f>ROUND(((K32-K58-K70-K98-K85-K108)+(K23-K61-K73-K89-K103-K109)),0)</f>
        <v>-64</v>
      </c>
      <c r="L41" s="50">
        <f>ROUND(((L32-L58-L70-L98-L85-L108)+(L23-L61-L73-L89-L103-L109)),0)</f>
        <v>-22</v>
      </c>
      <c r="M41" s="50"/>
      <c r="N41" s="50">
        <f>ROUND(((N32-N58-N70-N98-N85-N108)+(N23-N61-N73-N89-N103-N109)),0)</f>
        <v>-29</v>
      </c>
      <c r="O41" s="50">
        <f>ROUND(((O32-O58-O70-O98-O85-O108)+(O23-O61-O73-O89-O103-O109)),0)</f>
        <v>-41</v>
      </c>
      <c r="P41" s="50">
        <f>ROUND(((P32-P58-P70-P98-P85-P108)+(P23-P61-P73-P89-P103-P109)),0)</f>
        <v>-47</v>
      </c>
      <c r="Q41" s="50">
        <f>ROUND(((Q32-Q58-Q70-Q98-Q85-Q108)+(Q23-Q61-Q73-Q89-Q103-Q109)),0)</f>
        <v>-34</v>
      </c>
      <c r="R41" s="50"/>
    </row>
    <row r="42" spans="2:18" ht="15.6" x14ac:dyDescent="0.3">
      <c r="B42" s="238" t="s">
        <v>15</v>
      </c>
      <c r="C42" s="239"/>
      <c r="D42" s="116" t="s">
        <v>3</v>
      </c>
      <c r="E42" s="116" t="s">
        <v>4</v>
      </c>
      <c r="F42" s="116" t="s">
        <v>5</v>
      </c>
      <c r="G42" s="116" t="s">
        <v>7</v>
      </c>
      <c r="H42" s="116" t="s">
        <v>7</v>
      </c>
      <c r="I42" s="116" t="s">
        <v>8</v>
      </c>
      <c r="J42" s="46" t="s">
        <v>9</v>
      </c>
      <c r="K42" s="46" t="s">
        <v>10</v>
      </c>
      <c r="L42" s="46" t="s">
        <v>6</v>
      </c>
      <c r="M42" s="46" t="s">
        <v>6</v>
      </c>
      <c r="N42" s="46" t="s">
        <v>11</v>
      </c>
      <c r="O42" s="46" t="s">
        <v>12</v>
      </c>
      <c r="P42" s="46" t="s">
        <v>13</v>
      </c>
      <c r="Q42" s="46" t="s">
        <v>14</v>
      </c>
      <c r="R42" s="51" t="s">
        <v>14</v>
      </c>
    </row>
    <row r="43" spans="2:18" ht="16.2" x14ac:dyDescent="0.45">
      <c r="B43" s="240" t="s">
        <v>47</v>
      </c>
      <c r="C43" s="241"/>
      <c r="D43" s="117" t="s">
        <v>35</v>
      </c>
      <c r="E43" s="117" t="s">
        <v>36</v>
      </c>
      <c r="F43" s="117" t="s">
        <v>44</v>
      </c>
      <c r="G43" s="117" t="s">
        <v>51</v>
      </c>
      <c r="H43" s="117" t="s">
        <v>52</v>
      </c>
      <c r="I43" s="117" t="s">
        <v>114</v>
      </c>
      <c r="J43" s="47" t="s">
        <v>37</v>
      </c>
      <c r="K43" s="47" t="s">
        <v>38</v>
      </c>
      <c r="L43" s="47" t="s">
        <v>39</v>
      </c>
      <c r="M43" s="47" t="s">
        <v>24</v>
      </c>
      <c r="N43" s="47" t="s">
        <v>40</v>
      </c>
      <c r="O43" s="47" t="s">
        <v>41</v>
      </c>
      <c r="P43" s="47" t="s">
        <v>42</v>
      </c>
      <c r="Q43" s="47" t="s">
        <v>43</v>
      </c>
      <c r="R43" s="52" t="s">
        <v>25</v>
      </c>
    </row>
    <row r="44" spans="2:18" s="45" customFormat="1" ht="15" thickBot="1" x14ac:dyDescent="0.35">
      <c r="B44" s="236" t="s">
        <v>164</v>
      </c>
      <c r="C44" s="237"/>
      <c r="D44" s="37">
        <f>31+28+31</f>
        <v>90</v>
      </c>
      <c r="E44" s="37">
        <f>30+31+30</f>
        <v>91</v>
      </c>
      <c r="F44" s="37">
        <f>31+31+30</f>
        <v>92</v>
      </c>
      <c r="G44" s="37">
        <f>31+30+31</f>
        <v>92</v>
      </c>
      <c r="H44" s="26"/>
      <c r="I44" s="37">
        <f>31+29+31</f>
        <v>91</v>
      </c>
      <c r="J44" s="37">
        <f>30+31+30</f>
        <v>91</v>
      </c>
      <c r="K44" s="37">
        <f>31+31+30</f>
        <v>92</v>
      </c>
      <c r="L44" s="37">
        <f>31+30+31</f>
        <v>92</v>
      </c>
      <c r="M44" s="26"/>
      <c r="N44" s="37">
        <f>31+28+31</f>
        <v>90</v>
      </c>
      <c r="O44" s="37">
        <f>30+31+30</f>
        <v>91</v>
      </c>
      <c r="P44" s="37">
        <f>31+31+30</f>
        <v>92</v>
      </c>
      <c r="Q44" s="37">
        <f>31+30+31</f>
        <v>92</v>
      </c>
      <c r="R44" s="26"/>
    </row>
    <row r="45" spans="2:18" s="45" customFormat="1" x14ac:dyDescent="0.3">
      <c r="B45" s="272" t="s">
        <v>169</v>
      </c>
      <c r="C45" s="273"/>
      <c r="D45" s="275"/>
      <c r="E45" s="275"/>
      <c r="F45" s="275"/>
      <c r="G45" s="275"/>
      <c r="H45" s="274"/>
      <c r="I45" s="275"/>
      <c r="J45" s="275"/>
      <c r="K45" s="275"/>
      <c r="L45" s="275"/>
      <c r="M45" s="274"/>
      <c r="N45" s="275"/>
      <c r="O45" s="275"/>
      <c r="P45" s="275"/>
      <c r="Q45" s="275"/>
      <c r="R45" s="274"/>
    </row>
    <row r="46" spans="2:18" s="45" customFormat="1" outlineLevel="1" x14ac:dyDescent="0.3">
      <c r="B46" s="214" t="s">
        <v>165</v>
      </c>
      <c r="C46" s="215"/>
      <c r="D46" s="119">
        <v>0.49</v>
      </c>
      <c r="E46" s="119">
        <v>0.48</v>
      </c>
      <c r="F46" s="119">
        <v>0.42</v>
      </c>
      <c r="G46" s="119">
        <v>0.42</v>
      </c>
      <c r="H46" s="120"/>
      <c r="I46" s="119">
        <v>0.37</v>
      </c>
      <c r="J46" s="119"/>
      <c r="K46" s="119"/>
      <c r="L46" s="119"/>
      <c r="M46" s="120"/>
      <c r="N46" s="119"/>
      <c r="O46" s="119"/>
      <c r="P46" s="119"/>
      <c r="Q46" s="119"/>
      <c r="R46" s="120"/>
    </row>
    <row r="47" spans="2:18" s="45" customFormat="1" outlineLevel="1" x14ac:dyDescent="0.3">
      <c r="B47" s="214" t="s">
        <v>170</v>
      </c>
      <c r="C47" s="215"/>
      <c r="D47" s="119">
        <v>2.87</v>
      </c>
      <c r="E47" s="119">
        <v>2.72</v>
      </c>
      <c r="F47" s="119">
        <v>2.74</v>
      </c>
      <c r="G47" s="119">
        <v>2.08</v>
      </c>
      <c r="H47" s="120"/>
      <c r="I47" s="119">
        <v>1.98</v>
      </c>
      <c r="J47" s="119"/>
      <c r="K47" s="119"/>
      <c r="L47" s="119"/>
      <c r="M47" s="120"/>
      <c r="N47" s="119"/>
      <c r="O47" s="119"/>
      <c r="P47" s="119"/>
      <c r="Q47" s="119"/>
      <c r="R47" s="120"/>
    </row>
    <row r="48" spans="2:18" s="45" customFormat="1" outlineLevel="1" x14ac:dyDescent="0.3">
      <c r="B48" s="214" t="s">
        <v>168</v>
      </c>
      <c r="C48" s="215"/>
      <c r="D48" s="119">
        <v>48.55</v>
      </c>
      <c r="E48" s="119">
        <v>57.84</v>
      </c>
      <c r="F48" s="119">
        <v>46.37</v>
      </c>
      <c r="G48" s="119">
        <v>42.1</v>
      </c>
      <c r="H48" s="120"/>
      <c r="I48" s="119">
        <v>33.270000000000003</v>
      </c>
      <c r="J48" s="119"/>
      <c r="K48" s="119"/>
      <c r="L48" s="119"/>
      <c r="M48" s="120"/>
      <c r="N48" s="119"/>
      <c r="O48" s="119"/>
      <c r="P48" s="119"/>
      <c r="Q48" s="119"/>
      <c r="R48" s="120"/>
    </row>
    <row r="49" spans="2:20" s="45" customFormat="1" outlineLevel="1" x14ac:dyDescent="0.3">
      <c r="B49" s="214" t="s">
        <v>166</v>
      </c>
      <c r="C49" s="215"/>
      <c r="D49" s="37">
        <v>3145</v>
      </c>
      <c r="E49" s="37">
        <v>3290</v>
      </c>
      <c r="F49" s="37">
        <v>3239</v>
      </c>
      <c r="G49" s="37">
        <v>3381</v>
      </c>
      <c r="H49" s="26"/>
      <c r="I49" s="37">
        <v>3488</v>
      </c>
      <c r="J49" s="91">
        <v>3600</v>
      </c>
      <c r="K49" s="91">
        <v>3600</v>
      </c>
      <c r="L49" s="91">
        <v>3600</v>
      </c>
      <c r="M49" s="26"/>
      <c r="N49" s="91">
        <v>3200</v>
      </c>
      <c r="O49" s="91">
        <v>3600</v>
      </c>
      <c r="P49" s="91">
        <v>3600</v>
      </c>
      <c r="Q49" s="91">
        <v>3600</v>
      </c>
      <c r="R49" s="26"/>
    </row>
    <row r="50" spans="2:20" s="45" customFormat="1" outlineLevel="1" x14ac:dyDescent="0.3">
      <c r="B50" s="214" t="s">
        <v>167</v>
      </c>
      <c r="C50" s="215"/>
      <c r="D50" s="37">
        <v>1983</v>
      </c>
      <c r="E50" s="37">
        <v>1969</v>
      </c>
      <c r="F50" s="37">
        <v>2021</v>
      </c>
      <c r="G50" s="37">
        <v>1953</v>
      </c>
      <c r="H50" s="26"/>
      <c r="I50" s="37">
        <v>2209</v>
      </c>
      <c r="J50" s="91">
        <v>2200</v>
      </c>
      <c r="K50" s="91">
        <v>2200</v>
      </c>
      <c r="L50" s="91">
        <v>2200</v>
      </c>
      <c r="M50" s="26"/>
      <c r="N50" s="91">
        <v>2200</v>
      </c>
      <c r="O50" s="91">
        <v>2200</v>
      </c>
      <c r="P50" s="91">
        <v>2200</v>
      </c>
      <c r="Q50" s="91">
        <v>2200</v>
      </c>
      <c r="R50" s="26"/>
    </row>
    <row r="51" spans="2:20" s="45" customFormat="1" outlineLevel="1" x14ac:dyDescent="0.3">
      <c r="B51" s="214" t="s">
        <v>171</v>
      </c>
      <c r="C51" s="215"/>
      <c r="D51" s="37">
        <v>108</v>
      </c>
      <c r="E51" s="37">
        <v>108</v>
      </c>
      <c r="F51" s="37">
        <v>110</v>
      </c>
      <c r="G51" s="37">
        <v>123</v>
      </c>
      <c r="H51" s="26"/>
      <c r="I51" s="37">
        <v>161</v>
      </c>
      <c r="J51" s="91">
        <v>160</v>
      </c>
      <c r="K51" s="91">
        <v>160</v>
      </c>
      <c r="L51" s="91">
        <v>160</v>
      </c>
      <c r="M51" s="26"/>
      <c r="N51" s="91">
        <v>160</v>
      </c>
      <c r="O51" s="91">
        <v>160</v>
      </c>
      <c r="P51" s="91">
        <v>160</v>
      </c>
      <c r="Q51" s="91">
        <v>160</v>
      </c>
      <c r="R51" s="26"/>
    </row>
    <row r="52" spans="2:20" s="55" customFormat="1" ht="14.4" customHeight="1" outlineLevel="1" x14ac:dyDescent="0.3">
      <c r="B52" s="264" t="s">
        <v>158</v>
      </c>
      <c r="C52" s="265"/>
      <c r="D52" s="276"/>
      <c r="E52" s="276"/>
      <c r="F52" s="276"/>
      <c r="G52" s="276"/>
      <c r="H52" s="277"/>
      <c r="I52" s="276"/>
      <c r="J52" s="278"/>
      <c r="K52" s="278"/>
      <c r="L52" s="278"/>
      <c r="M52" s="279"/>
      <c r="N52" s="278"/>
      <c r="O52" s="278"/>
      <c r="P52" s="278"/>
      <c r="Q52" s="278"/>
      <c r="R52" s="279"/>
    </row>
    <row r="53" spans="2:20" s="150" customFormat="1" ht="14.4" customHeight="1" outlineLevel="1" x14ac:dyDescent="0.3">
      <c r="B53" s="216" t="s">
        <v>195</v>
      </c>
      <c r="C53" s="217"/>
      <c r="D53" s="187">
        <v>65</v>
      </c>
      <c r="E53" s="187">
        <v>65</v>
      </c>
      <c r="F53" s="187">
        <v>77</v>
      </c>
      <c r="G53" s="187">
        <v>81</v>
      </c>
      <c r="H53" s="188"/>
      <c r="I53" s="187">
        <v>72</v>
      </c>
      <c r="J53" s="187">
        <f>(J49+J50)*J54*J44/1000</f>
        <v>79.17</v>
      </c>
      <c r="K53" s="187">
        <f>(K49+K50)*K54*K44/1000</f>
        <v>74.704000000000008</v>
      </c>
      <c r="L53" s="187">
        <f>(L49+L50)*L54*L44/1000</f>
        <v>74.704000000000008</v>
      </c>
      <c r="M53" s="188"/>
      <c r="N53" s="187">
        <f>(N49+N50)*N54*N44/1000</f>
        <v>68.04000000000002</v>
      </c>
      <c r="O53" s="187">
        <f>(O49+O50)*O54*O44/1000</f>
        <v>73.89200000000001</v>
      </c>
      <c r="P53" s="187">
        <f>(P49+P50)*P54*P44/1000</f>
        <v>74.704000000000008</v>
      </c>
      <c r="Q53" s="187">
        <f>(Q49+Q50)*Q54*Q44/1000</f>
        <v>74.704000000000008</v>
      </c>
      <c r="R53" s="188"/>
      <c r="S53" s="289"/>
      <c r="T53" s="290"/>
    </row>
    <row r="54" spans="2:20" s="55" customFormat="1" ht="14.4" customHeight="1" outlineLevel="1" x14ac:dyDescent="0.3">
      <c r="B54" s="214" t="s">
        <v>172</v>
      </c>
      <c r="C54" s="215"/>
      <c r="D54" s="60">
        <f>D53/((D49+D50)*D44/1000)</f>
        <v>0.14083896689200903</v>
      </c>
      <c r="E54" s="60">
        <f>E53/((E49+E50)*E44/1000)</f>
        <v>0.13582158476625106</v>
      </c>
      <c r="F54" s="60">
        <f>F53/((F49+F50)*F44/1000)</f>
        <v>0.15911720945610844</v>
      </c>
      <c r="G54" s="60">
        <f>G53/((G49+G50)*G44/1000)</f>
        <v>0.16506088912798944</v>
      </c>
      <c r="H54" s="26"/>
      <c r="I54" s="60">
        <f>I53/((I49+I50)*I44/1000)</f>
        <v>0.13888165546933318</v>
      </c>
      <c r="J54" s="62">
        <v>0.15</v>
      </c>
      <c r="K54" s="62">
        <v>0.14000000000000001</v>
      </c>
      <c r="L54" s="62">
        <v>0.14000000000000001</v>
      </c>
      <c r="M54" s="61"/>
      <c r="N54" s="62">
        <v>0.14000000000000001</v>
      </c>
      <c r="O54" s="62">
        <v>0.14000000000000001</v>
      </c>
      <c r="P54" s="62">
        <v>0.14000000000000001</v>
      </c>
      <c r="Q54" s="62">
        <v>0.14000000000000001</v>
      </c>
      <c r="R54" s="61"/>
      <c r="S54" s="14"/>
      <c r="T54" s="221"/>
    </row>
    <row r="55" spans="2:20" s="150" customFormat="1" ht="14.4" customHeight="1" outlineLevel="1" x14ac:dyDescent="0.3">
      <c r="B55" s="216" t="s">
        <v>196</v>
      </c>
      <c r="C55" s="217"/>
      <c r="D55" s="187">
        <v>-12</v>
      </c>
      <c r="E55" s="187">
        <v>-151</v>
      </c>
      <c r="F55" s="187">
        <v>-2</v>
      </c>
      <c r="G55" s="187">
        <v>-159</v>
      </c>
      <c r="H55" s="188"/>
      <c r="I55" s="187">
        <v>4</v>
      </c>
      <c r="J55" s="291">
        <f>I55</f>
        <v>4</v>
      </c>
      <c r="K55" s="291">
        <f>J55</f>
        <v>4</v>
      </c>
      <c r="L55" s="291">
        <f>K55</f>
        <v>4</v>
      </c>
      <c r="M55" s="188"/>
      <c r="N55" s="291">
        <f>L55</f>
        <v>4</v>
      </c>
      <c r="O55" s="291">
        <f>N55</f>
        <v>4</v>
      </c>
      <c r="P55" s="291">
        <f>O55</f>
        <v>4</v>
      </c>
      <c r="Q55" s="291">
        <f>P55</f>
        <v>4</v>
      </c>
      <c r="R55" s="188"/>
      <c r="S55" s="289"/>
      <c r="T55" s="290"/>
    </row>
    <row r="56" spans="2:20" s="150" customFormat="1" ht="14.4" customHeight="1" outlineLevel="1" x14ac:dyDescent="0.3">
      <c r="B56" s="216" t="s">
        <v>197</v>
      </c>
      <c r="C56" s="217"/>
      <c r="D56" s="187">
        <v>14</v>
      </c>
      <c r="E56" s="187">
        <v>8</v>
      </c>
      <c r="F56" s="187">
        <v>26</v>
      </c>
      <c r="G56" s="187">
        <v>1</v>
      </c>
      <c r="H56" s="188"/>
      <c r="I56" s="187">
        <v>-11</v>
      </c>
      <c r="J56" s="187">
        <f>(J51)*J57*J44/1000</f>
        <v>3.64</v>
      </c>
      <c r="K56" s="187">
        <f>(K51)*K57*K44/1000</f>
        <v>7.36</v>
      </c>
      <c r="L56" s="187">
        <f>(L51)*L57*L44/1000</f>
        <v>11.776</v>
      </c>
      <c r="M56" s="188"/>
      <c r="N56" s="187">
        <f>(N51)*N57*N44/1000</f>
        <v>11.52</v>
      </c>
      <c r="O56" s="187">
        <f>(O51)*O57*O44/1000</f>
        <v>11.648</v>
      </c>
      <c r="P56" s="187">
        <f>(P51)*P57*P44/1000</f>
        <v>11.776</v>
      </c>
      <c r="Q56" s="187">
        <f>(Q51)*Q57*Q44/1000</f>
        <v>11.776</v>
      </c>
      <c r="R56" s="188"/>
      <c r="S56" s="289"/>
      <c r="T56" s="290"/>
    </row>
    <row r="57" spans="2:20" s="55" customFormat="1" ht="14.4" customHeight="1" outlineLevel="1" x14ac:dyDescent="0.45">
      <c r="B57" s="214" t="s">
        <v>173</v>
      </c>
      <c r="C57" s="215"/>
      <c r="D57" s="124">
        <f>D56/((D51)*D44/1000)</f>
        <v>1.4403292181069958</v>
      </c>
      <c r="E57" s="124">
        <f>E56/((E51)*E44/1000)</f>
        <v>0.81400081400081403</v>
      </c>
      <c r="F57" s="124">
        <f>F56/((F51)*F44/1000)</f>
        <v>2.5691699604743086</v>
      </c>
      <c r="G57" s="124">
        <f>G56/((G51)*G44/1000)</f>
        <v>8.8370448921880521E-2</v>
      </c>
      <c r="H57" s="186"/>
      <c r="I57" s="124">
        <f>I56/((I51)*I44/1000)</f>
        <v>-0.75080199303801787</v>
      </c>
      <c r="J57" s="280">
        <v>0.25</v>
      </c>
      <c r="K57" s="280">
        <v>0.5</v>
      </c>
      <c r="L57" s="280">
        <v>0.8</v>
      </c>
      <c r="M57" s="125"/>
      <c r="N57" s="280">
        <v>0.8</v>
      </c>
      <c r="O57" s="280">
        <v>0.8</v>
      </c>
      <c r="P57" s="280">
        <v>0.8</v>
      </c>
      <c r="Q57" s="280">
        <v>0.8</v>
      </c>
      <c r="R57" s="26"/>
      <c r="S57" s="14"/>
      <c r="T57" s="221"/>
    </row>
    <row r="58" spans="2:20" s="55" customFormat="1" ht="14.4" customHeight="1" outlineLevel="1" x14ac:dyDescent="0.3">
      <c r="B58" s="216" t="s">
        <v>174</v>
      </c>
      <c r="C58" s="215"/>
      <c r="D58" s="187">
        <f>D53+D55+D56</f>
        <v>67</v>
      </c>
      <c r="E58" s="187">
        <f t="shared" ref="E58:G58" si="35">E53+E55+E56</f>
        <v>-78</v>
      </c>
      <c r="F58" s="187">
        <f t="shared" si="35"/>
        <v>101</v>
      </c>
      <c r="G58" s="187">
        <f t="shared" si="35"/>
        <v>-77</v>
      </c>
      <c r="H58" s="26"/>
      <c r="I58" s="187">
        <f t="shared" ref="I58:L58" si="36">I53+I55+I56</f>
        <v>65</v>
      </c>
      <c r="J58" s="187">
        <f t="shared" si="36"/>
        <v>86.81</v>
      </c>
      <c r="K58" s="187">
        <f t="shared" si="36"/>
        <v>86.064000000000007</v>
      </c>
      <c r="L58" s="187">
        <f t="shared" si="36"/>
        <v>90.48</v>
      </c>
      <c r="M58" s="26"/>
      <c r="N58" s="187">
        <f t="shared" ref="N58:Q58" si="37">N53+N55+N56</f>
        <v>83.560000000000016</v>
      </c>
      <c r="O58" s="187">
        <f t="shared" si="37"/>
        <v>89.54</v>
      </c>
      <c r="P58" s="187">
        <f t="shared" si="37"/>
        <v>90.48</v>
      </c>
      <c r="Q58" s="187">
        <f t="shared" si="37"/>
        <v>90.48</v>
      </c>
      <c r="R58" s="26"/>
      <c r="S58" s="14"/>
      <c r="T58" s="221"/>
    </row>
    <row r="59" spans="2:20" s="84" customFormat="1" ht="14.4" customHeight="1" outlineLevel="1" x14ac:dyDescent="0.3">
      <c r="B59" s="214" t="s">
        <v>199</v>
      </c>
      <c r="C59" s="215"/>
      <c r="D59" s="37">
        <f>116-D58</f>
        <v>49</v>
      </c>
      <c r="E59" s="37">
        <f>-99-E58</f>
        <v>-21</v>
      </c>
      <c r="F59" s="37">
        <f>173-F58</f>
        <v>72</v>
      </c>
      <c r="G59" s="37">
        <f>-43-G58</f>
        <v>34</v>
      </c>
      <c r="H59" s="26"/>
      <c r="I59" s="37">
        <f>121-I58</f>
        <v>56</v>
      </c>
      <c r="J59" s="91">
        <f>(J58/0.7)-J58</f>
        <v>37.204285714285717</v>
      </c>
      <c r="K59" s="91">
        <f t="shared" ref="K59:L59" si="38">(K58/0.7)-K58</f>
        <v>36.884571428571434</v>
      </c>
      <c r="L59" s="91">
        <f t="shared" si="38"/>
        <v>38.777142857142863</v>
      </c>
      <c r="M59" s="26"/>
      <c r="N59" s="91">
        <f t="shared" ref="N59:Q59" si="39">(N58/0.7)-N58</f>
        <v>35.811428571428593</v>
      </c>
      <c r="O59" s="91">
        <f t="shared" si="39"/>
        <v>38.374285714285719</v>
      </c>
      <c r="P59" s="91">
        <f t="shared" si="39"/>
        <v>38.777142857142863</v>
      </c>
      <c r="Q59" s="91">
        <f t="shared" si="39"/>
        <v>38.777142857142863</v>
      </c>
      <c r="R59" s="26"/>
      <c r="S59" s="292"/>
      <c r="T59" s="293"/>
    </row>
    <row r="60" spans="2:20" s="84" customFormat="1" ht="14.4" customHeight="1" outlineLevel="1" x14ac:dyDescent="0.45">
      <c r="B60" s="214" t="s">
        <v>144</v>
      </c>
      <c r="C60" s="215"/>
      <c r="D60" s="185">
        <v>26</v>
      </c>
      <c r="E60" s="185">
        <v>27</v>
      </c>
      <c r="F60" s="185">
        <v>33</v>
      </c>
      <c r="G60" s="185">
        <v>41</v>
      </c>
      <c r="H60" s="186"/>
      <c r="I60" s="185">
        <v>48</v>
      </c>
      <c r="J60" s="294">
        <f>I60</f>
        <v>48</v>
      </c>
      <c r="K60" s="294">
        <f>J60</f>
        <v>48</v>
      </c>
      <c r="L60" s="294">
        <f>K60</f>
        <v>48</v>
      </c>
      <c r="M60" s="186"/>
      <c r="N60" s="294">
        <f>L60</f>
        <v>48</v>
      </c>
      <c r="O60" s="294">
        <f>N60</f>
        <v>48</v>
      </c>
      <c r="P60" s="294">
        <f>O60</f>
        <v>48</v>
      </c>
      <c r="Q60" s="294">
        <f>P60</f>
        <v>48</v>
      </c>
      <c r="R60" s="186"/>
      <c r="S60" s="292"/>
      <c r="T60" s="293"/>
    </row>
    <row r="61" spans="2:20" s="55" customFormat="1" ht="14.4" customHeight="1" outlineLevel="1" x14ac:dyDescent="0.3">
      <c r="B61" s="216" t="s">
        <v>200</v>
      </c>
      <c r="C61" s="215"/>
      <c r="D61" s="187">
        <f>D58+D59+D60</f>
        <v>142</v>
      </c>
      <c r="E61" s="187">
        <f>E58+E59+E60</f>
        <v>-72</v>
      </c>
      <c r="F61" s="187">
        <f>F58+F59+F60</f>
        <v>206</v>
      </c>
      <c r="G61" s="187">
        <f>G58+G59+G60</f>
        <v>-2</v>
      </c>
      <c r="H61" s="26"/>
      <c r="I61" s="187">
        <f>I58+I59+I60</f>
        <v>169</v>
      </c>
      <c r="J61" s="187">
        <f t="shared" ref="J61:L61" si="40">J58+J59+J60</f>
        <v>172.01428571428573</v>
      </c>
      <c r="K61" s="187">
        <f t="shared" si="40"/>
        <v>170.94857142857143</v>
      </c>
      <c r="L61" s="187">
        <f t="shared" si="40"/>
        <v>177.25714285714287</v>
      </c>
      <c r="M61" s="26"/>
      <c r="N61" s="187">
        <f t="shared" ref="N61:Q61" si="41">N58+N59+N60</f>
        <v>167.37142857142862</v>
      </c>
      <c r="O61" s="187">
        <f t="shared" si="41"/>
        <v>175.91428571428571</v>
      </c>
      <c r="P61" s="187">
        <f t="shared" si="41"/>
        <v>177.25714285714287</v>
      </c>
      <c r="Q61" s="187">
        <f t="shared" si="41"/>
        <v>177.25714285714287</v>
      </c>
      <c r="R61" s="26"/>
      <c r="S61" s="14"/>
      <c r="T61" s="221"/>
    </row>
    <row r="62" spans="2:20" s="84" customFormat="1" ht="14.4" customHeight="1" outlineLevel="1" x14ac:dyDescent="0.3">
      <c r="B62" s="214" t="s">
        <v>201</v>
      </c>
      <c r="C62" s="215"/>
      <c r="D62" s="37">
        <f>-16+1+32+40</f>
        <v>57</v>
      </c>
      <c r="E62" s="37">
        <f>-17-2+33+41+194</f>
        <v>249</v>
      </c>
      <c r="F62" s="37">
        <f>-20+34+42+4-30+9</f>
        <v>39</v>
      </c>
      <c r="G62" s="37">
        <f>-20-1+34+43+168</f>
        <v>224</v>
      </c>
      <c r="H62" s="26"/>
      <c r="I62" s="37">
        <f>-18+1+32+43-45+6</f>
        <v>19</v>
      </c>
      <c r="J62" s="91">
        <f>I62</f>
        <v>19</v>
      </c>
      <c r="K62" s="91">
        <f>J62</f>
        <v>19</v>
      </c>
      <c r="L62" s="91">
        <f>K62</f>
        <v>19</v>
      </c>
      <c r="M62" s="26"/>
      <c r="N62" s="91">
        <f>L62</f>
        <v>19</v>
      </c>
      <c r="O62" s="91">
        <f>N62</f>
        <v>19</v>
      </c>
      <c r="P62" s="91">
        <f>O62</f>
        <v>19</v>
      </c>
      <c r="Q62" s="91">
        <f>P62</f>
        <v>19</v>
      </c>
      <c r="R62" s="26"/>
      <c r="S62" s="292"/>
      <c r="T62" s="293"/>
    </row>
    <row r="63" spans="2:20" s="55" customFormat="1" ht="14.4" customHeight="1" outlineLevel="1" x14ac:dyDescent="0.3">
      <c r="B63" s="216" t="s">
        <v>202</v>
      </c>
      <c r="C63" s="215"/>
      <c r="D63" s="187">
        <f>D61+D62</f>
        <v>199</v>
      </c>
      <c r="E63" s="187">
        <f t="shared" ref="E63:I63" si="42">E61+E62</f>
        <v>177</v>
      </c>
      <c r="F63" s="187">
        <f t="shared" si="42"/>
        <v>245</v>
      </c>
      <c r="G63" s="187">
        <f t="shared" si="42"/>
        <v>222</v>
      </c>
      <c r="H63" s="26"/>
      <c r="I63" s="187">
        <f t="shared" si="42"/>
        <v>188</v>
      </c>
      <c r="J63" s="187">
        <f t="shared" ref="J63" si="43">J61+J62</f>
        <v>191.01428571428573</v>
      </c>
      <c r="K63" s="187">
        <f t="shared" ref="K63" si="44">K61+K62</f>
        <v>189.94857142857143</v>
      </c>
      <c r="L63" s="187">
        <f t="shared" ref="L63" si="45">L61+L62</f>
        <v>196.25714285714287</v>
      </c>
      <c r="M63" s="26"/>
      <c r="N63" s="187">
        <f t="shared" ref="N63" si="46">N61+N62</f>
        <v>186.37142857142862</v>
      </c>
      <c r="O63" s="187">
        <f t="shared" ref="O63" si="47">O61+O62</f>
        <v>194.91428571428571</v>
      </c>
      <c r="P63" s="187">
        <f t="shared" ref="P63" si="48">P61+P62</f>
        <v>196.25714285714287</v>
      </c>
      <c r="Q63" s="187">
        <f t="shared" ref="Q63" si="49">Q61+Q62</f>
        <v>196.25714285714287</v>
      </c>
      <c r="R63" s="26"/>
      <c r="S63" s="14"/>
      <c r="T63" s="221"/>
    </row>
    <row r="64" spans="2:20" s="84" customFormat="1" ht="14.4" customHeight="1" outlineLevel="1" thickBot="1" x14ac:dyDescent="0.35">
      <c r="B64" s="214" t="s">
        <v>214</v>
      </c>
      <c r="C64" s="215"/>
      <c r="D64" s="37">
        <v>0</v>
      </c>
      <c r="E64" s="37">
        <v>-126</v>
      </c>
      <c r="F64" s="37">
        <v>10</v>
      </c>
      <c r="G64" s="37">
        <v>-119</v>
      </c>
      <c r="H64" s="26"/>
      <c r="I64" s="37">
        <v>25</v>
      </c>
      <c r="J64" s="91">
        <f>I64</f>
        <v>25</v>
      </c>
      <c r="K64" s="91">
        <f>J64</f>
        <v>25</v>
      </c>
      <c r="L64" s="91">
        <f>K64</f>
        <v>25</v>
      </c>
      <c r="M64" s="26"/>
      <c r="N64" s="91">
        <f>L64</f>
        <v>25</v>
      </c>
      <c r="O64" s="91">
        <f>N64</f>
        <v>25</v>
      </c>
      <c r="P64" s="91">
        <f>O64</f>
        <v>25</v>
      </c>
      <c r="Q64" s="91">
        <f>P64</f>
        <v>25</v>
      </c>
      <c r="R64" s="26"/>
      <c r="S64" s="292"/>
      <c r="T64" s="293"/>
    </row>
    <row r="65" spans="2:20" s="55" customFormat="1" ht="14.4" customHeight="1" x14ac:dyDescent="0.3">
      <c r="B65" s="266" t="s">
        <v>175</v>
      </c>
      <c r="C65" s="267"/>
      <c r="D65" s="268"/>
      <c r="E65" s="268"/>
      <c r="F65" s="268"/>
      <c r="G65" s="268"/>
      <c r="H65" s="269"/>
      <c r="I65" s="268"/>
      <c r="J65" s="270"/>
      <c r="K65" s="270"/>
      <c r="L65" s="270"/>
      <c r="M65" s="271"/>
      <c r="N65" s="270"/>
      <c r="O65" s="270"/>
      <c r="P65" s="270"/>
      <c r="Q65" s="270"/>
      <c r="R65" s="271"/>
    </row>
    <row r="66" spans="2:20" s="84" customFormat="1" ht="14.4" customHeight="1" outlineLevel="1" x14ac:dyDescent="0.3">
      <c r="B66" s="214" t="s">
        <v>176</v>
      </c>
      <c r="C66" s="215"/>
      <c r="D66" s="37">
        <v>5501</v>
      </c>
      <c r="E66" s="37">
        <v>5614</v>
      </c>
      <c r="F66" s="37">
        <v>5705</v>
      </c>
      <c r="G66" s="37">
        <v>5397</v>
      </c>
      <c r="H66" s="26"/>
      <c r="I66" s="37">
        <v>5256</v>
      </c>
      <c r="J66" s="91">
        <v>5300</v>
      </c>
      <c r="K66" s="91">
        <v>5300</v>
      </c>
      <c r="L66" s="91">
        <v>5300</v>
      </c>
      <c r="M66" s="26"/>
      <c r="N66" s="91">
        <v>5300</v>
      </c>
      <c r="O66" s="91">
        <v>5300</v>
      </c>
      <c r="P66" s="91">
        <v>5300</v>
      </c>
      <c r="Q66" s="91">
        <v>5300</v>
      </c>
      <c r="R66" s="26"/>
    </row>
    <row r="67" spans="2:20" s="84" customFormat="1" ht="14.4" customHeight="1" outlineLevel="1" x14ac:dyDescent="0.3">
      <c r="B67" s="214" t="s">
        <v>177</v>
      </c>
      <c r="C67" s="215"/>
      <c r="D67" s="281">
        <v>0.87</v>
      </c>
      <c r="E67" s="281">
        <v>0.91</v>
      </c>
      <c r="F67" s="281">
        <v>0.94</v>
      </c>
      <c r="G67" s="281">
        <v>0.92</v>
      </c>
      <c r="H67" s="120"/>
      <c r="I67" s="281">
        <v>0.93</v>
      </c>
      <c r="J67" s="319">
        <v>0.92</v>
      </c>
      <c r="K67" s="57"/>
      <c r="L67" s="57"/>
      <c r="M67" s="58"/>
      <c r="N67" s="57"/>
      <c r="O67" s="57"/>
      <c r="P67" s="57"/>
      <c r="Q67" s="57"/>
      <c r="R67" s="58"/>
    </row>
    <row r="68" spans="2:20" s="84" customFormat="1" ht="14.4" customHeight="1" outlineLevel="1" x14ac:dyDescent="0.3">
      <c r="B68" s="214" t="s">
        <v>178</v>
      </c>
      <c r="C68" s="215"/>
      <c r="D68" s="119">
        <v>29.57</v>
      </c>
      <c r="E68" s="119">
        <v>36.31</v>
      </c>
      <c r="F68" s="119">
        <v>36.049999999999997</v>
      </c>
      <c r="G68" s="119">
        <v>30.63</v>
      </c>
      <c r="H68" s="120"/>
      <c r="I68" s="119">
        <v>25.07</v>
      </c>
      <c r="J68" s="57"/>
      <c r="K68" s="57"/>
      <c r="L68" s="57"/>
      <c r="M68" s="58"/>
      <c r="N68" s="57"/>
      <c r="O68" s="57"/>
      <c r="P68" s="57"/>
      <c r="Q68" s="57"/>
      <c r="R68" s="58"/>
    </row>
    <row r="69" spans="2:20" s="55" customFormat="1" ht="14.4" customHeight="1" outlineLevel="1" x14ac:dyDescent="0.3">
      <c r="B69" s="264" t="s">
        <v>159</v>
      </c>
      <c r="C69" s="265"/>
      <c r="D69" s="276"/>
      <c r="E69" s="276"/>
      <c r="F69" s="276"/>
      <c r="G69" s="276"/>
      <c r="H69" s="277"/>
      <c r="I69" s="276"/>
      <c r="J69" s="278"/>
      <c r="K69" s="278"/>
      <c r="L69" s="278"/>
      <c r="M69" s="279"/>
      <c r="N69" s="278"/>
      <c r="O69" s="278"/>
      <c r="P69" s="278"/>
      <c r="Q69" s="278"/>
      <c r="R69" s="279"/>
    </row>
    <row r="70" spans="2:20" s="55" customFormat="1" ht="14.4" customHeight="1" outlineLevel="1" x14ac:dyDescent="0.3">
      <c r="B70" s="158" t="s">
        <v>198</v>
      </c>
      <c r="C70" s="159"/>
      <c r="D70" s="37">
        <v>203</v>
      </c>
      <c r="E70" s="37">
        <v>295</v>
      </c>
      <c r="F70" s="37">
        <v>252</v>
      </c>
      <c r="G70" s="37">
        <v>212</v>
      </c>
      <c r="H70" s="26"/>
      <c r="I70" s="37">
        <v>156</v>
      </c>
      <c r="J70" s="91">
        <f>J71*J66</f>
        <v>185.50000000000003</v>
      </c>
      <c r="K70" s="91">
        <f t="shared" ref="K70:L70" si="50">K71*K66</f>
        <v>185.50000000000003</v>
      </c>
      <c r="L70" s="91">
        <f t="shared" si="50"/>
        <v>185.50000000000003</v>
      </c>
      <c r="M70" s="26"/>
      <c r="N70" s="91">
        <f t="shared" ref="N70:Q70" si="51">N71*N66</f>
        <v>185.50000000000003</v>
      </c>
      <c r="O70" s="91">
        <f t="shared" si="51"/>
        <v>185.50000000000003</v>
      </c>
      <c r="P70" s="91">
        <f t="shared" si="51"/>
        <v>185.50000000000003</v>
      </c>
      <c r="Q70" s="91">
        <f t="shared" si="51"/>
        <v>185.50000000000003</v>
      </c>
      <c r="R70" s="26"/>
    </row>
    <row r="71" spans="2:20" s="55" customFormat="1" ht="14.4" customHeight="1" outlineLevel="1" x14ac:dyDescent="0.45">
      <c r="B71" s="214" t="s">
        <v>179</v>
      </c>
      <c r="C71" s="215"/>
      <c r="D71" s="64">
        <f>D70/D66</f>
        <v>3.6902381385202687E-2</v>
      </c>
      <c r="E71" s="64">
        <f t="shared" ref="E71:G71" si="52">E70/E66</f>
        <v>5.2547203420021373E-2</v>
      </c>
      <c r="F71" s="64">
        <f t="shared" si="52"/>
        <v>4.4171779141104296E-2</v>
      </c>
      <c r="G71" s="64">
        <f t="shared" si="52"/>
        <v>3.9281082082638502E-2</v>
      </c>
      <c r="H71" s="186"/>
      <c r="I71" s="64">
        <f>I70/I66</f>
        <v>2.9680365296803651E-2</v>
      </c>
      <c r="J71" s="312">
        <v>3.5000000000000003E-2</v>
      </c>
      <c r="K71" s="312">
        <v>3.5000000000000003E-2</v>
      </c>
      <c r="L71" s="312">
        <v>3.5000000000000003E-2</v>
      </c>
      <c r="M71" s="65"/>
      <c r="N71" s="312">
        <v>3.5000000000000003E-2</v>
      </c>
      <c r="O71" s="312">
        <v>3.5000000000000003E-2</v>
      </c>
      <c r="P71" s="312">
        <v>3.5000000000000003E-2</v>
      </c>
      <c r="Q71" s="312">
        <v>3.5000000000000003E-2</v>
      </c>
      <c r="R71" s="26"/>
    </row>
    <row r="72" spans="2:20" s="84" customFormat="1" ht="14.4" customHeight="1" outlineLevel="1" x14ac:dyDescent="0.3">
      <c r="B72" s="214" t="s">
        <v>199</v>
      </c>
      <c r="C72" s="215"/>
      <c r="D72" s="37">
        <v>88</v>
      </c>
      <c r="E72" s="37">
        <v>121</v>
      </c>
      <c r="F72" s="37">
        <v>108</v>
      </c>
      <c r="G72" s="37">
        <v>36</v>
      </c>
      <c r="H72" s="26"/>
      <c r="I72" s="37">
        <v>72</v>
      </c>
      <c r="J72" s="91">
        <f>(J70/0.7)-J70</f>
        <v>79.500000000000028</v>
      </c>
      <c r="K72" s="91">
        <f t="shared" ref="K72:L72" si="53">(K70/0.7)-K70</f>
        <v>79.500000000000028</v>
      </c>
      <c r="L72" s="91">
        <f t="shared" si="53"/>
        <v>79.500000000000028</v>
      </c>
      <c r="M72" s="26"/>
      <c r="N72" s="91">
        <f t="shared" ref="N72:Q72" si="54">(N70/0.7)-N70</f>
        <v>79.500000000000028</v>
      </c>
      <c r="O72" s="91">
        <f t="shared" si="54"/>
        <v>79.500000000000028</v>
      </c>
      <c r="P72" s="91">
        <f t="shared" si="54"/>
        <v>79.500000000000028</v>
      </c>
      <c r="Q72" s="91">
        <f t="shared" si="54"/>
        <v>79.500000000000028</v>
      </c>
      <c r="R72" s="26"/>
      <c r="S72" s="292"/>
      <c r="T72" s="293"/>
    </row>
    <row r="73" spans="2:20" s="55" customFormat="1" ht="14.4" customHeight="1" outlineLevel="1" x14ac:dyDescent="0.3">
      <c r="B73" s="216" t="s">
        <v>205</v>
      </c>
      <c r="C73" s="215"/>
      <c r="D73" s="187">
        <f>D70+D72</f>
        <v>291</v>
      </c>
      <c r="E73" s="187">
        <f t="shared" ref="E73:G73" si="55">E70+E72</f>
        <v>416</v>
      </c>
      <c r="F73" s="187">
        <f t="shared" si="55"/>
        <v>360</v>
      </c>
      <c r="G73" s="187">
        <f t="shared" si="55"/>
        <v>248</v>
      </c>
      <c r="H73" s="26"/>
      <c r="I73" s="187">
        <f t="shared" ref="I73:L73" si="56">I70+I72</f>
        <v>228</v>
      </c>
      <c r="J73" s="187">
        <f t="shared" si="56"/>
        <v>265.00000000000006</v>
      </c>
      <c r="K73" s="187">
        <f t="shared" si="56"/>
        <v>265.00000000000006</v>
      </c>
      <c r="L73" s="187">
        <f t="shared" si="56"/>
        <v>265.00000000000006</v>
      </c>
      <c r="M73" s="26"/>
      <c r="N73" s="187">
        <f t="shared" ref="N73:Q73" si="57">N70+N72</f>
        <v>265.00000000000006</v>
      </c>
      <c r="O73" s="187">
        <f t="shared" si="57"/>
        <v>265.00000000000006</v>
      </c>
      <c r="P73" s="187">
        <f t="shared" si="57"/>
        <v>265.00000000000006</v>
      </c>
      <c r="Q73" s="187">
        <f t="shared" si="57"/>
        <v>265.00000000000006</v>
      </c>
      <c r="R73" s="26"/>
      <c r="S73" s="14"/>
      <c r="T73" s="221"/>
    </row>
    <row r="74" spans="2:20" s="84" customFormat="1" ht="14.4" customHeight="1" outlineLevel="1" x14ac:dyDescent="0.3">
      <c r="B74" s="214" t="s">
        <v>201</v>
      </c>
      <c r="C74" s="215"/>
      <c r="D74" s="37">
        <f>22+2+65</f>
        <v>89</v>
      </c>
      <c r="E74" s="37">
        <f>25+1+65</f>
        <v>91</v>
      </c>
      <c r="F74" s="37">
        <f>26+2+65+20</f>
        <v>113</v>
      </c>
      <c r="G74" s="37">
        <f>18+2+69+4</f>
        <v>93</v>
      </c>
      <c r="H74" s="26"/>
      <c r="I74" s="37">
        <f>18+2+71</f>
        <v>91</v>
      </c>
      <c r="J74" s="91">
        <f>I74</f>
        <v>91</v>
      </c>
      <c r="K74" s="91">
        <f>J74</f>
        <v>91</v>
      </c>
      <c r="L74" s="91">
        <f>K74</f>
        <v>91</v>
      </c>
      <c r="M74" s="26"/>
      <c r="N74" s="91">
        <f>L74</f>
        <v>91</v>
      </c>
      <c r="O74" s="91">
        <f>N74</f>
        <v>91</v>
      </c>
      <c r="P74" s="91">
        <f>O74</f>
        <v>91</v>
      </c>
      <c r="Q74" s="91">
        <f>P74</f>
        <v>91</v>
      </c>
      <c r="R74" s="26"/>
      <c r="S74" s="292"/>
      <c r="T74" s="293"/>
    </row>
    <row r="75" spans="2:20" s="55" customFormat="1" ht="14.4" customHeight="1" outlineLevel="1" x14ac:dyDescent="0.3">
      <c r="B75" s="216" t="s">
        <v>206</v>
      </c>
      <c r="C75" s="215"/>
      <c r="D75" s="187">
        <f>D73+D74</f>
        <v>380</v>
      </c>
      <c r="E75" s="187">
        <f t="shared" ref="E75" si="58">E73+E74</f>
        <v>507</v>
      </c>
      <c r="F75" s="187">
        <f t="shared" ref="F75" si="59">F73+F74</f>
        <v>473</v>
      </c>
      <c r="G75" s="187">
        <f t="shared" ref="G75" si="60">G73+G74</f>
        <v>341</v>
      </c>
      <c r="H75" s="26"/>
      <c r="I75" s="187">
        <f t="shared" ref="I75" si="61">I73+I74</f>
        <v>319</v>
      </c>
      <c r="J75" s="187">
        <f t="shared" ref="J75" si="62">J73+J74</f>
        <v>356.00000000000006</v>
      </c>
      <c r="K75" s="187">
        <f t="shared" ref="K75" si="63">K73+K74</f>
        <v>356.00000000000006</v>
      </c>
      <c r="L75" s="187">
        <f t="shared" ref="L75" si="64">L73+L74</f>
        <v>356.00000000000006</v>
      </c>
      <c r="M75" s="26"/>
      <c r="N75" s="187">
        <f t="shared" ref="N75" si="65">N73+N74</f>
        <v>356.00000000000006</v>
      </c>
      <c r="O75" s="187">
        <f t="shared" ref="O75" si="66">O73+O74</f>
        <v>356.00000000000006</v>
      </c>
      <c r="P75" s="187">
        <f t="shared" ref="P75" si="67">P73+P74</f>
        <v>356.00000000000006</v>
      </c>
      <c r="Q75" s="187">
        <f t="shared" ref="Q75" si="68">Q73+Q74</f>
        <v>356.00000000000006</v>
      </c>
      <c r="R75" s="26"/>
      <c r="S75" s="14"/>
      <c r="T75" s="221"/>
    </row>
    <row r="76" spans="2:20" s="84" customFormat="1" ht="14.4" customHeight="1" outlineLevel="1" thickBot="1" x14ac:dyDescent="0.35">
      <c r="B76" s="214" t="s">
        <v>215</v>
      </c>
      <c r="C76" s="215"/>
      <c r="D76" s="37">
        <v>0</v>
      </c>
      <c r="E76" s="37">
        <v>0</v>
      </c>
      <c r="F76" s="37">
        <v>-20</v>
      </c>
      <c r="G76" s="37">
        <v>30</v>
      </c>
      <c r="H76" s="26"/>
      <c r="I76" s="37">
        <v>0</v>
      </c>
      <c r="J76" s="91">
        <f>I76</f>
        <v>0</v>
      </c>
      <c r="K76" s="91">
        <f>J76</f>
        <v>0</v>
      </c>
      <c r="L76" s="91">
        <f>K76</f>
        <v>0</v>
      </c>
      <c r="M76" s="26"/>
      <c r="N76" s="91">
        <f>L76</f>
        <v>0</v>
      </c>
      <c r="O76" s="91">
        <f>N76</f>
        <v>0</v>
      </c>
      <c r="P76" s="91">
        <f>O76</f>
        <v>0</v>
      </c>
      <c r="Q76" s="91">
        <f>P76</f>
        <v>0</v>
      </c>
      <c r="R76" s="26"/>
      <c r="S76" s="292"/>
      <c r="T76" s="293"/>
    </row>
    <row r="77" spans="2:20" s="55" customFormat="1" ht="14.4" customHeight="1" x14ac:dyDescent="0.3">
      <c r="B77" s="266" t="s">
        <v>180</v>
      </c>
      <c r="C77" s="267"/>
      <c r="D77" s="268"/>
      <c r="E77" s="268"/>
      <c r="F77" s="268"/>
      <c r="G77" s="268"/>
      <c r="H77" s="269"/>
      <c r="I77" s="268"/>
      <c r="J77" s="275"/>
      <c r="K77" s="275"/>
      <c r="L77" s="275"/>
      <c r="M77" s="274"/>
      <c r="N77" s="275"/>
      <c r="O77" s="275"/>
      <c r="P77" s="275"/>
      <c r="Q77" s="275"/>
      <c r="R77" s="274"/>
    </row>
    <row r="78" spans="2:20" s="84" customFormat="1" ht="14.4" customHeight="1" outlineLevel="1" x14ac:dyDescent="0.3">
      <c r="B78" s="214" t="s">
        <v>181</v>
      </c>
      <c r="C78" s="215"/>
      <c r="D78" s="119">
        <v>12.26</v>
      </c>
      <c r="E78" s="119">
        <v>11.7</v>
      </c>
      <c r="F78" s="119">
        <v>13.96</v>
      </c>
      <c r="G78" s="119">
        <v>9.41</v>
      </c>
      <c r="H78" s="120"/>
      <c r="I78" s="119">
        <v>7.11</v>
      </c>
      <c r="J78" s="37"/>
      <c r="K78" s="37"/>
      <c r="L78" s="37"/>
      <c r="M78" s="26"/>
      <c r="N78" s="37"/>
      <c r="O78" s="37"/>
      <c r="P78" s="37"/>
      <c r="Q78" s="37"/>
      <c r="R78" s="26"/>
    </row>
    <row r="79" spans="2:20" s="84" customFormat="1" ht="14.4" customHeight="1" outlineLevel="1" x14ac:dyDescent="0.3">
      <c r="B79" s="214" t="s">
        <v>182</v>
      </c>
      <c r="C79" s="215"/>
      <c r="D79" s="37">
        <v>1829</v>
      </c>
      <c r="E79" s="37">
        <v>1969</v>
      </c>
      <c r="F79" s="37">
        <v>2099</v>
      </c>
      <c r="G79" s="37">
        <v>2052</v>
      </c>
      <c r="H79" s="26"/>
      <c r="I79" s="37">
        <v>2051</v>
      </c>
      <c r="J79" s="37"/>
      <c r="K79" s="37"/>
      <c r="L79" s="37"/>
      <c r="M79" s="26"/>
      <c r="N79" s="37"/>
      <c r="O79" s="37"/>
      <c r="P79" s="37"/>
      <c r="Q79" s="37"/>
      <c r="R79" s="26"/>
    </row>
    <row r="80" spans="2:20" s="84" customFormat="1" ht="14.4" customHeight="1" outlineLevel="1" x14ac:dyDescent="0.3">
      <c r="B80" s="214" t="s">
        <v>183</v>
      </c>
      <c r="C80" s="215"/>
      <c r="D80" s="281">
        <v>0.84</v>
      </c>
      <c r="E80" s="281">
        <v>0.9</v>
      </c>
      <c r="F80" s="281">
        <v>0.96</v>
      </c>
      <c r="G80" s="281">
        <v>0.94</v>
      </c>
      <c r="H80" s="120"/>
      <c r="I80" s="281">
        <v>0.94</v>
      </c>
      <c r="J80" s="320">
        <v>0.95</v>
      </c>
      <c r="K80" s="37"/>
      <c r="L80" s="37"/>
      <c r="M80" s="26"/>
      <c r="N80" s="37"/>
      <c r="O80" s="37"/>
      <c r="P80" s="37"/>
      <c r="Q80" s="37"/>
      <c r="R80" s="26"/>
    </row>
    <row r="81" spans="2:20" s="84" customFormat="1" ht="14.4" customHeight="1" outlineLevel="1" x14ac:dyDescent="0.3">
      <c r="B81" s="214" t="s">
        <v>184</v>
      </c>
      <c r="C81" s="215"/>
      <c r="D81" s="37">
        <v>852</v>
      </c>
      <c r="E81" s="37">
        <v>954</v>
      </c>
      <c r="F81" s="37">
        <v>984</v>
      </c>
      <c r="G81" s="37">
        <v>960</v>
      </c>
      <c r="H81" s="26"/>
      <c r="I81" s="37">
        <v>950</v>
      </c>
      <c r="J81" s="91">
        <v>1000</v>
      </c>
      <c r="K81" s="91">
        <v>1000</v>
      </c>
      <c r="L81" s="91">
        <v>1000</v>
      </c>
      <c r="M81" s="26"/>
      <c r="N81" s="91">
        <v>900</v>
      </c>
      <c r="O81" s="91">
        <v>950</v>
      </c>
      <c r="P81" s="91">
        <v>1000</v>
      </c>
      <c r="Q81" s="91">
        <v>1000</v>
      </c>
      <c r="R81" s="26"/>
    </row>
    <row r="82" spans="2:20" s="84" customFormat="1" ht="14.4" customHeight="1" outlineLevel="1" x14ac:dyDescent="0.3">
      <c r="B82" s="214" t="s">
        <v>185</v>
      </c>
      <c r="C82" s="215"/>
      <c r="D82" s="37">
        <v>772</v>
      </c>
      <c r="E82" s="37">
        <v>789</v>
      </c>
      <c r="F82" s="37">
        <v>859</v>
      </c>
      <c r="G82" s="37">
        <v>862</v>
      </c>
      <c r="H82" s="26"/>
      <c r="I82" s="37">
        <v>816</v>
      </c>
      <c r="J82" s="91">
        <v>850</v>
      </c>
      <c r="K82" s="91">
        <v>850</v>
      </c>
      <c r="L82" s="91">
        <v>850</v>
      </c>
      <c r="M82" s="26"/>
      <c r="N82" s="91">
        <v>810</v>
      </c>
      <c r="O82" s="91">
        <v>825</v>
      </c>
      <c r="P82" s="91">
        <v>850</v>
      </c>
      <c r="Q82" s="91">
        <v>850</v>
      </c>
      <c r="R82" s="26"/>
    </row>
    <row r="83" spans="2:20" s="84" customFormat="1" ht="14.4" customHeight="1" outlineLevel="1" x14ac:dyDescent="0.3">
      <c r="B83" s="214" t="s">
        <v>186</v>
      </c>
      <c r="C83" s="215"/>
      <c r="D83" s="37">
        <v>398</v>
      </c>
      <c r="E83" s="37">
        <v>394</v>
      </c>
      <c r="F83" s="37">
        <v>437</v>
      </c>
      <c r="G83" s="37">
        <v>395</v>
      </c>
      <c r="H83" s="26"/>
      <c r="I83" s="37">
        <v>444</v>
      </c>
      <c r="J83" s="91">
        <v>450</v>
      </c>
      <c r="K83" s="91">
        <v>450</v>
      </c>
      <c r="L83" s="91">
        <v>450</v>
      </c>
      <c r="M83" s="26"/>
      <c r="N83" s="91">
        <v>450</v>
      </c>
      <c r="O83" s="91">
        <v>450</v>
      </c>
      <c r="P83" s="91">
        <v>450</v>
      </c>
      <c r="Q83" s="91">
        <v>450</v>
      </c>
      <c r="R83" s="26"/>
    </row>
    <row r="84" spans="2:20" s="55" customFormat="1" ht="14.4" customHeight="1" outlineLevel="1" x14ac:dyDescent="0.3">
      <c r="B84" s="264" t="s">
        <v>160</v>
      </c>
      <c r="C84" s="265"/>
      <c r="D84" s="276"/>
      <c r="E84" s="276"/>
      <c r="F84" s="276"/>
      <c r="G84" s="286"/>
      <c r="H84" s="277"/>
      <c r="I84" s="276"/>
      <c r="J84" s="282"/>
      <c r="K84" s="282"/>
      <c r="L84" s="282"/>
      <c r="M84" s="283"/>
      <c r="N84" s="282"/>
      <c r="O84" s="282"/>
      <c r="P84" s="282"/>
      <c r="Q84" s="282"/>
      <c r="R84" s="283"/>
    </row>
    <row r="85" spans="2:20" s="55" customFormat="1" ht="14.4" customHeight="1" outlineLevel="1" x14ac:dyDescent="0.3">
      <c r="B85" s="158" t="s">
        <v>193</v>
      </c>
      <c r="C85" s="159"/>
      <c r="D85" s="37">
        <v>538</v>
      </c>
      <c r="E85" s="37">
        <v>604</v>
      </c>
      <c r="F85" s="37">
        <v>1003</v>
      </c>
      <c r="G85" s="37">
        <v>410</v>
      </c>
      <c r="H85" s="26"/>
      <c r="I85" s="37">
        <v>86</v>
      </c>
      <c r="J85" s="37">
        <f>((J81+J82+J83)*J86*J44)/1000</f>
        <v>477.67999999999989</v>
      </c>
      <c r="K85" s="37">
        <f>((K81+K82+K83)*K86*K44)/1000</f>
        <v>549.34599999999966</v>
      </c>
      <c r="L85" s="37">
        <f>((L81+L82+L83)*L86*L44)/1000</f>
        <v>86.429999999999964</v>
      </c>
      <c r="M85" s="26"/>
      <c r="N85" s="37">
        <f>((N81+N82+N83)*N86*N44)/1000</f>
        <v>241.78999999999979</v>
      </c>
      <c r="O85" s="37">
        <f>((O81+O82+O83)*O86*O44)/1000</f>
        <v>404.95</v>
      </c>
      <c r="P85" s="37">
        <f>((P81+P82+P83)*P86*P44)/1000</f>
        <v>529</v>
      </c>
      <c r="Q85" s="37">
        <f>((Q81+Q82+Q83)*Q86*Q44)/1000</f>
        <v>211.6</v>
      </c>
      <c r="R85" s="26"/>
    </row>
    <row r="86" spans="2:20" s="55" customFormat="1" ht="14.4" customHeight="1" outlineLevel="1" x14ac:dyDescent="0.45">
      <c r="B86" s="214" t="s">
        <v>191</v>
      </c>
      <c r="C86" s="215"/>
      <c r="D86" s="64">
        <f>D85/(((D83+D82+D81)/1000)*D44)</f>
        <v>2.9563688317397516</v>
      </c>
      <c r="E86" s="64">
        <f>E85/(((E83+E82+E81)/1000)*E44)</f>
        <v>3.1059254269361896</v>
      </c>
      <c r="F86" s="64">
        <f>F85/(((F83+F82+F81)/1000)*F44)</f>
        <v>4.7816552250190698</v>
      </c>
      <c r="G86" s="64">
        <f>G85/(((G83+G82+G81)/1000)*G44)</f>
        <v>2.010158655449001</v>
      </c>
      <c r="H86" s="313"/>
      <c r="I86" s="64">
        <f>I85/(((I83+I82+I81)/1000)*I44)</f>
        <v>0.42762667197056342</v>
      </c>
      <c r="J86" s="312">
        <v>2.282274247491638</v>
      </c>
      <c r="K86" s="312">
        <v>2.5961531190926257</v>
      </c>
      <c r="L86" s="312">
        <v>0.40845935727788268</v>
      </c>
      <c r="M86" s="65"/>
      <c r="N86" s="312">
        <v>1.243775720164608</v>
      </c>
      <c r="O86" s="312">
        <v>2</v>
      </c>
      <c r="P86" s="312">
        <v>2.5</v>
      </c>
      <c r="Q86" s="312">
        <v>1</v>
      </c>
      <c r="R86" s="35"/>
    </row>
    <row r="87" spans="2:20" s="84" customFormat="1" ht="14.4" customHeight="1" outlineLevel="1" x14ac:dyDescent="0.3">
      <c r="B87" s="214" t="s">
        <v>199</v>
      </c>
      <c r="C87" s="215"/>
      <c r="D87" s="37">
        <v>226</v>
      </c>
      <c r="E87" s="37">
        <v>328</v>
      </c>
      <c r="F87" s="37">
        <v>485</v>
      </c>
      <c r="G87" s="37">
        <v>65</v>
      </c>
      <c r="H87" s="26"/>
      <c r="I87" s="37">
        <v>41</v>
      </c>
      <c r="J87" s="91">
        <f>(J85/0.7)-J85</f>
        <v>204.71999999999997</v>
      </c>
      <c r="K87" s="91">
        <f t="shared" ref="K87:L87" si="69">(K85/0.7)-K85</f>
        <v>235.43399999999986</v>
      </c>
      <c r="L87" s="91">
        <f t="shared" si="69"/>
        <v>37.041428571428568</v>
      </c>
      <c r="M87" s="26"/>
      <c r="N87" s="91">
        <f t="shared" ref="N87:Q87" si="70">(N85/0.7)-N85</f>
        <v>103.62428571428563</v>
      </c>
      <c r="O87" s="91">
        <f t="shared" si="70"/>
        <v>173.55</v>
      </c>
      <c r="P87" s="91">
        <f t="shared" si="70"/>
        <v>226.71428571428578</v>
      </c>
      <c r="Q87" s="91">
        <f t="shared" si="70"/>
        <v>90.685714285714283</v>
      </c>
      <c r="R87" s="26"/>
      <c r="S87" s="292"/>
      <c r="T87" s="293"/>
    </row>
    <row r="88" spans="2:20" s="84" customFormat="1" ht="14.4" customHeight="1" outlineLevel="1" x14ac:dyDescent="0.45">
      <c r="B88" s="214" t="s">
        <v>144</v>
      </c>
      <c r="C88" s="215"/>
      <c r="D88" s="185">
        <v>177</v>
      </c>
      <c r="E88" s="185">
        <v>183</v>
      </c>
      <c r="F88" s="185">
        <v>187</v>
      </c>
      <c r="G88" s="185">
        <v>191</v>
      </c>
      <c r="H88" s="186"/>
      <c r="I88" s="185">
        <v>186</v>
      </c>
      <c r="J88" s="294">
        <f>I88</f>
        <v>186</v>
      </c>
      <c r="K88" s="294">
        <f>J88</f>
        <v>186</v>
      </c>
      <c r="L88" s="294">
        <f>K88</f>
        <v>186</v>
      </c>
      <c r="M88" s="186"/>
      <c r="N88" s="294">
        <f>L88</f>
        <v>186</v>
      </c>
      <c r="O88" s="294">
        <f>N88</f>
        <v>186</v>
      </c>
      <c r="P88" s="294">
        <f>O88</f>
        <v>186</v>
      </c>
      <c r="Q88" s="294">
        <f>P88</f>
        <v>186</v>
      </c>
      <c r="R88" s="186"/>
      <c r="S88" s="292"/>
      <c r="T88" s="293"/>
    </row>
    <row r="89" spans="2:20" s="55" customFormat="1" ht="14.4" customHeight="1" outlineLevel="1" x14ac:dyDescent="0.3">
      <c r="B89" s="216" t="s">
        <v>207</v>
      </c>
      <c r="C89" s="215"/>
      <c r="D89" s="187">
        <f>D85+D87+D88</f>
        <v>941</v>
      </c>
      <c r="E89" s="187">
        <f t="shared" ref="E89:G89" si="71">E85+E87+E88</f>
        <v>1115</v>
      </c>
      <c r="F89" s="187">
        <f t="shared" si="71"/>
        <v>1675</v>
      </c>
      <c r="G89" s="187">
        <f t="shared" si="71"/>
        <v>666</v>
      </c>
      <c r="H89" s="26"/>
      <c r="I89" s="187">
        <f t="shared" ref="I89:L89" si="72">I85+I87+I88</f>
        <v>313</v>
      </c>
      <c r="J89" s="187">
        <f t="shared" si="72"/>
        <v>868.39999999999986</v>
      </c>
      <c r="K89" s="187">
        <f t="shared" si="72"/>
        <v>970.77999999999952</v>
      </c>
      <c r="L89" s="187">
        <f t="shared" si="72"/>
        <v>309.47142857142853</v>
      </c>
      <c r="M89" s="26"/>
      <c r="N89" s="187">
        <f t="shared" ref="N89:Q89" si="73">N85+N87+N88</f>
        <v>531.41428571428537</v>
      </c>
      <c r="O89" s="187">
        <f t="shared" si="73"/>
        <v>764.5</v>
      </c>
      <c r="P89" s="187">
        <f t="shared" si="73"/>
        <v>941.71428571428578</v>
      </c>
      <c r="Q89" s="187">
        <f t="shared" si="73"/>
        <v>488.28571428571428</v>
      </c>
      <c r="R89" s="26"/>
      <c r="S89" s="14"/>
      <c r="T89" s="221"/>
    </row>
    <row r="90" spans="2:20" s="84" customFormat="1" ht="14.4" customHeight="1" outlineLevel="1" x14ac:dyDescent="0.3">
      <c r="B90" s="214" t="s">
        <v>201</v>
      </c>
      <c r="C90" s="215"/>
      <c r="D90" s="37">
        <f>63-8</f>
        <v>55</v>
      </c>
      <c r="E90" s="37">
        <f>-2+63</f>
        <v>61</v>
      </c>
      <c r="F90" s="37">
        <f>62+30+49</f>
        <v>141</v>
      </c>
      <c r="G90" s="37">
        <f>-1+64+53+4</f>
        <v>120</v>
      </c>
      <c r="H90" s="26"/>
      <c r="I90" s="37">
        <v>63</v>
      </c>
      <c r="J90" s="321">
        <v>100</v>
      </c>
      <c r="K90" s="91">
        <v>60</v>
      </c>
      <c r="L90" s="91">
        <f>K90</f>
        <v>60</v>
      </c>
      <c r="M90" s="26"/>
      <c r="N90" s="91">
        <f>L90</f>
        <v>60</v>
      </c>
      <c r="O90" s="91">
        <f>N90</f>
        <v>60</v>
      </c>
      <c r="P90" s="91">
        <f>O90</f>
        <v>60</v>
      </c>
      <c r="Q90" s="91">
        <f>P90</f>
        <v>60</v>
      </c>
      <c r="R90" s="26"/>
      <c r="S90" s="292"/>
      <c r="T90" s="293"/>
    </row>
    <row r="91" spans="2:20" s="55" customFormat="1" ht="14.4" customHeight="1" outlineLevel="1" x14ac:dyDescent="0.3">
      <c r="B91" s="216" t="s">
        <v>208</v>
      </c>
      <c r="C91" s="215"/>
      <c r="D91" s="187">
        <f>D89+D90</f>
        <v>996</v>
      </c>
      <c r="E91" s="187">
        <f t="shared" ref="E91" si="74">E89+E90</f>
        <v>1176</v>
      </c>
      <c r="F91" s="187">
        <f t="shared" ref="F91" si="75">F89+F90</f>
        <v>1816</v>
      </c>
      <c r="G91" s="187">
        <f t="shared" ref="G91" si="76">G89+G90</f>
        <v>786</v>
      </c>
      <c r="H91" s="26"/>
      <c r="I91" s="187">
        <f t="shared" ref="I91" si="77">I89+I90</f>
        <v>376</v>
      </c>
      <c r="J91" s="187">
        <f t="shared" ref="J91" si="78">J89+J90</f>
        <v>968.39999999999986</v>
      </c>
      <c r="K91" s="187">
        <f t="shared" ref="K91" si="79">K89+K90</f>
        <v>1030.7799999999995</v>
      </c>
      <c r="L91" s="187">
        <f t="shared" ref="L91" si="80">L89+L90</f>
        <v>369.47142857142853</v>
      </c>
      <c r="M91" s="26"/>
      <c r="N91" s="187">
        <f t="shared" ref="N91" si="81">N89+N90</f>
        <v>591.41428571428537</v>
      </c>
      <c r="O91" s="187">
        <f t="shared" ref="O91" si="82">O89+O90</f>
        <v>824.5</v>
      </c>
      <c r="P91" s="187">
        <f t="shared" ref="P91" si="83">P89+P90</f>
        <v>1001.7142857142858</v>
      </c>
      <c r="Q91" s="187">
        <f t="shared" ref="Q91" si="84">Q89+Q90</f>
        <v>548.28571428571422</v>
      </c>
      <c r="R91" s="26"/>
      <c r="S91" s="14"/>
      <c r="T91" s="221"/>
    </row>
    <row r="92" spans="2:20" s="55" customFormat="1" ht="14.4" customHeight="1" outlineLevel="1" thickBot="1" x14ac:dyDescent="0.35">
      <c r="B92" s="214" t="s">
        <v>216</v>
      </c>
      <c r="C92" s="215"/>
      <c r="D92" s="37">
        <v>43</v>
      </c>
      <c r="E92" s="37">
        <v>0</v>
      </c>
      <c r="F92" s="37">
        <v>-49</v>
      </c>
      <c r="G92" s="37">
        <v>34</v>
      </c>
      <c r="H92" s="26"/>
      <c r="I92" s="37">
        <v>0</v>
      </c>
      <c r="J92" s="91">
        <f>I92</f>
        <v>0</v>
      </c>
      <c r="K92" s="91">
        <f>J92</f>
        <v>0</v>
      </c>
      <c r="L92" s="91">
        <f>K92</f>
        <v>0</v>
      </c>
      <c r="M92" s="26"/>
      <c r="N92" s="91">
        <f>L92</f>
        <v>0</v>
      </c>
      <c r="O92" s="91">
        <f>N92</f>
        <v>0</v>
      </c>
      <c r="P92" s="91">
        <f>O92</f>
        <v>0</v>
      </c>
      <c r="Q92" s="91">
        <f>P92</f>
        <v>0</v>
      </c>
      <c r="R92" s="26"/>
      <c r="S92" s="14"/>
      <c r="T92" s="221"/>
    </row>
    <row r="93" spans="2:20" s="55" customFormat="1" ht="14.4" customHeight="1" x14ac:dyDescent="0.3">
      <c r="B93" s="272" t="s">
        <v>187</v>
      </c>
      <c r="C93" s="273"/>
      <c r="D93" s="284"/>
      <c r="E93" s="284"/>
      <c r="F93" s="284"/>
      <c r="G93" s="284"/>
      <c r="H93" s="285"/>
      <c r="I93" s="284"/>
      <c r="J93" s="284"/>
      <c r="K93" s="284"/>
      <c r="L93" s="284"/>
      <c r="M93" s="285"/>
      <c r="N93" s="284"/>
      <c r="O93" s="284"/>
      <c r="P93" s="284"/>
      <c r="Q93" s="284"/>
      <c r="R93" s="285"/>
    </row>
    <row r="94" spans="2:20" s="84" customFormat="1" ht="14.4" customHeight="1" outlineLevel="1" x14ac:dyDescent="0.3">
      <c r="B94" s="214" t="s">
        <v>188</v>
      </c>
      <c r="C94" s="215"/>
      <c r="D94" s="57">
        <v>1.46</v>
      </c>
      <c r="E94" s="57">
        <v>1.46</v>
      </c>
      <c r="F94" s="57">
        <v>2.2599999999999998</v>
      </c>
      <c r="G94" s="57">
        <v>1.37</v>
      </c>
      <c r="H94" s="58"/>
      <c r="I94" s="57">
        <v>1.83</v>
      </c>
      <c r="J94" s="57"/>
      <c r="K94" s="57"/>
      <c r="L94" s="57"/>
      <c r="M94" s="58"/>
      <c r="N94" s="57"/>
      <c r="O94" s="57"/>
      <c r="P94" s="57"/>
      <c r="Q94" s="57"/>
      <c r="R94" s="58"/>
    </row>
    <row r="95" spans="2:20" s="84" customFormat="1" ht="14.4" customHeight="1" outlineLevel="1" x14ac:dyDescent="0.3">
      <c r="B95" s="214" t="s">
        <v>189</v>
      </c>
      <c r="C95" s="215"/>
      <c r="D95" s="57">
        <v>3.85</v>
      </c>
      <c r="E95" s="57">
        <v>2.98</v>
      </c>
      <c r="F95" s="57">
        <v>5.94</v>
      </c>
      <c r="G95" s="57">
        <v>4.74</v>
      </c>
      <c r="H95" s="58"/>
      <c r="I95" s="57">
        <v>3.16</v>
      </c>
      <c r="J95" s="57"/>
      <c r="K95" s="57"/>
      <c r="L95" s="57"/>
      <c r="M95" s="58"/>
      <c r="N95" s="57"/>
      <c r="O95" s="57"/>
      <c r="P95" s="57"/>
      <c r="Q95" s="57"/>
      <c r="R95" s="58"/>
    </row>
    <row r="96" spans="2:20" s="84" customFormat="1" ht="14.4" customHeight="1" outlineLevel="1" x14ac:dyDescent="0.3">
      <c r="B96" s="214" t="s">
        <v>190</v>
      </c>
      <c r="C96" s="215"/>
      <c r="D96" s="37">
        <v>1960</v>
      </c>
      <c r="E96" s="37">
        <v>2242</v>
      </c>
      <c r="F96" s="37">
        <v>2253</v>
      </c>
      <c r="G96" s="37">
        <v>2236</v>
      </c>
      <c r="H96" s="26"/>
      <c r="I96" s="37">
        <v>2094</v>
      </c>
      <c r="J96" s="91">
        <v>2200</v>
      </c>
      <c r="K96" s="91">
        <v>2300</v>
      </c>
      <c r="L96" s="91">
        <v>2300</v>
      </c>
      <c r="M96" s="26"/>
      <c r="N96" s="91">
        <v>2000</v>
      </c>
      <c r="O96" s="91">
        <v>2200</v>
      </c>
      <c r="P96" s="91">
        <v>2300</v>
      </c>
      <c r="Q96" s="91">
        <v>2300</v>
      </c>
      <c r="R96" s="26"/>
    </row>
    <row r="97" spans="2:20" s="55" customFormat="1" ht="14.4" customHeight="1" outlineLevel="1" x14ac:dyDescent="0.3">
      <c r="B97" s="264" t="s">
        <v>161</v>
      </c>
      <c r="C97" s="265"/>
      <c r="D97" s="276"/>
      <c r="E97" s="276"/>
      <c r="F97" s="276"/>
      <c r="G97" s="276"/>
      <c r="H97" s="277"/>
      <c r="I97" s="276"/>
      <c r="J97" s="282"/>
      <c r="K97" s="282"/>
      <c r="L97" s="282"/>
      <c r="M97" s="283"/>
      <c r="N97" s="282"/>
      <c r="O97" s="282"/>
      <c r="P97" s="282"/>
      <c r="Q97" s="282"/>
      <c r="R97" s="283"/>
    </row>
    <row r="98" spans="2:20" s="55" customFormat="1" ht="14.4" customHeight="1" outlineLevel="1" x14ac:dyDescent="0.3">
      <c r="B98" s="158" t="s">
        <v>163</v>
      </c>
      <c r="C98" s="159"/>
      <c r="D98" s="37">
        <v>304</v>
      </c>
      <c r="E98" s="37">
        <v>314</v>
      </c>
      <c r="F98" s="37">
        <v>338</v>
      </c>
      <c r="G98" s="37">
        <v>231</v>
      </c>
      <c r="H98" s="26"/>
      <c r="I98" s="37">
        <v>205</v>
      </c>
      <c r="J98" s="37">
        <f>((J96)*J99*J51)/1000</f>
        <v>380.16</v>
      </c>
      <c r="K98" s="37">
        <f>((K96)*K99*K51)/1000</f>
        <v>397.44</v>
      </c>
      <c r="L98" s="37">
        <f>((L96)*L99*L51)/1000</f>
        <v>397.44</v>
      </c>
      <c r="M98" s="26"/>
      <c r="N98" s="37">
        <f>((N96)*N99*N51)/1000</f>
        <v>345.6</v>
      </c>
      <c r="O98" s="37">
        <f>((O96)*O99*O51)/1000</f>
        <v>380.16</v>
      </c>
      <c r="P98" s="37">
        <f>((P96)*P99*P51)/1000</f>
        <v>397.44</v>
      </c>
      <c r="Q98" s="37">
        <f>((Q96)*Q99*Q51)/1000</f>
        <v>397.44</v>
      </c>
      <c r="R98" s="26"/>
    </row>
    <row r="99" spans="2:20" s="55" customFormat="1" ht="14.4" customHeight="1" outlineLevel="1" x14ac:dyDescent="0.3">
      <c r="B99" s="214" t="s">
        <v>192</v>
      </c>
      <c r="C99" s="215"/>
      <c r="D99" s="63">
        <f>D98/(((D96)/1000)*D44)</f>
        <v>1.7233560090702946</v>
      </c>
      <c r="E99" s="60">
        <f>E98/(((E96)/1000)*E44)</f>
        <v>1.5390497103253571</v>
      </c>
      <c r="F99" s="60">
        <f>F98/(((F96)/1000)*F44)</f>
        <v>1.630676006870067</v>
      </c>
      <c r="G99" s="60">
        <f>G98/(((G96)/1000)*G44)</f>
        <v>1.1229291436571516</v>
      </c>
      <c r="H99" s="35"/>
      <c r="I99" s="60">
        <f>I98/(((I96)/1000)*I44)</f>
        <v>1.075810531397924</v>
      </c>
      <c r="J99" s="62">
        <v>1.08</v>
      </c>
      <c r="K99" s="62">
        <v>1.08</v>
      </c>
      <c r="L99" s="62">
        <v>1.08</v>
      </c>
      <c r="M99" s="61"/>
      <c r="N99" s="62">
        <v>1.08</v>
      </c>
      <c r="O99" s="62">
        <v>1.08</v>
      </c>
      <c r="P99" s="62">
        <v>1.08</v>
      </c>
      <c r="Q99" s="62">
        <v>1.08</v>
      </c>
      <c r="R99" s="35"/>
    </row>
    <row r="100" spans="2:20" s="84" customFormat="1" ht="14.4" customHeight="1" outlineLevel="1" x14ac:dyDescent="0.3">
      <c r="B100" s="214" t="s">
        <v>199</v>
      </c>
      <c r="C100" s="215"/>
      <c r="D100" s="37">
        <v>102</v>
      </c>
      <c r="E100" s="37">
        <v>96</v>
      </c>
      <c r="F100" s="37">
        <v>176</v>
      </c>
      <c r="G100" s="37">
        <v>91</v>
      </c>
      <c r="H100" s="26"/>
      <c r="I100" s="37">
        <v>110</v>
      </c>
      <c r="J100" s="123">
        <f>(J98/0.7)-J98</f>
        <v>162.92571428571438</v>
      </c>
      <c r="K100" s="91">
        <f t="shared" ref="K100:L100" si="85">(K98/0.7)-K98</f>
        <v>170.3314285714286</v>
      </c>
      <c r="L100" s="91">
        <f t="shared" si="85"/>
        <v>170.3314285714286</v>
      </c>
      <c r="M100" s="26"/>
      <c r="N100" s="91">
        <f t="shared" ref="N100:Q100" si="86">(N98/0.7)-N98</f>
        <v>148.11428571428576</v>
      </c>
      <c r="O100" s="91">
        <f t="shared" si="86"/>
        <v>162.92571428571438</v>
      </c>
      <c r="P100" s="91">
        <f t="shared" si="86"/>
        <v>170.3314285714286</v>
      </c>
      <c r="Q100" s="91">
        <f t="shared" si="86"/>
        <v>170.3314285714286</v>
      </c>
      <c r="R100" s="26"/>
      <c r="S100" s="292"/>
      <c r="T100" s="293"/>
    </row>
    <row r="101" spans="2:20" s="84" customFormat="1" ht="14.4" customHeight="1" outlineLevel="1" x14ac:dyDescent="0.3">
      <c r="B101" s="214" t="s">
        <v>211</v>
      </c>
      <c r="C101" s="215"/>
      <c r="D101" s="37">
        <v>0</v>
      </c>
      <c r="E101" s="37">
        <v>-2</v>
      </c>
      <c r="F101" s="37">
        <v>0</v>
      </c>
      <c r="G101" s="37">
        <v>0</v>
      </c>
      <c r="H101" s="26"/>
      <c r="I101" s="37">
        <v>0</v>
      </c>
      <c r="J101" s="91">
        <v>0</v>
      </c>
      <c r="K101" s="91">
        <v>0</v>
      </c>
      <c r="L101" s="91">
        <v>0</v>
      </c>
      <c r="M101" s="26"/>
      <c r="N101" s="91">
        <v>0</v>
      </c>
      <c r="O101" s="91">
        <v>0</v>
      </c>
      <c r="P101" s="91">
        <v>0</v>
      </c>
      <c r="Q101" s="91">
        <v>0</v>
      </c>
      <c r="R101" s="26"/>
      <c r="S101" s="292"/>
      <c r="T101" s="293"/>
    </row>
    <row r="102" spans="2:20" s="84" customFormat="1" ht="14.4" customHeight="1" outlineLevel="1" x14ac:dyDescent="0.45">
      <c r="B102" s="214" t="s">
        <v>144</v>
      </c>
      <c r="C102" s="215"/>
      <c r="D102" s="185">
        <v>24</v>
      </c>
      <c r="E102" s="185">
        <v>23</v>
      </c>
      <c r="F102" s="185">
        <v>25</v>
      </c>
      <c r="G102" s="185">
        <v>25</v>
      </c>
      <c r="H102" s="186"/>
      <c r="I102" s="185">
        <v>25</v>
      </c>
      <c r="J102" s="294">
        <f>I102</f>
        <v>25</v>
      </c>
      <c r="K102" s="294">
        <f>J102</f>
        <v>25</v>
      </c>
      <c r="L102" s="294">
        <f>K102</f>
        <v>25</v>
      </c>
      <c r="M102" s="186"/>
      <c r="N102" s="294">
        <f>L102</f>
        <v>25</v>
      </c>
      <c r="O102" s="294">
        <f>N102</f>
        <v>25</v>
      </c>
      <c r="P102" s="294">
        <f>O102</f>
        <v>25</v>
      </c>
      <c r="Q102" s="294">
        <f>P102</f>
        <v>25</v>
      </c>
      <c r="R102" s="186"/>
      <c r="S102" s="292"/>
      <c r="T102" s="293"/>
    </row>
    <row r="103" spans="2:20" s="55" customFormat="1" ht="14.4" customHeight="1" outlineLevel="1" x14ac:dyDescent="0.3">
      <c r="B103" s="216" t="s">
        <v>209</v>
      </c>
      <c r="C103" s="215"/>
      <c r="D103" s="187">
        <f>D98+D100+D102+D101</f>
        <v>430</v>
      </c>
      <c r="E103" s="187">
        <f t="shared" ref="E103:G103" si="87">E98+E100+E102+E101</f>
        <v>431</v>
      </c>
      <c r="F103" s="187">
        <f t="shared" si="87"/>
        <v>539</v>
      </c>
      <c r="G103" s="187">
        <f t="shared" si="87"/>
        <v>347</v>
      </c>
      <c r="H103" s="26"/>
      <c r="I103" s="187">
        <f t="shared" ref="I103:L103" si="88">I98+I100+I102+I101</f>
        <v>340</v>
      </c>
      <c r="J103" s="187">
        <f t="shared" si="88"/>
        <v>568.0857142857144</v>
      </c>
      <c r="K103" s="187">
        <f t="shared" si="88"/>
        <v>592.7714285714286</v>
      </c>
      <c r="L103" s="187">
        <f t="shared" si="88"/>
        <v>592.7714285714286</v>
      </c>
      <c r="M103" s="26"/>
      <c r="N103" s="187">
        <f t="shared" ref="N103:Q103" si="89">N98+N100+N102+N101</f>
        <v>518.71428571428578</v>
      </c>
      <c r="O103" s="187">
        <f t="shared" si="89"/>
        <v>568.0857142857144</v>
      </c>
      <c r="P103" s="187">
        <f t="shared" si="89"/>
        <v>592.7714285714286</v>
      </c>
      <c r="Q103" s="187">
        <f t="shared" si="89"/>
        <v>592.7714285714286</v>
      </c>
      <c r="R103" s="26"/>
      <c r="S103" s="14"/>
      <c r="T103" s="221"/>
    </row>
    <row r="104" spans="2:20" s="84" customFormat="1" ht="14.4" customHeight="1" outlineLevel="1" x14ac:dyDescent="0.3">
      <c r="B104" s="214" t="s">
        <v>201</v>
      </c>
      <c r="C104" s="215"/>
      <c r="D104" s="37">
        <v>-110</v>
      </c>
      <c r="E104" s="37">
        <v>-132</v>
      </c>
      <c r="F104" s="37">
        <v>10</v>
      </c>
      <c r="G104" s="37">
        <v>1</v>
      </c>
      <c r="H104" s="26"/>
      <c r="I104" s="37">
        <v>0</v>
      </c>
      <c r="J104" s="91">
        <f>I104</f>
        <v>0</v>
      </c>
      <c r="K104" s="91">
        <f>J104</f>
        <v>0</v>
      </c>
      <c r="L104" s="91">
        <f>K104</f>
        <v>0</v>
      </c>
      <c r="M104" s="26"/>
      <c r="N104" s="91">
        <f>L104</f>
        <v>0</v>
      </c>
      <c r="O104" s="91">
        <f>N104</f>
        <v>0</v>
      </c>
      <c r="P104" s="91">
        <f>O104</f>
        <v>0</v>
      </c>
      <c r="Q104" s="91">
        <f>P104</f>
        <v>0</v>
      </c>
      <c r="R104" s="26"/>
      <c r="S104" s="292"/>
      <c r="T104" s="293"/>
    </row>
    <row r="105" spans="2:20" s="55" customFormat="1" ht="14.4" customHeight="1" outlineLevel="1" x14ac:dyDescent="0.3">
      <c r="B105" s="216" t="s">
        <v>210</v>
      </c>
      <c r="C105" s="215"/>
      <c r="D105" s="187">
        <f>D103+D104</f>
        <v>320</v>
      </c>
      <c r="E105" s="187">
        <f t="shared" ref="E105" si="90">E103+E104</f>
        <v>299</v>
      </c>
      <c r="F105" s="187">
        <f t="shared" ref="F105" si="91">F103+F104</f>
        <v>549</v>
      </c>
      <c r="G105" s="187">
        <f t="shared" ref="G105" si="92">G103+G104</f>
        <v>348</v>
      </c>
      <c r="H105" s="26"/>
      <c r="I105" s="187">
        <f t="shared" ref="I105" si="93">I103+I104</f>
        <v>340</v>
      </c>
      <c r="J105" s="187">
        <f t="shared" ref="J105" si="94">J103+J104</f>
        <v>568.0857142857144</v>
      </c>
      <c r="K105" s="187">
        <f t="shared" ref="K105" si="95">K103+K104</f>
        <v>592.7714285714286</v>
      </c>
      <c r="L105" s="187">
        <f t="shared" ref="L105" si="96">L103+L104</f>
        <v>592.7714285714286</v>
      </c>
      <c r="M105" s="26"/>
      <c r="N105" s="187">
        <f t="shared" ref="N105" si="97">N103+N104</f>
        <v>518.71428571428578</v>
      </c>
      <c r="O105" s="187">
        <f t="shared" ref="O105" si="98">O103+O104</f>
        <v>568.0857142857144</v>
      </c>
      <c r="P105" s="187">
        <f t="shared" ref="P105" si="99">P103+P104</f>
        <v>592.7714285714286</v>
      </c>
      <c r="Q105" s="187">
        <f t="shared" ref="Q105" si="100">Q103+Q104</f>
        <v>592.7714285714286</v>
      </c>
      <c r="R105" s="26"/>
      <c r="S105" s="14"/>
      <c r="T105" s="221"/>
    </row>
    <row r="106" spans="2:20" s="55" customFormat="1" ht="14.4" customHeight="1" outlineLevel="1" thickBot="1" x14ac:dyDescent="0.35">
      <c r="B106" s="287" t="s">
        <v>217</v>
      </c>
      <c r="C106" s="288"/>
      <c r="D106" s="314">
        <v>110</v>
      </c>
      <c r="E106" s="314">
        <v>132</v>
      </c>
      <c r="F106" s="314">
        <v>-6</v>
      </c>
      <c r="G106" s="314">
        <v>4</v>
      </c>
      <c r="H106" s="315"/>
      <c r="I106" s="314">
        <v>0</v>
      </c>
      <c r="J106" s="317">
        <f>I106</f>
        <v>0</v>
      </c>
      <c r="K106" s="317">
        <f>J106</f>
        <v>0</v>
      </c>
      <c r="L106" s="317">
        <f>K106</f>
        <v>0</v>
      </c>
      <c r="M106" s="315"/>
      <c r="N106" s="317">
        <f>L106</f>
        <v>0</v>
      </c>
      <c r="O106" s="317">
        <f>N106</f>
        <v>0</v>
      </c>
      <c r="P106" s="317">
        <f>O106</f>
        <v>0</v>
      </c>
      <c r="Q106" s="317">
        <f>P106</f>
        <v>0</v>
      </c>
      <c r="R106" s="315"/>
      <c r="S106" s="14"/>
      <c r="T106" s="221"/>
    </row>
    <row r="107" spans="2:20" s="55" customFormat="1" ht="14.4" customHeight="1" x14ac:dyDescent="0.3">
      <c r="B107" s="224" t="s">
        <v>162</v>
      </c>
      <c r="C107" s="225"/>
      <c r="D107" s="121"/>
      <c r="E107" s="121"/>
      <c r="F107" s="121"/>
      <c r="G107" s="121"/>
      <c r="H107" s="122"/>
      <c r="I107" s="121"/>
      <c r="J107" s="37"/>
      <c r="K107" s="37"/>
      <c r="L107" s="37"/>
      <c r="M107" s="26"/>
      <c r="N107" s="37"/>
      <c r="O107" s="37"/>
      <c r="P107" s="37"/>
      <c r="Q107" s="37"/>
      <c r="R107" s="26"/>
    </row>
    <row r="108" spans="2:20" s="55" customFormat="1" ht="14.4" customHeight="1" outlineLevel="1" x14ac:dyDescent="0.3">
      <c r="B108" s="214" t="s">
        <v>194</v>
      </c>
      <c r="C108" s="215"/>
      <c r="D108" s="37">
        <v>-125</v>
      </c>
      <c r="E108" s="37">
        <v>-123</v>
      </c>
      <c r="F108" s="37">
        <v>-116</v>
      </c>
      <c r="G108" s="37">
        <v>-126</v>
      </c>
      <c r="H108" s="26"/>
      <c r="I108" s="37">
        <v>-127</v>
      </c>
      <c r="J108" s="321">
        <v>-122.5</v>
      </c>
      <c r="K108" s="91">
        <f>J108</f>
        <v>-122.5</v>
      </c>
      <c r="L108" s="91">
        <f>K108</f>
        <v>-122.5</v>
      </c>
      <c r="M108" s="26"/>
      <c r="N108" s="91">
        <f>L108</f>
        <v>-122.5</v>
      </c>
      <c r="O108" s="91">
        <f>N108</f>
        <v>-122.5</v>
      </c>
      <c r="P108" s="91">
        <f>O108</f>
        <v>-122.5</v>
      </c>
      <c r="Q108" s="91">
        <f>P108</f>
        <v>-122.5</v>
      </c>
      <c r="R108" s="26"/>
    </row>
    <row r="109" spans="2:20" s="55" customFormat="1" ht="14.4" customHeight="1" outlineLevel="1" x14ac:dyDescent="0.3">
      <c r="B109" s="236" t="s">
        <v>212</v>
      </c>
      <c r="C109" s="237"/>
      <c r="D109" s="37">
        <v>-77</v>
      </c>
      <c r="E109" s="37">
        <v>-70</v>
      </c>
      <c r="F109" s="37">
        <v>-66</v>
      </c>
      <c r="G109" s="37">
        <v>-68</v>
      </c>
      <c r="H109" s="26"/>
      <c r="I109" s="37">
        <v>-83</v>
      </c>
      <c r="J109" s="91">
        <f>0.6*J108</f>
        <v>-73.5</v>
      </c>
      <c r="K109" s="91">
        <f t="shared" ref="K109:L109" si="101">0.6*K108</f>
        <v>-73.5</v>
      </c>
      <c r="L109" s="91">
        <f t="shared" si="101"/>
        <v>-73.5</v>
      </c>
      <c r="M109" s="26"/>
      <c r="N109" s="91">
        <f t="shared" ref="N109:Q109" si="102">0.6*N108</f>
        <v>-73.5</v>
      </c>
      <c r="O109" s="91">
        <f t="shared" si="102"/>
        <v>-73.5</v>
      </c>
      <c r="P109" s="91">
        <f t="shared" si="102"/>
        <v>-73.5</v>
      </c>
      <c r="Q109" s="91">
        <f t="shared" si="102"/>
        <v>-73.5</v>
      </c>
      <c r="R109" s="26"/>
    </row>
    <row r="110" spans="2:20" s="43" customFormat="1" ht="14.25" customHeight="1" x14ac:dyDescent="0.3">
      <c r="B110" s="212" t="s">
        <v>213</v>
      </c>
      <c r="C110" s="213"/>
      <c r="D110" s="126"/>
      <c r="E110" s="126"/>
      <c r="F110" s="37">
        <v>7</v>
      </c>
      <c r="G110" s="126"/>
      <c r="H110" s="219"/>
      <c r="I110" s="126"/>
      <c r="J110" s="187"/>
      <c r="K110" s="187"/>
      <c r="L110" s="187"/>
      <c r="M110" s="220"/>
      <c r="N110" s="187"/>
      <c r="O110" s="187"/>
      <c r="P110" s="187"/>
      <c r="Q110" s="187"/>
      <c r="R110" s="220"/>
      <c r="T110" s="55"/>
    </row>
    <row r="111" spans="2:20" s="43" customFormat="1" ht="14.25" customHeight="1" thickBot="1" x14ac:dyDescent="0.35">
      <c r="B111" s="287" t="s">
        <v>218</v>
      </c>
      <c r="C111" s="288"/>
      <c r="D111" s="314">
        <v>0</v>
      </c>
      <c r="E111" s="314">
        <v>4</v>
      </c>
      <c r="F111" s="314">
        <v>-4</v>
      </c>
      <c r="G111" s="314">
        <v>-9</v>
      </c>
      <c r="H111" s="315"/>
      <c r="I111" s="314">
        <v>0</v>
      </c>
      <c r="J111" s="317">
        <f>I111</f>
        <v>0</v>
      </c>
      <c r="K111" s="317">
        <f>J111</f>
        <v>0</v>
      </c>
      <c r="L111" s="317">
        <f>K111</f>
        <v>0</v>
      </c>
      <c r="M111" s="315"/>
      <c r="N111" s="317">
        <f>L111</f>
        <v>0</v>
      </c>
      <c r="O111" s="317">
        <f>N111</f>
        <v>0</v>
      </c>
      <c r="P111" s="317">
        <f>O111</f>
        <v>0</v>
      </c>
      <c r="Q111" s="317">
        <f>P111</f>
        <v>0</v>
      </c>
      <c r="R111" s="315"/>
      <c r="T111" s="55"/>
    </row>
    <row r="112" spans="2:20" s="41" customFormat="1" outlineLevel="1" x14ac:dyDescent="0.3">
      <c r="B112" s="252" t="s">
        <v>46</v>
      </c>
      <c r="C112" s="253"/>
      <c r="D112" s="25">
        <f>D29/D28</f>
        <v>0.28170028818443804</v>
      </c>
      <c r="E112" s="25">
        <f>E29/E28</f>
        <v>0.30034129692832767</v>
      </c>
      <c r="F112" s="25">
        <f>F29/F28</f>
        <v>0.32513777024162782</v>
      </c>
      <c r="G112" s="25">
        <f>G29/G28</f>
        <v>0.19951923076923078</v>
      </c>
      <c r="H112" s="35">
        <f>H29/H28</f>
        <v>0.29185969556585045</v>
      </c>
      <c r="I112" s="25">
        <f>I29/I28</f>
        <v>0.33221476510067116</v>
      </c>
      <c r="J112" s="184">
        <v>0.35</v>
      </c>
      <c r="K112" s="27">
        <v>0.34025437461395386</v>
      </c>
      <c r="L112" s="27">
        <v>0.32318557958654753</v>
      </c>
      <c r="M112" s="35">
        <f>M29/M28</f>
        <v>0.33884441630385781</v>
      </c>
      <c r="N112" s="27">
        <v>0.32669999999999999</v>
      </c>
      <c r="O112" s="27">
        <v>0.33</v>
      </c>
      <c r="P112" s="27">
        <v>0.33</v>
      </c>
      <c r="Q112" s="27">
        <v>0.33</v>
      </c>
      <c r="R112" s="35">
        <f>R29/R28</f>
        <v>0.32930873623266044</v>
      </c>
      <c r="T112" s="55"/>
    </row>
    <row r="113" spans="2:33" s="23" customFormat="1" ht="15" customHeight="1" outlineLevel="1" x14ac:dyDescent="0.45">
      <c r="B113" s="236" t="s">
        <v>30</v>
      </c>
      <c r="C113" s="237"/>
      <c r="D113" s="25"/>
      <c r="E113" s="25">
        <f>(E35+E117)/D35-1</f>
        <v>1.1175465158699271E-3</v>
      </c>
      <c r="F113" s="25">
        <f>(F35+F117)/E35-1</f>
        <v>8.1750294243487787E-4</v>
      </c>
      <c r="G113" s="25">
        <f>(G35+G117)/F35-1</f>
        <v>1.4322605240610908E-3</v>
      </c>
      <c r="H113" s="189"/>
      <c r="I113" s="25">
        <f>(I35+I117)/G35-1</f>
        <v>4.4594415724130698E-4</v>
      </c>
      <c r="J113" s="27">
        <v>1E-3</v>
      </c>
      <c r="K113" s="27">
        <v>1E-3</v>
      </c>
      <c r="L113" s="27">
        <v>1E-3</v>
      </c>
      <c r="M113" s="8"/>
      <c r="N113" s="27">
        <v>1E-3</v>
      </c>
      <c r="O113" s="27">
        <v>1E-3</v>
      </c>
      <c r="P113" s="27">
        <v>1E-3</v>
      </c>
      <c r="Q113" s="27">
        <v>1E-3</v>
      </c>
      <c r="R113" s="8"/>
      <c r="T113" s="55"/>
    </row>
    <row r="114" spans="2:33" s="23" customFormat="1" ht="15" customHeight="1" outlineLevel="1" x14ac:dyDescent="0.45">
      <c r="B114" s="236" t="s">
        <v>31</v>
      </c>
      <c r="C114" s="237"/>
      <c r="D114" s="25"/>
      <c r="E114" s="25">
        <f>(E36+E117)/D36-1</f>
        <v>1.4205801892686054E-3</v>
      </c>
      <c r="F114" s="25">
        <f>(F36+F117)/E36-1</f>
        <v>8.6573782258447807E-4</v>
      </c>
      <c r="G114" s="25">
        <f>(G36+G117)/F36-1</f>
        <v>5.1575924919600169E-4</v>
      </c>
      <c r="H114" s="189"/>
      <c r="I114" s="25">
        <f>(I36+I117)/G36-1</f>
        <v>-1.1787170635545463E-3</v>
      </c>
      <c r="J114" s="27">
        <v>1E-3</v>
      </c>
      <c r="K114" s="27">
        <v>1E-3</v>
      </c>
      <c r="L114" s="27">
        <v>1E-3</v>
      </c>
      <c r="M114" s="8"/>
      <c r="N114" s="27">
        <v>1E-3</v>
      </c>
      <c r="O114" s="27">
        <v>1E-3</v>
      </c>
      <c r="P114" s="27">
        <v>1E-3</v>
      </c>
      <c r="Q114" s="27">
        <v>1E-3</v>
      </c>
      <c r="R114" s="8"/>
      <c r="T114" s="55"/>
    </row>
    <row r="115" spans="2:33" s="55" customFormat="1" ht="15" customHeight="1" outlineLevel="1" x14ac:dyDescent="0.45">
      <c r="B115" s="236" t="s">
        <v>32</v>
      </c>
      <c r="C115" s="237"/>
      <c r="D115" s="119">
        <v>85.59</v>
      </c>
      <c r="E115" s="119">
        <v>85.59</v>
      </c>
      <c r="F115" s="119">
        <v>85.59</v>
      </c>
      <c r="G115" s="119">
        <v>85.59</v>
      </c>
      <c r="H115" s="127"/>
      <c r="I115" s="119">
        <f>I116/I117</f>
        <v>79.80888323899147</v>
      </c>
      <c r="J115" s="123">
        <v>80</v>
      </c>
      <c r="K115" s="123">
        <v>80</v>
      </c>
      <c r="L115" s="123">
        <v>80</v>
      </c>
      <c r="M115" s="127"/>
      <c r="N115" s="123">
        <v>80</v>
      </c>
      <c r="O115" s="123">
        <v>80</v>
      </c>
      <c r="P115" s="123">
        <v>80</v>
      </c>
      <c r="Q115" s="123">
        <v>80</v>
      </c>
      <c r="R115" s="127"/>
      <c r="S115" s="14"/>
    </row>
    <row r="116" spans="2:33" s="55" customFormat="1" ht="15" customHeight="1" outlineLevel="1" x14ac:dyDescent="0.3">
      <c r="B116" s="236" t="s">
        <v>33</v>
      </c>
      <c r="C116" s="237"/>
      <c r="D116" s="37">
        <v>399</v>
      </c>
      <c r="E116" s="323">
        <v>334</v>
      </c>
      <c r="F116" s="37">
        <v>373</v>
      </c>
      <c r="G116" s="37">
        <f>G117*G115</f>
        <v>405.00605987999995</v>
      </c>
      <c r="H116" s="120"/>
      <c r="I116" s="37">
        <v>391</v>
      </c>
      <c r="J116" s="91">
        <v>350</v>
      </c>
      <c r="K116" s="91">
        <v>350</v>
      </c>
      <c r="L116" s="91">
        <v>350</v>
      </c>
      <c r="M116" s="26"/>
      <c r="N116" s="91">
        <v>350</v>
      </c>
      <c r="O116" s="91">
        <v>350</v>
      </c>
      <c r="P116" s="91">
        <v>350</v>
      </c>
      <c r="Q116" s="91">
        <v>350</v>
      </c>
      <c r="R116" s="26"/>
      <c r="S116" s="14"/>
    </row>
    <row r="117" spans="2:33" s="55" customFormat="1" ht="15" customHeight="1" outlineLevel="1" x14ac:dyDescent="0.45">
      <c r="B117" s="236" t="s">
        <v>34</v>
      </c>
      <c r="C117" s="237"/>
      <c r="D117" s="99">
        <v>5.6431259999999996</v>
      </c>
      <c r="E117" s="99">
        <v>4.1956389999999999</v>
      </c>
      <c r="F117" s="99">
        <v>4.7052259999999997</v>
      </c>
      <c r="G117" s="99">
        <v>4.7319319999999996</v>
      </c>
      <c r="H117" s="127"/>
      <c r="I117" s="99">
        <v>4.8992040000000001</v>
      </c>
      <c r="J117" s="28">
        <f t="shared" ref="J117" si="103">IF((J116)&gt;0,(J116/J115),0)</f>
        <v>4.375</v>
      </c>
      <c r="K117" s="28">
        <f t="shared" ref="K117" si="104">IF((K116)&gt;0,(K116/K115),0)</f>
        <v>4.375</v>
      </c>
      <c r="L117" s="28">
        <f t="shared" ref="L117" si="105">IF((L116)&gt;0,(L116/L115),0)</f>
        <v>4.375</v>
      </c>
      <c r="M117" s="34"/>
      <c r="N117" s="28">
        <f>IF((N116)&gt;0,(N116/N115),0)</f>
        <v>4.375</v>
      </c>
      <c r="O117" s="28">
        <f t="shared" ref="O117" si="106">IF((O116)&gt;0,(O116/O115),0)</f>
        <v>4.375</v>
      </c>
      <c r="P117" s="28">
        <f t="shared" ref="P117" si="107">IF((P116)&gt;0,(P116/P115),0)</f>
        <v>4.375</v>
      </c>
      <c r="Q117" s="28">
        <f t="shared" ref="Q117" si="108">IF((Q116)&gt;0,(Q116/Q115),0)</f>
        <v>4.375</v>
      </c>
      <c r="R117" s="34"/>
      <c r="S117" s="14"/>
    </row>
    <row r="118" spans="2:33" s="23" customFormat="1" ht="15" customHeight="1" x14ac:dyDescent="0.45">
      <c r="B118" s="49" t="s">
        <v>29</v>
      </c>
      <c r="C118" s="24"/>
      <c r="D118" s="128"/>
      <c r="E118" s="128"/>
      <c r="F118" s="128"/>
      <c r="G118" s="128"/>
      <c r="H118" s="129"/>
      <c r="I118" s="128"/>
      <c r="J118" s="89"/>
      <c r="K118" s="89"/>
      <c r="L118" s="89"/>
      <c r="M118" s="90"/>
      <c r="N118" s="89"/>
      <c r="O118" s="89"/>
      <c r="P118" s="89"/>
      <c r="Q118" s="89"/>
      <c r="R118" s="90"/>
    </row>
    <row r="119" spans="2:33" s="43" customFormat="1" ht="15" customHeight="1" x14ac:dyDescent="0.3">
      <c r="B119" s="20"/>
      <c r="C119" s="85"/>
      <c r="D119" s="136"/>
      <c r="E119" s="136"/>
      <c r="F119" s="136"/>
      <c r="G119" s="136"/>
      <c r="H119" s="119"/>
      <c r="I119" s="136"/>
      <c r="J119" s="37"/>
      <c r="K119" s="37"/>
      <c r="L119" s="37"/>
      <c r="M119" s="37"/>
      <c r="N119" s="37"/>
      <c r="O119" s="37"/>
      <c r="P119" s="37"/>
      <c r="Q119" s="37"/>
      <c r="R119" s="37"/>
      <c r="S119" s="59"/>
    </row>
    <row r="120" spans="2:33" s="43" customFormat="1" ht="15.6" x14ac:dyDescent="0.3">
      <c r="B120" s="232" t="s">
        <v>62</v>
      </c>
      <c r="C120" s="233"/>
      <c r="D120" s="130"/>
      <c r="E120" s="130"/>
      <c r="F120" s="130"/>
      <c r="G120" s="130"/>
      <c r="H120" s="130"/>
      <c r="I120" s="130"/>
      <c r="J120" s="86"/>
      <c r="K120" s="86"/>
      <c r="L120" s="86"/>
      <c r="M120" s="86"/>
      <c r="N120" s="86"/>
      <c r="O120" s="86"/>
      <c r="P120" s="86"/>
      <c r="Q120" s="86"/>
      <c r="R120" s="86"/>
      <c r="S120" s="86"/>
      <c r="T120" s="86"/>
      <c r="U120" s="86"/>
      <c r="V120" s="86"/>
      <c r="W120" s="86"/>
      <c r="X120" s="86"/>
      <c r="Y120" s="86"/>
      <c r="Z120" s="86"/>
      <c r="AA120" s="86"/>
      <c r="AB120" s="86"/>
      <c r="AC120" s="86"/>
      <c r="AD120" s="86"/>
      <c r="AE120" s="86"/>
      <c r="AF120" s="86"/>
      <c r="AG120" s="86"/>
    </row>
    <row r="121" spans="2:33" s="43" customFormat="1" outlineLevel="1" x14ac:dyDescent="0.3">
      <c r="B121" s="240" t="s">
        <v>0</v>
      </c>
      <c r="C121" s="241"/>
      <c r="D121" s="116" t="s">
        <v>3</v>
      </c>
      <c r="E121" s="116" t="s">
        <v>4</v>
      </c>
      <c r="F121" s="116" t="s">
        <v>5</v>
      </c>
      <c r="G121" s="116" t="s">
        <v>7</v>
      </c>
      <c r="H121" s="116" t="s">
        <v>7</v>
      </c>
      <c r="I121" s="328" t="s">
        <v>8</v>
      </c>
    </row>
    <row r="122" spans="2:33" s="43" customFormat="1" ht="16.2" outlineLevel="1" x14ac:dyDescent="0.45">
      <c r="B122" s="240"/>
      <c r="C122" s="241"/>
      <c r="D122" s="117" t="s">
        <v>35</v>
      </c>
      <c r="E122" s="117" t="s">
        <v>36</v>
      </c>
      <c r="F122" s="117" t="s">
        <v>44</v>
      </c>
      <c r="G122" s="117" t="s">
        <v>51</v>
      </c>
      <c r="H122" s="117" t="s">
        <v>52</v>
      </c>
      <c r="I122" s="329" t="s">
        <v>114</v>
      </c>
    </row>
    <row r="123" spans="2:33" s="43" customFormat="1" outlineLevel="1" x14ac:dyDescent="0.3">
      <c r="B123" s="254" t="s">
        <v>63</v>
      </c>
      <c r="C123" s="255"/>
      <c r="D123" s="102"/>
      <c r="E123" s="103"/>
      <c r="F123" s="104"/>
      <c r="G123" s="104"/>
      <c r="H123" s="105"/>
      <c r="I123" s="330"/>
    </row>
    <row r="124" spans="2:33" s="43" customFormat="1" outlineLevel="1" x14ac:dyDescent="0.3">
      <c r="B124" s="236" t="s">
        <v>64</v>
      </c>
      <c r="C124" s="237"/>
      <c r="D124" s="162">
        <v>5390</v>
      </c>
      <c r="E124" s="162">
        <v>5089</v>
      </c>
      <c r="F124" s="190">
        <v>4822</v>
      </c>
      <c r="G124" s="162">
        <v>3074</v>
      </c>
      <c r="H124" s="191">
        <f>G124</f>
        <v>3074</v>
      </c>
      <c r="I124" s="331">
        <v>1723</v>
      </c>
      <c r="J124" s="55"/>
    </row>
    <row r="125" spans="2:33" s="43" customFormat="1" outlineLevel="1" x14ac:dyDescent="0.3">
      <c r="B125" s="236" t="s">
        <v>94</v>
      </c>
      <c r="C125" s="237"/>
      <c r="D125" s="162">
        <v>0</v>
      </c>
      <c r="E125" s="162">
        <v>0</v>
      </c>
      <c r="F125" s="162">
        <v>0</v>
      </c>
      <c r="G125" s="162">
        <v>0</v>
      </c>
      <c r="H125" s="191">
        <f t="shared" ref="H125:H128" si="109">G125</f>
        <v>0</v>
      </c>
      <c r="I125" s="173">
        <v>0</v>
      </c>
    </row>
    <row r="126" spans="2:33" s="43" customFormat="1" outlineLevel="1" x14ac:dyDescent="0.3">
      <c r="B126" s="236" t="s">
        <v>65</v>
      </c>
      <c r="C126" s="237"/>
      <c r="D126" s="162">
        <v>5737</v>
      </c>
      <c r="E126" s="162">
        <v>6567</v>
      </c>
      <c r="F126" s="162">
        <v>5198</v>
      </c>
      <c r="G126" s="162">
        <v>5173</v>
      </c>
      <c r="H126" s="191">
        <f t="shared" si="109"/>
        <v>5173</v>
      </c>
      <c r="I126" s="173">
        <v>4737</v>
      </c>
    </row>
    <row r="127" spans="2:33" s="43" customFormat="1" outlineLevel="1" x14ac:dyDescent="0.3">
      <c r="B127" s="106" t="s">
        <v>116</v>
      </c>
      <c r="C127" s="98"/>
      <c r="D127" s="162">
        <v>4166</v>
      </c>
      <c r="E127" s="162">
        <v>4126</v>
      </c>
      <c r="F127" s="162">
        <v>4388</v>
      </c>
      <c r="G127" s="162">
        <v>3477</v>
      </c>
      <c r="H127" s="191">
        <f t="shared" si="109"/>
        <v>3477</v>
      </c>
      <c r="I127" s="173">
        <v>4108</v>
      </c>
    </row>
    <row r="128" spans="2:33" s="43" customFormat="1" outlineLevel="1" x14ac:dyDescent="0.3">
      <c r="B128" s="236" t="s">
        <v>66</v>
      </c>
      <c r="C128" s="237"/>
      <c r="D128" s="162">
        <v>851</v>
      </c>
      <c r="E128" s="162">
        <v>752</v>
      </c>
      <c r="F128" s="162">
        <v>641</v>
      </c>
      <c r="G128" s="162">
        <v>532</v>
      </c>
      <c r="H128" s="191">
        <f t="shared" si="109"/>
        <v>532</v>
      </c>
      <c r="I128" s="173">
        <v>648</v>
      </c>
    </row>
    <row r="129" spans="2:9" s="43" customFormat="1" outlineLevel="1" x14ac:dyDescent="0.3">
      <c r="B129" s="224" t="s">
        <v>67</v>
      </c>
      <c r="C129" s="225"/>
      <c r="D129" s="167">
        <f t="shared" ref="D129:H129" si="110">SUM(D124:D128)</f>
        <v>16144</v>
      </c>
      <c r="E129" s="167">
        <f t="shared" si="110"/>
        <v>16534</v>
      </c>
      <c r="F129" s="167">
        <f t="shared" si="110"/>
        <v>15049</v>
      </c>
      <c r="G129" s="167">
        <f t="shared" si="110"/>
        <v>12256</v>
      </c>
      <c r="H129" s="192">
        <f t="shared" si="110"/>
        <v>12256</v>
      </c>
      <c r="I129" s="301">
        <f t="shared" ref="I129" si="111">SUM(I124:I128)</f>
        <v>11216</v>
      </c>
    </row>
    <row r="130" spans="2:9" s="43" customFormat="1" outlineLevel="1" x14ac:dyDescent="0.3">
      <c r="B130" s="236" t="s">
        <v>68</v>
      </c>
      <c r="C130" s="237"/>
      <c r="D130" s="162">
        <v>17918</v>
      </c>
      <c r="E130" s="162">
        <v>18765</v>
      </c>
      <c r="F130" s="162">
        <v>19257</v>
      </c>
      <c r="G130" s="162">
        <v>19721</v>
      </c>
      <c r="H130" s="191">
        <f t="shared" ref="H130:H133" si="112">G130</f>
        <v>19721</v>
      </c>
      <c r="I130" s="173">
        <v>20075</v>
      </c>
    </row>
    <row r="131" spans="2:9" s="43" customFormat="1" outlineLevel="1" x14ac:dyDescent="0.3">
      <c r="B131" s="80" t="s">
        <v>95</v>
      </c>
      <c r="C131" s="81"/>
      <c r="D131" s="162">
        <v>882</v>
      </c>
      <c r="E131" s="162">
        <v>880</v>
      </c>
      <c r="F131" s="162">
        <v>879</v>
      </c>
      <c r="G131" s="162">
        <v>906</v>
      </c>
      <c r="H131" s="191">
        <f t="shared" si="112"/>
        <v>906</v>
      </c>
      <c r="I131" s="173">
        <v>901</v>
      </c>
    </row>
    <row r="132" spans="2:9" s="43" customFormat="1" outlineLevel="1" x14ac:dyDescent="0.3">
      <c r="B132" s="92" t="s">
        <v>96</v>
      </c>
      <c r="C132" s="93"/>
      <c r="D132" s="162">
        <v>3274</v>
      </c>
      <c r="E132" s="162">
        <v>3275</v>
      </c>
      <c r="F132" s="162">
        <v>3275</v>
      </c>
      <c r="G132" s="162">
        <v>3275</v>
      </c>
      <c r="H132" s="191">
        <f t="shared" si="112"/>
        <v>3275</v>
      </c>
      <c r="I132" s="173">
        <v>3275</v>
      </c>
    </row>
    <row r="133" spans="2:9" s="43" customFormat="1" outlineLevel="1" x14ac:dyDescent="0.3">
      <c r="B133" s="236" t="s">
        <v>97</v>
      </c>
      <c r="C133" s="237"/>
      <c r="D133" s="162">
        <f>10529+330</f>
        <v>10859</v>
      </c>
      <c r="E133" s="162">
        <f>10070+350</f>
        <v>10420</v>
      </c>
      <c r="F133" s="162">
        <f>10601+354</f>
        <v>10955</v>
      </c>
      <c r="G133" s="162">
        <f>12143+279</f>
        <v>12422</v>
      </c>
      <c r="H133" s="191">
        <f t="shared" si="112"/>
        <v>12422</v>
      </c>
      <c r="I133" s="173">
        <f>12449+330</f>
        <v>12779</v>
      </c>
    </row>
    <row r="134" spans="2:9" s="43" customFormat="1" outlineLevel="1" x14ac:dyDescent="0.3">
      <c r="B134" s="224" t="s">
        <v>69</v>
      </c>
      <c r="C134" s="225"/>
      <c r="D134" s="167">
        <f t="shared" ref="D134" si="113">SUM(D129:D133)</f>
        <v>49077</v>
      </c>
      <c r="E134" s="167">
        <f t="shared" ref="E134:G134" si="114">SUM(E129:E133)</f>
        <v>49874</v>
      </c>
      <c r="F134" s="167">
        <f t="shared" si="114"/>
        <v>49415</v>
      </c>
      <c r="G134" s="167">
        <f t="shared" si="114"/>
        <v>48580</v>
      </c>
      <c r="H134" s="192">
        <f>SUM(H129:H133)</f>
        <v>48580</v>
      </c>
      <c r="I134" s="301">
        <f t="shared" ref="I134" si="115">SUM(I129:I133)</f>
        <v>48246</v>
      </c>
    </row>
    <row r="135" spans="2:9" s="43" customFormat="1" ht="6.75" customHeight="1" outlineLevel="1" x14ac:dyDescent="0.3">
      <c r="B135" s="256"/>
      <c r="C135" s="257"/>
      <c r="D135" s="162"/>
      <c r="E135" s="162"/>
      <c r="F135" s="162"/>
      <c r="G135" s="162"/>
      <c r="H135" s="191"/>
      <c r="I135" s="173"/>
    </row>
    <row r="136" spans="2:9" s="43" customFormat="1" outlineLevel="1" x14ac:dyDescent="0.3">
      <c r="B136" s="254" t="s">
        <v>70</v>
      </c>
      <c r="C136" s="255"/>
      <c r="D136" s="162"/>
      <c r="E136" s="162"/>
      <c r="F136" s="162"/>
      <c r="G136" s="162"/>
      <c r="H136" s="191"/>
      <c r="I136" s="173"/>
    </row>
    <row r="137" spans="2:9" s="43" customFormat="1" outlineLevel="1" x14ac:dyDescent="0.3">
      <c r="B137" s="236" t="s">
        <v>71</v>
      </c>
      <c r="C137" s="237"/>
      <c r="D137" s="162">
        <v>6965</v>
      </c>
      <c r="E137" s="162">
        <v>7749</v>
      </c>
      <c r="F137" s="162">
        <v>6151</v>
      </c>
      <c r="G137" s="162">
        <v>5155</v>
      </c>
      <c r="H137" s="191">
        <f t="shared" ref="H137:H139" si="116">G137</f>
        <v>5155</v>
      </c>
      <c r="I137" s="173">
        <v>5063</v>
      </c>
    </row>
    <row r="138" spans="2:9" s="43" customFormat="1" outlineLevel="1" x14ac:dyDescent="0.3">
      <c r="B138" s="252" t="s">
        <v>98</v>
      </c>
      <c r="C138" s="253"/>
      <c r="D138" s="162">
        <f>1112-752+2504</f>
        <v>2864</v>
      </c>
      <c r="E138" s="162">
        <f>774+13+1497</f>
        <v>2284</v>
      </c>
      <c r="F138" s="162">
        <f>980-667+2368</f>
        <v>2681</v>
      </c>
      <c r="G138" s="162">
        <f>878+954+500</f>
        <v>2332</v>
      </c>
      <c r="H138" s="191">
        <f t="shared" si="116"/>
        <v>2332</v>
      </c>
      <c r="I138" s="173">
        <f>820+800+704</f>
        <v>2324</v>
      </c>
    </row>
    <row r="139" spans="2:9" s="43" customFormat="1" outlineLevel="1" x14ac:dyDescent="0.3">
      <c r="B139" s="252" t="s">
        <v>99</v>
      </c>
      <c r="C139" s="253"/>
      <c r="D139" s="162">
        <v>35</v>
      </c>
      <c r="E139" s="162">
        <v>42</v>
      </c>
      <c r="F139" s="162">
        <v>43</v>
      </c>
      <c r="G139" s="162">
        <v>44</v>
      </c>
      <c r="H139" s="191">
        <f t="shared" si="116"/>
        <v>44</v>
      </c>
      <c r="I139" s="173">
        <v>32</v>
      </c>
    </row>
    <row r="140" spans="2:9" s="43" customFormat="1" outlineLevel="1" x14ac:dyDescent="0.3">
      <c r="B140" s="224" t="s">
        <v>72</v>
      </c>
      <c r="C140" s="225"/>
      <c r="D140" s="167">
        <f t="shared" ref="D140:H140" si="117">SUM(D137:D139)</f>
        <v>9864</v>
      </c>
      <c r="E140" s="167">
        <f t="shared" si="117"/>
        <v>10075</v>
      </c>
      <c r="F140" s="167">
        <f t="shared" si="117"/>
        <v>8875</v>
      </c>
      <c r="G140" s="167">
        <f t="shared" si="117"/>
        <v>7531</v>
      </c>
      <c r="H140" s="192">
        <f t="shared" si="117"/>
        <v>7531</v>
      </c>
      <c r="I140" s="301">
        <f t="shared" ref="I140" si="118">SUM(I137:I139)</f>
        <v>7419</v>
      </c>
    </row>
    <row r="141" spans="2:9" s="44" customFormat="1" outlineLevel="1" x14ac:dyDescent="0.3">
      <c r="B141" s="82" t="s">
        <v>100</v>
      </c>
      <c r="C141" s="83"/>
      <c r="D141" s="162">
        <v>0</v>
      </c>
      <c r="E141" s="162">
        <v>0</v>
      </c>
      <c r="F141" s="162">
        <v>0</v>
      </c>
      <c r="G141" s="162">
        <v>0</v>
      </c>
      <c r="H141" s="193">
        <f t="shared" ref="H141:H144" si="119">G141</f>
        <v>0</v>
      </c>
      <c r="I141" s="173">
        <v>0</v>
      </c>
    </row>
    <row r="142" spans="2:9" s="44" customFormat="1" outlineLevel="1" x14ac:dyDescent="0.3">
      <c r="B142" s="94" t="s">
        <v>107</v>
      </c>
      <c r="C142" s="95"/>
      <c r="D142" s="162">
        <v>8914</v>
      </c>
      <c r="E142" s="162">
        <v>8923</v>
      </c>
      <c r="F142" s="162">
        <v>8903</v>
      </c>
      <c r="G142" s="162">
        <v>8843</v>
      </c>
      <c r="H142" s="193">
        <f t="shared" si="119"/>
        <v>8843</v>
      </c>
      <c r="I142" s="173">
        <v>8803</v>
      </c>
    </row>
    <row r="143" spans="2:9" s="44" customFormat="1" outlineLevel="1" x14ac:dyDescent="0.3">
      <c r="B143" s="94" t="s">
        <v>101</v>
      </c>
      <c r="C143" s="95"/>
      <c r="D143" s="162">
        <v>5483</v>
      </c>
      <c r="E143" s="162">
        <v>5447</v>
      </c>
      <c r="F143" s="162">
        <v>5401</v>
      </c>
      <c r="G143" s="162">
        <v>6041</v>
      </c>
      <c r="H143" s="193">
        <f t="shared" si="119"/>
        <v>6041</v>
      </c>
      <c r="I143" s="173">
        <v>6089</v>
      </c>
    </row>
    <row r="144" spans="2:9" s="43" customFormat="1" ht="15.75" customHeight="1" outlineLevel="1" x14ac:dyDescent="0.3">
      <c r="B144" s="236" t="s">
        <v>73</v>
      </c>
      <c r="C144" s="237"/>
      <c r="D144" s="162">
        <f>26482-9864-8914-5483</f>
        <v>2221</v>
      </c>
      <c r="E144" s="162">
        <f>26651-10075-8923-5447</f>
        <v>2206</v>
      </c>
      <c r="F144" s="162">
        <f>25383-8875-8903-5401</f>
        <v>2204</v>
      </c>
      <c r="G144" s="162">
        <f>24642-7531-8843-6041</f>
        <v>2227</v>
      </c>
      <c r="H144" s="193">
        <f t="shared" si="119"/>
        <v>2227</v>
      </c>
      <c r="I144" s="173">
        <f>24603-8803-6089-7419</f>
        <v>2292</v>
      </c>
    </row>
    <row r="145" spans="2:10" s="43" customFormat="1" outlineLevel="1" x14ac:dyDescent="0.3">
      <c r="B145" s="224" t="s">
        <v>74</v>
      </c>
      <c r="C145" s="225"/>
      <c r="D145" s="167">
        <f t="shared" ref="D145:I145" si="120">SUM(D140:D144)</f>
        <v>26482</v>
      </c>
      <c r="E145" s="167">
        <f t="shared" si="120"/>
        <v>26651</v>
      </c>
      <c r="F145" s="194">
        <f t="shared" si="120"/>
        <v>25383</v>
      </c>
      <c r="G145" s="167">
        <f t="shared" si="120"/>
        <v>24642</v>
      </c>
      <c r="H145" s="192">
        <f t="shared" si="120"/>
        <v>24642</v>
      </c>
      <c r="I145" s="332">
        <f t="shared" si="120"/>
        <v>24603</v>
      </c>
    </row>
    <row r="146" spans="2:10" s="43" customFormat="1" ht="6.75" customHeight="1" outlineLevel="1" x14ac:dyDescent="0.3">
      <c r="B146" s="256"/>
      <c r="C146" s="257"/>
      <c r="D146" s="162"/>
      <c r="E146" s="162"/>
      <c r="F146" s="190"/>
      <c r="G146" s="162"/>
      <c r="H146" s="191"/>
      <c r="I146" s="331"/>
    </row>
    <row r="147" spans="2:10" s="43" customFormat="1" ht="15.6" customHeight="1" outlineLevel="1" x14ac:dyDescent="0.3">
      <c r="B147" s="96" t="s">
        <v>102</v>
      </c>
      <c r="C147" s="97"/>
      <c r="D147" s="162">
        <v>0</v>
      </c>
      <c r="E147" s="162">
        <v>0</v>
      </c>
      <c r="F147" s="190">
        <v>0</v>
      </c>
      <c r="G147" s="162">
        <v>0</v>
      </c>
      <c r="H147" s="191">
        <f>G147</f>
        <v>0</v>
      </c>
      <c r="I147" s="331">
        <v>0</v>
      </c>
    </row>
    <row r="148" spans="2:10" s="43" customFormat="1" outlineLevel="1" x14ac:dyDescent="0.3">
      <c r="B148" s="254" t="s">
        <v>75</v>
      </c>
      <c r="C148" s="255"/>
      <c r="D148" s="162"/>
      <c r="E148" s="162"/>
      <c r="F148" s="190"/>
      <c r="G148" s="162"/>
      <c r="H148" s="191"/>
      <c r="I148" s="331"/>
    </row>
    <row r="149" spans="2:10" s="44" customFormat="1" outlineLevel="1" x14ac:dyDescent="0.3">
      <c r="B149" s="82" t="s">
        <v>103</v>
      </c>
      <c r="C149" s="83"/>
      <c r="D149" s="162">
        <v>0</v>
      </c>
      <c r="E149" s="162">
        <v>0</v>
      </c>
      <c r="F149" s="190">
        <v>0</v>
      </c>
      <c r="G149" s="190">
        <v>0</v>
      </c>
      <c r="H149" s="191">
        <f t="shared" ref="H149:H154" si="121">G149</f>
        <v>0</v>
      </c>
      <c r="I149" s="331">
        <v>0</v>
      </c>
    </row>
    <row r="150" spans="2:10" s="43" customFormat="1" outlineLevel="1" x14ac:dyDescent="0.3">
      <c r="B150" s="252" t="s">
        <v>105</v>
      </c>
      <c r="C150" s="253"/>
      <c r="D150" s="160">
        <v>6</v>
      </c>
      <c r="E150" s="161">
        <v>6</v>
      </c>
      <c r="F150" s="161">
        <v>6</v>
      </c>
      <c r="G150" s="190">
        <v>6</v>
      </c>
      <c r="H150" s="191">
        <f t="shared" si="121"/>
        <v>6</v>
      </c>
      <c r="I150" s="331">
        <v>6</v>
      </c>
    </row>
    <row r="151" spans="2:10" s="43" customFormat="1" outlineLevel="1" x14ac:dyDescent="0.3">
      <c r="B151" s="106" t="s">
        <v>117</v>
      </c>
      <c r="C151" s="101"/>
      <c r="D151" s="161">
        <v>-6633</v>
      </c>
      <c r="E151" s="161">
        <v>-6967</v>
      </c>
      <c r="F151" s="161">
        <v>-7340</v>
      </c>
      <c r="G151" s="190">
        <v>-7746</v>
      </c>
      <c r="H151" s="191">
        <f t="shared" si="121"/>
        <v>-7746</v>
      </c>
      <c r="I151" s="331">
        <v>-8137</v>
      </c>
    </row>
    <row r="152" spans="2:10" s="43" customFormat="1" outlineLevel="1" x14ac:dyDescent="0.3">
      <c r="B152" s="94" t="s">
        <v>104</v>
      </c>
      <c r="C152" s="95"/>
      <c r="D152" s="162">
        <v>19060</v>
      </c>
      <c r="E152" s="162">
        <v>19093</v>
      </c>
      <c r="F152" s="190">
        <v>19116</v>
      </c>
      <c r="G152" s="190">
        <v>19145</v>
      </c>
      <c r="H152" s="191">
        <f t="shared" si="121"/>
        <v>19145</v>
      </c>
      <c r="I152" s="331">
        <v>19142</v>
      </c>
    </row>
    <row r="153" spans="2:10" s="43" customFormat="1" outlineLevel="1" x14ac:dyDescent="0.3">
      <c r="B153" s="94" t="s">
        <v>106</v>
      </c>
      <c r="C153" s="95"/>
      <c r="D153" s="162">
        <v>-694</v>
      </c>
      <c r="E153" s="162">
        <v>-469</v>
      </c>
      <c r="F153" s="190">
        <v>-588</v>
      </c>
      <c r="G153" s="190">
        <v>-653</v>
      </c>
      <c r="H153" s="191">
        <f t="shared" si="121"/>
        <v>-653</v>
      </c>
      <c r="I153" s="331">
        <v>-657</v>
      </c>
    </row>
    <row r="154" spans="2:10" s="43" customFormat="1" outlineLevel="1" x14ac:dyDescent="0.3">
      <c r="B154" s="106" t="s">
        <v>118</v>
      </c>
      <c r="C154" s="101"/>
      <c r="D154" s="162">
        <v>10021</v>
      </c>
      <c r="E154" s="162">
        <v>10726</v>
      </c>
      <c r="F154" s="190">
        <v>12000</v>
      </c>
      <c r="G154" s="190">
        <v>12348</v>
      </c>
      <c r="H154" s="191">
        <f t="shared" si="121"/>
        <v>12348</v>
      </c>
      <c r="I154" s="331">
        <v>12434</v>
      </c>
    </row>
    <row r="155" spans="2:10" s="43" customFormat="1" outlineLevel="1" x14ac:dyDescent="0.3">
      <c r="B155" s="224" t="s">
        <v>76</v>
      </c>
      <c r="C155" s="225"/>
      <c r="D155" s="165">
        <f>SUM(D149:D154)</f>
        <v>21760</v>
      </c>
      <c r="E155" s="165">
        <f>SUM(E149:E154)</f>
        <v>22389</v>
      </c>
      <c r="F155" s="195">
        <f>SUM(F149:F154)</f>
        <v>23194</v>
      </c>
      <c r="G155" s="195">
        <f>SUM(G149:G154)</f>
        <v>23100</v>
      </c>
      <c r="H155" s="192">
        <f>SUM(H150:H154)</f>
        <v>23100</v>
      </c>
      <c r="I155" s="205">
        <f>SUM(I149:I154)</f>
        <v>22788</v>
      </c>
    </row>
    <row r="156" spans="2:10" s="43" customFormat="1" outlineLevel="1" x14ac:dyDescent="0.3">
      <c r="B156" s="260" t="s">
        <v>119</v>
      </c>
      <c r="C156" s="261"/>
      <c r="D156" s="162">
        <v>835</v>
      </c>
      <c r="E156" s="162">
        <v>834</v>
      </c>
      <c r="F156" s="162">
        <v>838</v>
      </c>
      <c r="G156" s="162">
        <v>838</v>
      </c>
      <c r="H156" s="191">
        <f>G156</f>
        <v>838</v>
      </c>
      <c r="I156" s="173">
        <v>855</v>
      </c>
    </row>
    <row r="157" spans="2:10" s="43" customFormat="1" ht="16.2" outlineLevel="1" x14ac:dyDescent="0.45">
      <c r="B157" s="147" t="s">
        <v>120</v>
      </c>
      <c r="C157" s="110"/>
      <c r="D157" s="182">
        <f>D155+D156</f>
        <v>22595</v>
      </c>
      <c r="E157" s="182">
        <f t="shared" ref="E157:G157" si="122">E155+E156</f>
        <v>23223</v>
      </c>
      <c r="F157" s="182">
        <f t="shared" si="122"/>
        <v>24032</v>
      </c>
      <c r="G157" s="182">
        <f t="shared" si="122"/>
        <v>23938</v>
      </c>
      <c r="H157" s="196">
        <f>H155+H156</f>
        <v>23938</v>
      </c>
      <c r="I157" s="333">
        <f>I155+I156</f>
        <v>23643</v>
      </c>
    </row>
    <row r="158" spans="2:10" s="43" customFormat="1" outlineLevel="1" x14ac:dyDescent="0.3">
      <c r="B158" s="258" t="s">
        <v>77</v>
      </c>
      <c r="C158" s="259"/>
      <c r="D158" s="197">
        <f>D157+D145</f>
        <v>49077</v>
      </c>
      <c r="E158" s="197">
        <f t="shared" ref="E158:G158" si="123">E157+E145</f>
        <v>49874</v>
      </c>
      <c r="F158" s="197">
        <f t="shared" si="123"/>
        <v>49415</v>
      </c>
      <c r="G158" s="197">
        <f t="shared" si="123"/>
        <v>48580</v>
      </c>
      <c r="H158" s="198">
        <f>H157+H145</f>
        <v>48580</v>
      </c>
      <c r="I158" s="334">
        <f>I157+I145</f>
        <v>48246</v>
      </c>
    </row>
    <row r="159" spans="2:10" s="43" customFormat="1" x14ac:dyDescent="0.3">
      <c r="B159" s="17"/>
      <c r="C159" s="87"/>
      <c r="D159" s="111">
        <f t="shared" ref="D159:I159" si="124">D158-D134</f>
        <v>0</v>
      </c>
      <c r="E159" s="111">
        <f t="shared" si="124"/>
        <v>0</v>
      </c>
      <c r="F159" s="111">
        <f t="shared" si="124"/>
        <v>0</v>
      </c>
      <c r="G159" s="111">
        <f t="shared" si="124"/>
        <v>0</v>
      </c>
      <c r="H159" s="111">
        <f t="shared" si="124"/>
        <v>0</v>
      </c>
      <c r="I159" s="100">
        <f t="shared" si="124"/>
        <v>0</v>
      </c>
      <c r="J159" s="340"/>
    </row>
    <row r="160" spans="2:10" s="43" customFormat="1" ht="15.6" x14ac:dyDescent="0.3">
      <c r="B160" s="232" t="s">
        <v>78</v>
      </c>
      <c r="C160" s="233"/>
      <c r="D160" s="113"/>
      <c r="E160" s="111"/>
      <c r="F160" s="112"/>
      <c r="G160" s="112"/>
      <c r="H160" s="112"/>
      <c r="I160" s="339"/>
      <c r="J160" s="340"/>
    </row>
    <row r="161" spans="2:9" s="43" customFormat="1" outlineLevel="1" x14ac:dyDescent="0.3">
      <c r="B161" s="240" t="s">
        <v>0</v>
      </c>
      <c r="C161" s="241"/>
      <c r="D161" s="116" t="s">
        <v>3</v>
      </c>
      <c r="E161" s="116" t="s">
        <v>4</v>
      </c>
      <c r="F161" s="116" t="s">
        <v>5</v>
      </c>
      <c r="G161" s="116" t="s">
        <v>7</v>
      </c>
      <c r="H161" s="116" t="s">
        <v>7</v>
      </c>
      <c r="I161" s="328" t="s">
        <v>8</v>
      </c>
    </row>
    <row r="162" spans="2:9" s="43" customFormat="1" ht="16.2" outlineLevel="1" x14ac:dyDescent="0.45">
      <c r="B162" s="240"/>
      <c r="C162" s="241"/>
      <c r="D162" s="117" t="s">
        <v>35</v>
      </c>
      <c r="E162" s="117" t="s">
        <v>36</v>
      </c>
      <c r="F162" s="117" t="s">
        <v>44</v>
      </c>
      <c r="G162" s="117" t="s">
        <v>51</v>
      </c>
      <c r="H162" s="117" t="s">
        <v>52</v>
      </c>
      <c r="I162" s="329" t="s">
        <v>114</v>
      </c>
    </row>
    <row r="163" spans="2:9" s="43" customFormat="1" outlineLevel="1" x14ac:dyDescent="0.3">
      <c r="B163" s="254" t="s">
        <v>79</v>
      </c>
      <c r="C163" s="255"/>
      <c r="D163" s="200"/>
      <c r="E163" s="201"/>
      <c r="F163" s="202"/>
      <c r="G163" s="202"/>
      <c r="H163" s="203"/>
      <c r="I163" s="335"/>
    </row>
    <row r="164" spans="2:9" s="43" customFormat="1" outlineLevel="1" x14ac:dyDescent="0.3">
      <c r="B164" s="236" t="s">
        <v>80</v>
      </c>
      <c r="C164" s="237"/>
      <c r="D164" s="175">
        <v>997</v>
      </c>
      <c r="E164" s="176">
        <v>1025</v>
      </c>
      <c r="F164" s="176">
        <v>1592</v>
      </c>
      <c r="G164" s="177">
        <v>666</v>
      </c>
      <c r="H164" s="178">
        <f>SUM(D164:G164)</f>
        <v>4280</v>
      </c>
      <c r="I164" s="335">
        <v>398</v>
      </c>
    </row>
    <row r="165" spans="2:9" s="43" customFormat="1" outlineLevel="1" x14ac:dyDescent="0.3">
      <c r="B165" s="236" t="s">
        <v>81</v>
      </c>
      <c r="C165" s="237"/>
      <c r="D165" s="175">
        <v>253</v>
      </c>
      <c r="E165" s="176">
        <v>274</v>
      </c>
      <c r="F165" s="176">
        <v>270</v>
      </c>
      <c r="G165" s="176">
        <v>281</v>
      </c>
      <c r="H165" s="178">
        <f>SUM(D165:G165)</f>
        <v>1078</v>
      </c>
      <c r="I165" s="335">
        <v>280</v>
      </c>
    </row>
    <row r="166" spans="2:9" s="43" customFormat="1" outlineLevel="1" x14ac:dyDescent="0.3">
      <c r="B166" s="80" t="s">
        <v>121</v>
      </c>
      <c r="C166" s="81"/>
      <c r="D166" s="204">
        <v>0</v>
      </c>
      <c r="E166" s="199">
        <v>2</v>
      </c>
      <c r="F166" s="199">
        <v>1</v>
      </c>
      <c r="G166" s="176">
        <v>4</v>
      </c>
      <c r="H166" s="178">
        <f t="shared" ref="H166:H172" si="125">SUM(D166:G166)</f>
        <v>7</v>
      </c>
      <c r="I166" s="335">
        <v>0</v>
      </c>
    </row>
    <row r="167" spans="2:9" s="43" customFormat="1" outlineLevel="1" x14ac:dyDescent="0.3">
      <c r="B167" s="92" t="s">
        <v>122</v>
      </c>
      <c r="C167" s="93"/>
      <c r="D167" s="204">
        <v>5</v>
      </c>
      <c r="E167" s="199">
        <v>6</v>
      </c>
      <c r="F167" s="199">
        <v>5</v>
      </c>
      <c r="G167" s="176">
        <v>5</v>
      </c>
      <c r="H167" s="178">
        <f t="shared" si="125"/>
        <v>21</v>
      </c>
      <c r="I167" s="335">
        <v>5</v>
      </c>
    </row>
    <row r="168" spans="2:9" s="43" customFormat="1" outlineLevel="1" x14ac:dyDescent="0.3">
      <c r="B168" s="236" t="s">
        <v>108</v>
      </c>
      <c r="C168" s="237"/>
      <c r="D168" s="204">
        <v>-6</v>
      </c>
      <c r="E168" s="199">
        <v>-75</v>
      </c>
      <c r="F168" s="199">
        <v>-44</v>
      </c>
      <c r="G168" s="176">
        <v>654</v>
      </c>
      <c r="H168" s="178">
        <f t="shared" si="125"/>
        <v>529</v>
      </c>
      <c r="I168" s="335">
        <v>154</v>
      </c>
    </row>
    <row r="169" spans="2:9" s="43" customFormat="1" outlineLevel="1" x14ac:dyDescent="0.3">
      <c r="B169" s="106" t="s">
        <v>123</v>
      </c>
      <c r="C169" s="107"/>
      <c r="D169" s="204">
        <v>-337</v>
      </c>
      <c r="E169" s="199">
        <v>662</v>
      </c>
      <c r="F169" s="199">
        <v>-308</v>
      </c>
      <c r="G169" s="176">
        <v>168</v>
      </c>
      <c r="H169" s="178">
        <f t="shared" si="125"/>
        <v>185</v>
      </c>
      <c r="I169" s="335">
        <v>-166</v>
      </c>
    </row>
    <row r="170" spans="2:9" s="43" customFormat="1" outlineLevel="1" x14ac:dyDescent="0.3">
      <c r="B170" s="106" t="s">
        <v>124</v>
      </c>
      <c r="C170" s="107"/>
      <c r="D170" s="204">
        <v>-122</v>
      </c>
      <c r="E170" s="199">
        <v>-139</v>
      </c>
      <c r="F170" s="199">
        <v>-22</v>
      </c>
      <c r="G170" s="176">
        <v>0</v>
      </c>
      <c r="H170" s="178">
        <f t="shared" si="125"/>
        <v>-283</v>
      </c>
      <c r="I170" s="335">
        <v>0</v>
      </c>
    </row>
    <row r="171" spans="2:9" s="43" customFormat="1" outlineLevel="1" x14ac:dyDescent="0.3">
      <c r="B171" s="106" t="s">
        <v>125</v>
      </c>
      <c r="C171" s="107"/>
      <c r="D171" s="204">
        <v>0</v>
      </c>
      <c r="E171" s="199">
        <v>0</v>
      </c>
      <c r="F171" s="199">
        <v>0</v>
      </c>
      <c r="G171" s="176">
        <v>0</v>
      </c>
      <c r="H171" s="178">
        <f t="shared" si="125"/>
        <v>0</v>
      </c>
      <c r="I171" s="335">
        <v>0</v>
      </c>
    </row>
    <row r="172" spans="2:9" s="43" customFormat="1" outlineLevel="1" x14ac:dyDescent="0.3">
      <c r="B172" s="80" t="s">
        <v>109</v>
      </c>
      <c r="C172" s="81"/>
      <c r="D172" s="204">
        <v>90</v>
      </c>
      <c r="E172" s="199">
        <v>4</v>
      </c>
      <c r="F172" s="199">
        <v>-24</v>
      </c>
      <c r="G172" s="176">
        <v>47</v>
      </c>
      <c r="H172" s="178">
        <f t="shared" si="125"/>
        <v>117</v>
      </c>
      <c r="I172" s="335">
        <v>51</v>
      </c>
    </row>
    <row r="173" spans="2:9" s="43" customFormat="1" ht="4.5" customHeight="1" outlineLevel="1" x14ac:dyDescent="0.3">
      <c r="B173" s="256"/>
      <c r="C173" s="257"/>
      <c r="D173" s="204"/>
      <c r="E173" s="199"/>
      <c r="F173" s="199"/>
      <c r="G173" s="176"/>
      <c r="H173" s="178"/>
      <c r="I173" s="335"/>
    </row>
    <row r="174" spans="2:9" s="43" customFormat="1" outlineLevel="1" x14ac:dyDescent="0.3">
      <c r="B174" s="254" t="s">
        <v>82</v>
      </c>
      <c r="C174" s="255"/>
      <c r="D174" s="204"/>
      <c r="E174" s="199"/>
      <c r="F174" s="199"/>
      <c r="G174" s="199"/>
      <c r="H174" s="178"/>
      <c r="I174" s="335"/>
    </row>
    <row r="175" spans="2:9" s="43" customFormat="1" outlineLevel="1" x14ac:dyDescent="0.3">
      <c r="B175" s="236" t="s">
        <v>83</v>
      </c>
      <c r="C175" s="237"/>
      <c r="D175" s="175">
        <v>1684</v>
      </c>
      <c r="E175" s="176">
        <v>-766</v>
      </c>
      <c r="F175" s="176">
        <v>1240</v>
      </c>
      <c r="G175" s="176">
        <v>0</v>
      </c>
      <c r="H175" s="191">
        <f t="shared" ref="H175:H190" si="126">SUM(D175:G175)</f>
        <v>2158</v>
      </c>
      <c r="I175" s="335">
        <v>524</v>
      </c>
    </row>
    <row r="176" spans="2:9" s="43" customFormat="1" outlineLevel="1" x14ac:dyDescent="0.3">
      <c r="B176" s="236" t="s">
        <v>116</v>
      </c>
      <c r="C176" s="237"/>
      <c r="D176" s="175">
        <v>-834</v>
      </c>
      <c r="E176" s="176">
        <v>87</v>
      </c>
      <c r="F176" s="176">
        <v>-300</v>
      </c>
      <c r="G176" s="176">
        <v>0</v>
      </c>
      <c r="H176" s="191">
        <f>SUM(D176:G176)</f>
        <v>-1047</v>
      </c>
      <c r="I176" s="335">
        <v>-620</v>
      </c>
    </row>
    <row r="177" spans="2:9" s="43" customFormat="1" outlineLevel="1" x14ac:dyDescent="0.3">
      <c r="B177" s="236" t="s">
        <v>84</v>
      </c>
      <c r="C177" s="237"/>
      <c r="D177" s="175">
        <v>-130</v>
      </c>
      <c r="E177" s="176">
        <v>60</v>
      </c>
      <c r="F177" s="176">
        <v>165</v>
      </c>
      <c r="G177" s="176">
        <v>0</v>
      </c>
      <c r="H177" s="178">
        <f t="shared" si="126"/>
        <v>95</v>
      </c>
      <c r="I177" s="335">
        <v>-310</v>
      </c>
    </row>
    <row r="178" spans="2:9" s="43" customFormat="1" outlineLevel="1" x14ac:dyDescent="0.3">
      <c r="B178" s="236" t="s">
        <v>71</v>
      </c>
      <c r="C178" s="237"/>
      <c r="D178" s="175">
        <v>-349</v>
      </c>
      <c r="E178" s="176">
        <v>743</v>
      </c>
      <c r="F178" s="176">
        <v>-1530</v>
      </c>
      <c r="G178" s="176">
        <v>0</v>
      </c>
      <c r="H178" s="178">
        <f t="shared" ref="H178" si="127">SUM(D178:G178)</f>
        <v>-1136</v>
      </c>
      <c r="I178" s="335">
        <v>98</v>
      </c>
    </row>
    <row r="179" spans="2:9" s="43" customFormat="1" outlineLevel="1" x14ac:dyDescent="0.3">
      <c r="B179" s="144" t="s">
        <v>98</v>
      </c>
      <c r="C179" s="145"/>
      <c r="D179" s="175">
        <v>101</v>
      </c>
      <c r="E179" s="176">
        <f>-425-31</f>
        <v>-456</v>
      </c>
      <c r="F179" s="176">
        <v>392</v>
      </c>
      <c r="G179" s="176">
        <v>-328</v>
      </c>
      <c r="H179" s="178">
        <f>SUM(D179:G179)</f>
        <v>-291</v>
      </c>
      <c r="I179" s="335">
        <v>-156</v>
      </c>
    </row>
    <row r="180" spans="2:9" s="43" customFormat="1" outlineLevel="1" x14ac:dyDescent="0.3">
      <c r="B180" s="224" t="s">
        <v>126</v>
      </c>
      <c r="C180" s="225"/>
      <c r="D180" s="164">
        <f t="shared" ref="D180" si="128">SUM(D164:D179)</f>
        <v>1352</v>
      </c>
      <c r="E180" s="165">
        <f t="shared" ref="E180:G180" si="129">SUM(E164:E179)</f>
        <v>1427</v>
      </c>
      <c r="F180" s="165">
        <f t="shared" si="129"/>
        <v>1437</v>
      </c>
      <c r="G180" s="165">
        <f t="shared" si="129"/>
        <v>1497</v>
      </c>
      <c r="H180" s="166">
        <f>SUM(D180:G180)</f>
        <v>5713</v>
      </c>
      <c r="I180" s="336">
        <f>SUM(I164:I179)</f>
        <v>258</v>
      </c>
    </row>
    <row r="181" spans="2:9" s="43" customFormat="1" ht="16.2" outlineLevel="1" x14ac:dyDescent="0.45">
      <c r="B181" s="108" t="s">
        <v>127</v>
      </c>
      <c r="C181" s="109"/>
      <c r="D181" s="168">
        <v>0</v>
      </c>
      <c r="E181" s="169">
        <v>0</v>
      </c>
      <c r="F181" s="169">
        <v>0</v>
      </c>
      <c r="G181" s="169">
        <v>0</v>
      </c>
      <c r="H181" s="170">
        <f>SUM(D181:G181)</f>
        <v>0</v>
      </c>
      <c r="I181" s="337">
        <v>0</v>
      </c>
    </row>
    <row r="182" spans="2:9" s="43" customFormat="1" outlineLevel="1" x14ac:dyDescent="0.3">
      <c r="B182" s="224" t="s">
        <v>126</v>
      </c>
      <c r="C182" s="225"/>
      <c r="D182" s="164">
        <f>D180+D181</f>
        <v>1352</v>
      </c>
      <c r="E182" s="165">
        <f t="shared" ref="E182:G182" si="130">E180+E181</f>
        <v>1427</v>
      </c>
      <c r="F182" s="165">
        <f t="shared" si="130"/>
        <v>1437</v>
      </c>
      <c r="G182" s="165">
        <f t="shared" si="130"/>
        <v>1497</v>
      </c>
      <c r="H182" s="166">
        <f>H180+H181</f>
        <v>5713</v>
      </c>
      <c r="I182" s="336">
        <f>I180+I181</f>
        <v>258</v>
      </c>
    </row>
    <row r="183" spans="2:9" s="43" customFormat="1" ht="4.5" customHeight="1" outlineLevel="1" x14ac:dyDescent="0.3">
      <c r="B183" s="256"/>
      <c r="C183" s="257"/>
      <c r="D183" s="175"/>
      <c r="E183" s="176"/>
      <c r="F183" s="176"/>
      <c r="G183" s="176"/>
      <c r="H183" s="178">
        <f t="shared" si="126"/>
        <v>0</v>
      </c>
      <c r="I183" s="335"/>
    </row>
    <row r="184" spans="2:9" s="43" customFormat="1" outlineLevel="1" x14ac:dyDescent="0.3">
      <c r="B184" s="254" t="s">
        <v>85</v>
      </c>
      <c r="C184" s="255"/>
      <c r="D184" s="175"/>
      <c r="E184" s="176"/>
      <c r="F184" s="176"/>
      <c r="G184" s="176"/>
      <c r="H184" s="178"/>
      <c r="I184" s="335"/>
    </row>
    <row r="185" spans="2:9" s="43" customFormat="1" outlineLevel="1" x14ac:dyDescent="0.3">
      <c r="B185" s="252" t="s">
        <v>128</v>
      </c>
      <c r="C185" s="253"/>
      <c r="D185" s="175">
        <v>-1081</v>
      </c>
      <c r="E185" s="176">
        <v>-1213</v>
      </c>
      <c r="F185" s="176">
        <v>-992</v>
      </c>
      <c r="G185" s="176">
        <v>-2478</v>
      </c>
      <c r="H185" s="178">
        <f t="shared" si="126"/>
        <v>-5764</v>
      </c>
      <c r="I185" s="335">
        <v>-750</v>
      </c>
    </row>
    <row r="186" spans="2:9" s="43" customFormat="1" outlineLevel="1" x14ac:dyDescent="0.3">
      <c r="B186" s="252" t="s">
        <v>129</v>
      </c>
      <c r="C186" s="253"/>
      <c r="D186" s="175">
        <v>-9</v>
      </c>
      <c r="E186" s="176">
        <v>4</v>
      </c>
      <c r="F186" s="176">
        <v>73</v>
      </c>
      <c r="G186" s="176">
        <v>2</v>
      </c>
      <c r="H186" s="178">
        <f t="shared" si="126"/>
        <v>70</v>
      </c>
      <c r="I186" s="335">
        <v>5</v>
      </c>
    </row>
    <row r="187" spans="2:9" s="43" customFormat="1" outlineLevel="1" x14ac:dyDescent="0.3">
      <c r="B187" s="94" t="s">
        <v>130</v>
      </c>
      <c r="C187" s="95"/>
      <c r="D187" s="175">
        <v>-50</v>
      </c>
      <c r="E187" s="176">
        <v>50</v>
      </c>
      <c r="F187" s="176">
        <v>0</v>
      </c>
      <c r="G187" s="176">
        <v>0</v>
      </c>
      <c r="H187" s="178">
        <f t="shared" si="126"/>
        <v>0</v>
      </c>
      <c r="I187" s="335">
        <v>-75</v>
      </c>
    </row>
    <row r="188" spans="2:9" s="43" customFormat="1" outlineLevel="1" x14ac:dyDescent="0.3">
      <c r="B188" s="82" t="s">
        <v>110</v>
      </c>
      <c r="C188" s="142"/>
      <c r="D188" s="175">
        <v>102</v>
      </c>
      <c r="E188" s="176">
        <v>-55</v>
      </c>
      <c r="F188" s="176">
        <v>-45</v>
      </c>
      <c r="G188" s="176">
        <v>-46</v>
      </c>
      <c r="H188" s="178">
        <f t="shared" si="126"/>
        <v>-44</v>
      </c>
      <c r="I188" s="335">
        <v>-42</v>
      </c>
    </row>
    <row r="189" spans="2:9" s="43" customFormat="1" outlineLevel="1" x14ac:dyDescent="0.3">
      <c r="B189" s="143" t="s">
        <v>131</v>
      </c>
      <c r="C189" s="142"/>
      <c r="D189" s="164">
        <f t="shared" ref="D189:I189" si="131">SUM(D185:D188)</f>
        <v>-1038</v>
      </c>
      <c r="E189" s="165">
        <f t="shared" si="131"/>
        <v>-1214</v>
      </c>
      <c r="F189" s="165">
        <f t="shared" si="131"/>
        <v>-964</v>
      </c>
      <c r="G189" s="165">
        <f t="shared" si="131"/>
        <v>-2522</v>
      </c>
      <c r="H189" s="166">
        <f t="shared" si="131"/>
        <v>-5738</v>
      </c>
      <c r="I189" s="336">
        <f t="shared" si="131"/>
        <v>-862</v>
      </c>
    </row>
    <row r="190" spans="2:9" s="43" customFormat="1" ht="16.2" outlineLevel="1" x14ac:dyDescent="0.45">
      <c r="B190" s="144" t="s">
        <v>132</v>
      </c>
      <c r="C190" s="88"/>
      <c r="D190" s="168">
        <v>0</v>
      </c>
      <c r="E190" s="169">
        <v>0</v>
      </c>
      <c r="F190" s="169">
        <v>0</v>
      </c>
      <c r="G190" s="169">
        <v>0</v>
      </c>
      <c r="H190" s="170">
        <f t="shared" si="126"/>
        <v>0</v>
      </c>
      <c r="I190" s="337">
        <v>0</v>
      </c>
    </row>
    <row r="191" spans="2:9" s="43" customFormat="1" outlineLevel="1" x14ac:dyDescent="0.3">
      <c r="B191" s="224" t="s">
        <v>86</v>
      </c>
      <c r="C191" s="225"/>
      <c r="D191" s="164">
        <f>D189+D190</f>
        <v>-1038</v>
      </c>
      <c r="E191" s="165">
        <f t="shared" ref="E191:G191" si="132">E189+E190</f>
        <v>-1214</v>
      </c>
      <c r="F191" s="165">
        <f t="shared" si="132"/>
        <v>-964</v>
      </c>
      <c r="G191" s="165">
        <f t="shared" si="132"/>
        <v>-2522</v>
      </c>
      <c r="H191" s="166">
        <f>H189+H190</f>
        <v>-5738</v>
      </c>
      <c r="I191" s="336">
        <f>I189+I190</f>
        <v>-862</v>
      </c>
    </row>
    <row r="192" spans="2:9" s="43" customFormat="1" ht="4.5" customHeight="1" outlineLevel="1" x14ac:dyDescent="0.3">
      <c r="B192" s="256"/>
      <c r="C192" s="257"/>
      <c r="D192" s="175"/>
      <c r="E192" s="176"/>
      <c r="F192" s="176"/>
      <c r="G192" s="176"/>
      <c r="H192" s="178"/>
      <c r="I192" s="335"/>
    </row>
    <row r="193" spans="2:15" s="43" customFormat="1" outlineLevel="1" x14ac:dyDescent="0.3">
      <c r="B193" s="254" t="s">
        <v>87</v>
      </c>
      <c r="C193" s="255"/>
      <c r="D193" s="175"/>
      <c r="E193" s="176"/>
      <c r="F193" s="176"/>
      <c r="G193" s="176"/>
      <c r="H193" s="178"/>
      <c r="I193" s="335"/>
    </row>
    <row r="194" spans="2:15" s="43" customFormat="1" outlineLevel="1" x14ac:dyDescent="0.3">
      <c r="B194" s="82" t="s">
        <v>133</v>
      </c>
      <c r="C194" s="83"/>
      <c r="D194" s="175">
        <v>1169</v>
      </c>
      <c r="E194" s="176">
        <v>0</v>
      </c>
      <c r="F194" s="176">
        <v>0</v>
      </c>
      <c r="G194" s="176">
        <v>0</v>
      </c>
      <c r="H194" s="178">
        <f t="shared" ref="H194:H195" si="133">SUM(D194:G194)</f>
        <v>1169</v>
      </c>
      <c r="I194" s="335">
        <v>50</v>
      </c>
    </row>
    <row r="195" spans="2:15" s="43" customFormat="1" outlineLevel="1" x14ac:dyDescent="0.3">
      <c r="B195" s="82" t="s">
        <v>134</v>
      </c>
      <c r="C195" s="83"/>
      <c r="D195" s="175">
        <v>-895</v>
      </c>
      <c r="E195" s="176">
        <v>-9</v>
      </c>
      <c r="F195" s="176">
        <v>-14</v>
      </c>
      <c r="G195" s="176">
        <v>-8</v>
      </c>
      <c r="H195" s="178">
        <f t="shared" si="133"/>
        <v>-926</v>
      </c>
      <c r="I195" s="335">
        <v>-100</v>
      </c>
    </row>
    <row r="196" spans="2:15" s="43" customFormat="1" outlineLevel="1" x14ac:dyDescent="0.3">
      <c r="B196" s="252" t="s">
        <v>135</v>
      </c>
      <c r="C196" s="253"/>
      <c r="D196" s="175">
        <v>-25</v>
      </c>
      <c r="E196" s="176">
        <v>0</v>
      </c>
      <c r="F196" s="176">
        <v>-2</v>
      </c>
      <c r="G196" s="176">
        <v>8</v>
      </c>
      <c r="H196" s="178">
        <f>SUM(D196:G196)</f>
        <v>-19</v>
      </c>
      <c r="I196" s="335">
        <v>-31</v>
      </c>
    </row>
    <row r="197" spans="2:15" s="43" customFormat="1" outlineLevel="1" x14ac:dyDescent="0.3">
      <c r="B197" s="252" t="s">
        <v>136</v>
      </c>
      <c r="C197" s="253"/>
      <c r="D197" s="175">
        <v>-399</v>
      </c>
      <c r="E197" s="176">
        <v>-334</v>
      </c>
      <c r="F197" s="176">
        <v>-373</v>
      </c>
      <c r="G197" s="176">
        <v>-406</v>
      </c>
      <c r="H197" s="178">
        <f t="shared" ref="H197:H201" si="134">SUM(D197:G197)</f>
        <v>-1512</v>
      </c>
      <c r="I197" s="335">
        <v>-391</v>
      </c>
    </row>
    <row r="198" spans="2:15" s="43" customFormat="1" outlineLevel="1" x14ac:dyDescent="0.3">
      <c r="B198" s="141" t="s">
        <v>140</v>
      </c>
      <c r="C198" s="142"/>
      <c r="D198" s="175">
        <v>0</v>
      </c>
      <c r="E198" s="176">
        <v>0</v>
      </c>
      <c r="F198" s="176">
        <v>0</v>
      </c>
      <c r="G198" s="176">
        <v>0</v>
      </c>
      <c r="H198" s="178">
        <f t="shared" si="134"/>
        <v>0</v>
      </c>
      <c r="I198" s="335">
        <v>0</v>
      </c>
    </row>
    <row r="199" spans="2:15" s="43" customFormat="1" outlineLevel="1" x14ac:dyDescent="0.3">
      <c r="B199" s="94" t="s">
        <v>137</v>
      </c>
      <c r="C199" s="95"/>
      <c r="D199" s="175">
        <v>-272</v>
      </c>
      <c r="E199" s="176">
        <v>-302</v>
      </c>
      <c r="F199" s="176">
        <v>-300</v>
      </c>
      <c r="G199" s="176">
        <v>-298</v>
      </c>
      <c r="H199" s="178">
        <f t="shared" si="134"/>
        <v>-1172</v>
      </c>
      <c r="I199" s="335">
        <v>-296</v>
      </c>
    </row>
    <row r="200" spans="2:15" s="43" customFormat="1" outlineLevel="1" x14ac:dyDescent="0.3">
      <c r="B200" s="94" t="s">
        <v>138</v>
      </c>
      <c r="C200" s="95"/>
      <c r="D200" s="175">
        <v>-6</v>
      </c>
      <c r="E200" s="176">
        <v>-14</v>
      </c>
      <c r="F200" s="176">
        <v>-10</v>
      </c>
      <c r="G200" s="176">
        <v>-16</v>
      </c>
      <c r="H200" s="178">
        <f t="shared" si="134"/>
        <v>-46</v>
      </c>
      <c r="I200" s="335">
        <v>-11</v>
      </c>
    </row>
    <row r="201" spans="2:15" s="43" customFormat="1" outlineLevel="1" x14ac:dyDescent="0.3">
      <c r="B201" s="94" t="s">
        <v>139</v>
      </c>
      <c r="C201" s="95"/>
      <c r="D201" s="175">
        <v>384</v>
      </c>
      <c r="E201" s="176">
        <v>0</v>
      </c>
      <c r="F201" s="176">
        <v>0</v>
      </c>
      <c r="G201" s="176">
        <v>0</v>
      </c>
      <c r="H201" s="178">
        <f t="shared" si="134"/>
        <v>384</v>
      </c>
      <c r="I201" s="335">
        <v>0</v>
      </c>
    </row>
    <row r="202" spans="2:15" s="43" customFormat="1" ht="16.2" outlineLevel="1" x14ac:dyDescent="0.45">
      <c r="B202" s="252" t="s">
        <v>111</v>
      </c>
      <c r="C202" s="253"/>
      <c r="D202" s="168">
        <v>-14</v>
      </c>
      <c r="E202" s="169">
        <v>16</v>
      </c>
      <c r="F202" s="169">
        <v>0</v>
      </c>
      <c r="G202" s="169">
        <v>3</v>
      </c>
      <c r="H202" s="170">
        <f>SUM(D202:G202)</f>
        <v>5</v>
      </c>
      <c r="I202" s="337">
        <v>-4</v>
      </c>
    </row>
    <row r="203" spans="2:15" s="43" customFormat="1" outlineLevel="1" x14ac:dyDescent="0.3">
      <c r="B203" s="224" t="s">
        <v>88</v>
      </c>
      <c r="C203" s="225"/>
      <c r="D203" s="164">
        <f t="shared" ref="D203:I203" si="135">SUM(D194:D202)</f>
        <v>-58</v>
      </c>
      <c r="E203" s="165">
        <f t="shared" si="135"/>
        <v>-643</v>
      </c>
      <c r="F203" s="165">
        <f t="shared" si="135"/>
        <v>-699</v>
      </c>
      <c r="G203" s="165">
        <f t="shared" si="135"/>
        <v>-717</v>
      </c>
      <c r="H203" s="166">
        <f t="shared" si="135"/>
        <v>-2117</v>
      </c>
      <c r="I203" s="336">
        <f t="shared" si="135"/>
        <v>-783</v>
      </c>
    </row>
    <row r="204" spans="2:15" s="43" customFormat="1" outlineLevel="1" x14ac:dyDescent="0.3">
      <c r="B204" s="224" t="s">
        <v>89</v>
      </c>
      <c r="C204" s="225"/>
      <c r="D204" s="206">
        <f t="shared" ref="D204:I204" si="136">D203+D191+D182</f>
        <v>256</v>
      </c>
      <c r="E204" s="195">
        <f t="shared" si="136"/>
        <v>-430</v>
      </c>
      <c r="F204" s="165">
        <f t="shared" si="136"/>
        <v>-226</v>
      </c>
      <c r="G204" s="195">
        <f t="shared" si="136"/>
        <v>-1742</v>
      </c>
      <c r="H204" s="192">
        <f t="shared" si="136"/>
        <v>-2142</v>
      </c>
      <c r="I204" s="205">
        <f t="shared" si="136"/>
        <v>-1387</v>
      </c>
    </row>
    <row r="205" spans="2:15" s="44" customFormat="1" outlineLevel="1" x14ac:dyDescent="0.3">
      <c r="B205" s="82" t="s">
        <v>90</v>
      </c>
      <c r="C205" s="83"/>
      <c r="D205" s="208">
        <v>-73</v>
      </c>
      <c r="E205" s="207">
        <v>129</v>
      </c>
      <c r="F205" s="161">
        <v>-41</v>
      </c>
      <c r="G205" s="207">
        <v>-6</v>
      </c>
      <c r="H205" s="193">
        <f>SUM(D205:G205)</f>
        <v>9</v>
      </c>
      <c r="I205" s="338">
        <v>36</v>
      </c>
    </row>
    <row r="206" spans="2:15" s="43" customFormat="1" outlineLevel="1" x14ac:dyDescent="0.3">
      <c r="B206" s="224" t="s">
        <v>91</v>
      </c>
      <c r="C206" s="225"/>
      <c r="D206" s="206">
        <v>5207</v>
      </c>
      <c r="E206" s="195">
        <v>5390</v>
      </c>
      <c r="F206" s="165">
        <v>5089</v>
      </c>
      <c r="G206" s="195">
        <v>4822</v>
      </c>
      <c r="H206" s="192">
        <v>5207</v>
      </c>
      <c r="I206" s="335">
        <v>3074</v>
      </c>
    </row>
    <row r="207" spans="2:15" s="43" customFormat="1" outlineLevel="1" x14ac:dyDescent="0.3">
      <c r="B207" s="224" t="s">
        <v>92</v>
      </c>
      <c r="C207" s="225"/>
      <c r="D207" s="164">
        <f t="shared" ref="D207:I207" si="137">D206+D204+D205</f>
        <v>5390</v>
      </c>
      <c r="E207" s="195">
        <f t="shared" si="137"/>
        <v>5089</v>
      </c>
      <c r="F207" s="165">
        <f t="shared" si="137"/>
        <v>4822</v>
      </c>
      <c r="G207" s="195">
        <f t="shared" si="137"/>
        <v>3074</v>
      </c>
      <c r="H207" s="192">
        <f>H206+H204+H205</f>
        <v>3074</v>
      </c>
      <c r="I207" s="205">
        <f>I206+I204+I205</f>
        <v>1723</v>
      </c>
    </row>
    <row r="208" spans="2:15" s="43" customFormat="1" outlineLevel="1" x14ac:dyDescent="0.3">
      <c r="B208" s="262" t="s">
        <v>93</v>
      </c>
      <c r="C208" s="263"/>
      <c r="D208" s="134">
        <f>(D124+D125-D141)/D36</f>
        <v>9.7585350972323059</v>
      </c>
      <c r="E208" s="131">
        <f t="shared" ref="E208:I208" si="138">(E124+E125-E141)/E36</f>
        <v>9.2708306766303643</v>
      </c>
      <c r="F208" s="135">
        <f t="shared" si="138"/>
        <v>8.8526444108273239</v>
      </c>
      <c r="G208" s="132">
        <f t="shared" si="138"/>
        <v>5.6900110135216426</v>
      </c>
      <c r="H208" s="133">
        <f t="shared" si="138"/>
        <v>5.6199803648051017</v>
      </c>
      <c r="I208" s="132">
        <f t="shared" si="138"/>
        <v>3.2223134452571403</v>
      </c>
      <c r="J208" s="115"/>
      <c r="K208" s="55"/>
      <c r="L208" s="55"/>
      <c r="M208" s="55"/>
      <c r="N208" s="55"/>
      <c r="O208" s="55"/>
    </row>
    <row r="209" spans="2:19" s="43" customFormat="1" ht="15" customHeight="1" x14ac:dyDescent="0.3">
      <c r="B209" s="20"/>
      <c r="C209" s="85"/>
      <c r="D209" s="136">
        <f t="shared" ref="D209:I209" si="139">D207-D124</f>
        <v>0</v>
      </c>
      <c r="E209" s="136">
        <f t="shared" si="139"/>
        <v>0</v>
      </c>
      <c r="F209" s="136">
        <f t="shared" si="139"/>
        <v>0</v>
      </c>
      <c r="G209" s="136">
        <f t="shared" si="139"/>
        <v>0</v>
      </c>
      <c r="H209" s="136">
        <f>H207-H124</f>
        <v>0</v>
      </c>
      <c r="I209" s="136">
        <f t="shared" si="139"/>
        <v>0</v>
      </c>
      <c r="J209" s="37"/>
      <c r="K209" s="37"/>
      <c r="L209" s="37"/>
      <c r="M209" s="37"/>
      <c r="N209" s="37"/>
      <c r="O209" s="37"/>
      <c r="P209" s="37"/>
      <c r="Q209" s="37"/>
      <c r="R209" s="37"/>
      <c r="S209" s="59"/>
    </row>
    <row r="210" spans="2:19" ht="15.6" x14ac:dyDescent="0.3">
      <c r="B210" s="232" t="s">
        <v>1</v>
      </c>
      <c r="C210" s="233"/>
      <c r="D210" s="126"/>
      <c r="E210" s="126"/>
      <c r="F210" s="126"/>
      <c r="G210" s="126"/>
      <c r="H210" s="126"/>
      <c r="I210" s="126"/>
      <c r="J210" s="11"/>
      <c r="K210" s="11"/>
      <c r="L210" s="11"/>
      <c r="M210" s="11"/>
      <c r="N210" s="11"/>
      <c r="O210" s="11"/>
      <c r="P210" s="11"/>
      <c r="Q210" s="11"/>
      <c r="R210" s="11"/>
    </row>
    <row r="211" spans="2:19" x14ac:dyDescent="0.3">
      <c r="B211" s="22" t="s">
        <v>21</v>
      </c>
      <c r="C211" s="66">
        <v>13.3</v>
      </c>
      <c r="D211" s="137"/>
      <c r="E211" s="138"/>
      <c r="F211" s="139"/>
      <c r="G211" s="139"/>
      <c r="H211" s="138"/>
      <c r="I211" s="137"/>
      <c r="J211" s="6"/>
      <c r="K211" s="4"/>
      <c r="L211" s="4"/>
      <c r="M211" s="6"/>
      <c r="N211" s="5"/>
      <c r="O211" s="6"/>
      <c r="P211" s="4"/>
      <c r="Q211" s="4"/>
      <c r="R211" s="6"/>
    </row>
    <row r="212" spans="2:19" x14ac:dyDescent="0.3">
      <c r="B212" s="22" t="s">
        <v>22</v>
      </c>
      <c r="C212" s="67">
        <v>14.2</v>
      </c>
      <c r="D212" s="100"/>
      <c r="E212" s="100"/>
      <c r="F212" s="140"/>
      <c r="G212" s="140"/>
      <c r="H212" s="140"/>
      <c r="I212" s="100"/>
      <c r="J212" s="18"/>
      <c r="K212" s="19"/>
      <c r="L212" s="19"/>
      <c r="M212" s="19"/>
      <c r="N212" s="18"/>
      <c r="O212" s="18"/>
      <c r="P212" s="19"/>
      <c r="Q212" s="19"/>
      <c r="R212" s="19"/>
    </row>
    <row r="213" spans="2:19" x14ac:dyDescent="0.3">
      <c r="B213" s="22" t="s">
        <v>23</v>
      </c>
      <c r="C213" s="67">
        <v>12.3</v>
      </c>
      <c r="D213" s="100"/>
      <c r="E213" s="100"/>
      <c r="F213" s="140"/>
      <c r="G213" s="140"/>
      <c r="H213" s="140"/>
      <c r="I213" s="100"/>
      <c r="J213" s="18"/>
      <c r="K213" s="19"/>
      <c r="L213" s="19"/>
      <c r="M213" s="19"/>
      <c r="N213" s="18"/>
      <c r="O213" s="18"/>
      <c r="P213" s="19"/>
      <c r="Q213" s="19"/>
      <c r="R213" s="19"/>
    </row>
    <row r="214" spans="2:19" x14ac:dyDescent="0.3">
      <c r="B214" s="22" t="s">
        <v>2</v>
      </c>
      <c r="C214" s="68">
        <v>14.15708716318165</v>
      </c>
      <c r="D214" s="100"/>
      <c r="E214" s="100"/>
      <c r="F214" s="140"/>
      <c r="G214" s="140"/>
      <c r="H214" s="140"/>
      <c r="I214" s="100"/>
      <c r="J214" s="18"/>
      <c r="K214" s="19"/>
      <c r="L214" s="19"/>
      <c r="M214" s="19"/>
      <c r="N214" s="18"/>
      <c r="O214" s="18"/>
      <c r="P214" s="19"/>
      <c r="Q214" s="19"/>
      <c r="R214" s="19"/>
    </row>
    <row r="215" spans="2:19" s="23" customFormat="1" x14ac:dyDescent="0.3">
      <c r="B215" s="3" t="s">
        <v>26</v>
      </c>
      <c r="C215" s="29">
        <f>I208</f>
        <v>3.2223134452571403</v>
      </c>
      <c r="D215" s="100"/>
      <c r="E215" s="100"/>
      <c r="F215" s="140"/>
      <c r="G215" s="140"/>
      <c r="H215" s="140"/>
      <c r="I215" s="100"/>
      <c r="J215" s="18"/>
      <c r="K215" s="19"/>
      <c r="L215" s="19"/>
      <c r="M215" s="19"/>
      <c r="N215" s="18"/>
      <c r="O215" s="18"/>
      <c r="P215" s="19"/>
      <c r="Q215" s="19"/>
      <c r="R215" s="19"/>
    </row>
    <row r="216" spans="2:19" x14ac:dyDescent="0.3">
      <c r="B216" s="12" t="s">
        <v>27</v>
      </c>
      <c r="C216" s="341">
        <f>(L39+I39+J39+K39)*C214+C215</f>
        <v>80.000000000000014</v>
      </c>
      <c r="D216" s="100"/>
      <c r="E216" s="100"/>
      <c r="F216" s="140"/>
      <c r="G216" s="140"/>
      <c r="H216" s="140"/>
      <c r="I216" s="100"/>
      <c r="J216" s="18"/>
      <c r="K216" s="19"/>
      <c r="L216" s="19"/>
      <c r="M216" s="19"/>
      <c r="N216" s="18"/>
      <c r="O216" s="18"/>
      <c r="P216" s="19"/>
      <c r="Q216" s="19"/>
      <c r="R216" s="19"/>
    </row>
    <row r="217" spans="2:19" s="23" customFormat="1" ht="108.6" customHeight="1" x14ac:dyDescent="0.3">
      <c r="B217" s="234" t="s">
        <v>220</v>
      </c>
      <c r="C217" s="235"/>
      <c r="D217" s="100"/>
      <c r="E217" s="100"/>
      <c r="F217" s="140"/>
      <c r="G217" s="140"/>
      <c r="H217" s="140"/>
      <c r="I217" s="100"/>
      <c r="J217" s="18"/>
      <c r="K217" s="19"/>
      <c r="L217" s="19"/>
      <c r="M217" s="19"/>
      <c r="N217" s="18"/>
      <c r="O217" s="18"/>
      <c r="P217" s="19"/>
      <c r="Q217" s="19"/>
      <c r="R217" s="19"/>
    </row>
    <row r="218" spans="2:19" s="23" customFormat="1" ht="55.2" customHeight="1" x14ac:dyDescent="0.3">
      <c r="B218" s="230" t="s">
        <v>50</v>
      </c>
      <c r="C218" s="231"/>
      <c r="D218" s="100"/>
      <c r="E218" s="100"/>
      <c r="F218" s="140"/>
      <c r="G218" s="140"/>
      <c r="H218" s="140"/>
      <c r="I218" s="100"/>
      <c r="J218" s="18"/>
      <c r="K218" s="19"/>
      <c r="L218" s="19"/>
      <c r="M218" s="19"/>
      <c r="N218" s="18"/>
      <c r="O218" s="18"/>
      <c r="P218" s="19"/>
      <c r="Q218" s="19"/>
      <c r="R218" s="19"/>
    </row>
    <row r="219" spans="2:19" x14ac:dyDescent="0.3">
      <c r="B219" s="9"/>
      <c r="C219" s="1"/>
    </row>
    <row r="220" spans="2:19" ht="15.6" x14ac:dyDescent="0.3">
      <c r="B220" s="232" t="s">
        <v>58</v>
      </c>
      <c r="C220" s="233"/>
    </row>
    <row r="221" spans="2:19" x14ac:dyDescent="0.3">
      <c r="B221" s="70" t="s">
        <v>54</v>
      </c>
      <c r="C221" s="77">
        <v>5.0000000000000001E-3</v>
      </c>
    </row>
    <row r="222" spans="2:19" s="43" customFormat="1" x14ac:dyDescent="0.3">
      <c r="B222" s="3" t="s">
        <v>55</v>
      </c>
      <c r="C222" s="78">
        <v>6.4899999999999999E-2</v>
      </c>
      <c r="D222" s="111"/>
      <c r="E222" s="111"/>
      <c r="F222" s="112"/>
      <c r="G222" s="112"/>
      <c r="H222" s="112"/>
      <c r="I222" s="111"/>
      <c r="J222" s="1"/>
      <c r="K222" s="2"/>
      <c r="L222" s="2"/>
      <c r="M222" s="2"/>
      <c r="N222" s="1"/>
      <c r="O222" s="1"/>
      <c r="P222" s="2"/>
      <c r="Q222" s="2"/>
      <c r="R222" s="2"/>
    </row>
    <row r="223" spans="2:19" s="43" customFormat="1" x14ac:dyDescent="0.3">
      <c r="B223" s="3" t="s">
        <v>59</v>
      </c>
      <c r="C223" s="71">
        <f>C216</f>
        <v>80.000000000000014</v>
      </c>
      <c r="D223" s="111"/>
      <c r="E223" s="111"/>
      <c r="F223" s="112"/>
      <c r="G223" s="112"/>
      <c r="H223" s="112"/>
      <c r="I223" s="111"/>
      <c r="J223" s="1"/>
      <c r="K223" s="2"/>
      <c r="L223" s="2"/>
      <c r="M223" s="2"/>
      <c r="N223" s="1"/>
      <c r="O223" s="1"/>
      <c r="P223" s="2"/>
      <c r="Q223" s="2"/>
      <c r="R223" s="2"/>
    </row>
    <row r="224" spans="2:19" x14ac:dyDescent="0.3">
      <c r="B224" s="22" t="s">
        <v>56</v>
      </c>
      <c r="C224" s="71">
        <f>C223*(1+(C222+2*C221))</f>
        <v>85.992000000000019</v>
      </c>
    </row>
    <row r="225" spans="2:18" x14ac:dyDescent="0.3">
      <c r="B225" s="72" t="s">
        <v>57</v>
      </c>
      <c r="C225" s="73">
        <f>C223*(1-(C222+2*C221))</f>
        <v>74.00800000000001</v>
      </c>
    </row>
    <row r="226" spans="2:18" s="43" customFormat="1" ht="15" customHeight="1" x14ac:dyDescent="0.3">
      <c r="B226" s="226" t="s">
        <v>221</v>
      </c>
      <c r="C226" s="227"/>
      <c r="D226" s="111"/>
      <c r="E226" s="111"/>
      <c r="F226" s="112"/>
      <c r="G226" s="112"/>
      <c r="H226" s="112"/>
      <c r="I226" s="111"/>
      <c r="J226" s="1"/>
      <c r="K226" s="2"/>
      <c r="L226" s="2"/>
      <c r="M226" s="2"/>
      <c r="N226" s="1"/>
      <c r="O226" s="1"/>
      <c r="P226" s="2"/>
      <c r="Q226" s="2"/>
      <c r="R226" s="2"/>
    </row>
    <row r="227" spans="2:18" x14ac:dyDescent="0.3">
      <c r="B227" s="226"/>
      <c r="C227" s="227"/>
    </row>
    <row r="228" spans="2:18" x14ac:dyDescent="0.3">
      <c r="B228" s="226"/>
      <c r="C228" s="227"/>
      <c r="D228"/>
      <c r="E228"/>
      <c r="F228"/>
      <c r="G228"/>
      <c r="H228"/>
      <c r="I228"/>
      <c r="J228"/>
      <c r="K228"/>
      <c r="L228"/>
      <c r="M228"/>
      <c r="N228"/>
      <c r="O228"/>
      <c r="P228"/>
      <c r="Q228"/>
      <c r="R228"/>
    </row>
    <row r="229" spans="2:18" x14ac:dyDescent="0.3">
      <c r="B229" s="226"/>
      <c r="C229" s="227"/>
      <c r="D229"/>
      <c r="E229"/>
      <c r="F229"/>
      <c r="G229"/>
      <c r="H229"/>
      <c r="I229"/>
      <c r="J229"/>
      <c r="K229"/>
      <c r="L229"/>
      <c r="M229"/>
      <c r="N229"/>
      <c r="O229"/>
      <c r="P229"/>
      <c r="Q229"/>
      <c r="R229"/>
    </row>
    <row r="230" spans="2:18" x14ac:dyDescent="0.3">
      <c r="B230" s="226"/>
      <c r="C230" s="227"/>
      <c r="D230"/>
      <c r="E230"/>
      <c r="F230"/>
      <c r="G230"/>
      <c r="H230"/>
      <c r="I230"/>
      <c r="J230"/>
      <c r="K230"/>
      <c r="L230"/>
      <c r="M230"/>
      <c r="N230"/>
      <c r="O230"/>
      <c r="P230"/>
      <c r="Q230"/>
      <c r="R230"/>
    </row>
    <row r="231" spans="2:18" x14ac:dyDescent="0.3">
      <c r="B231" s="226"/>
      <c r="C231" s="227"/>
      <c r="D231"/>
      <c r="E231"/>
      <c r="F231"/>
      <c r="G231"/>
      <c r="H231"/>
      <c r="I231"/>
      <c r="J231"/>
      <c r="K231"/>
      <c r="L231"/>
      <c r="M231"/>
      <c r="N231"/>
      <c r="O231"/>
      <c r="P231"/>
      <c r="Q231"/>
      <c r="R231"/>
    </row>
    <row r="232" spans="2:18" x14ac:dyDescent="0.3">
      <c r="B232" s="226"/>
      <c r="C232" s="227"/>
      <c r="D232"/>
      <c r="E232"/>
      <c r="F232"/>
      <c r="G232"/>
      <c r="H232"/>
      <c r="I232"/>
      <c r="J232"/>
      <c r="K232"/>
      <c r="L232"/>
      <c r="M232"/>
      <c r="N232"/>
      <c r="O232"/>
      <c r="P232"/>
      <c r="Q232"/>
      <c r="R232"/>
    </row>
    <row r="233" spans="2:18" x14ac:dyDescent="0.3">
      <c r="B233" s="226"/>
      <c r="C233" s="227"/>
      <c r="D233"/>
      <c r="E233"/>
      <c r="F233"/>
      <c r="G233"/>
      <c r="H233"/>
      <c r="I233"/>
      <c r="J233"/>
      <c r="K233"/>
      <c r="L233"/>
      <c r="M233"/>
      <c r="N233"/>
      <c r="O233"/>
      <c r="P233"/>
      <c r="Q233"/>
      <c r="R233"/>
    </row>
    <row r="234" spans="2:18" x14ac:dyDescent="0.3">
      <c r="B234" s="226"/>
      <c r="C234" s="227"/>
      <c r="D234"/>
      <c r="E234"/>
      <c r="F234"/>
      <c r="G234"/>
      <c r="H234"/>
      <c r="I234"/>
      <c r="J234"/>
      <c r="K234"/>
      <c r="L234"/>
      <c r="M234"/>
      <c r="N234"/>
      <c r="O234"/>
      <c r="P234"/>
      <c r="Q234"/>
      <c r="R234"/>
    </row>
    <row r="235" spans="2:18" x14ac:dyDescent="0.3">
      <c r="B235" s="226"/>
      <c r="C235" s="227"/>
      <c r="D235"/>
      <c r="E235"/>
      <c r="F235"/>
      <c r="G235"/>
      <c r="H235"/>
      <c r="I235"/>
      <c r="J235"/>
      <c r="K235"/>
      <c r="L235"/>
      <c r="M235"/>
      <c r="N235"/>
      <c r="O235"/>
      <c r="P235"/>
      <c r="Q235"/>
      <c r="R235"/>
    </row>
    <row r="236" spans="2:18" x14ac:dyDescent="0.3">
      <c r="B236" s="226"/>
      <c r="C236" s="227"/>
      <c r="D236"/>
      <c r="E236"/>
      <c r="F236"/>
      <c r="G236"/>
      <c r="H236"/>
      <c r="I236"/>
      <c r="J236"/>
      <c r="K236"/>
      <c r="L236"/>
      <c r="M236"/>
      <c r="N236"/>
      <c r="O236"/>
      <c r="P236"/>
      <c r="Q236"/>
      <c r="R236"/>
    </row>
    <row r="237" spans="2:18" x14ac:dyDescent="0.3">
      <c r="B237" s="226"/>
      <c r="C237" s="227"/>
      <c r="D237"/>
      <c r="E237"/>
      <c r="F237"/>
      <c r="G237"/>
      <c r="H237"/>
      <c r="I237"/>
      <c r="J237"/>
      <c r="K237"/>
      <c r="L237"/>
      <c r="M237"/>
      <c r="N237"/>
      <c r="O237"/>
      <c r="P237"/>
      <c r="Q237"/>
      <c r="R237"/>
    </row>
    <row r="238" spans="2:18" x14ac:dyDescent="0.3">
      <c r="B238" s="226"/>
      <c r="C238" s="227"/>
      <c r="D238"/>
      <c r="E238"/>
      <c r="F238"/>
      <c r="G238"/>
      <c r="H238"/>
      <c r="I238"/>
      <c r="J238"/>
      <c r="K238"/>
      <c r="L238"/>
      <c r="M238"/>
      <c r="N238"/>
      <c r="O238"/>
      <c r="P238"/>
      <c r="Q238"/>
      <c r="R238"/>
    </row>
    <row r="239" spans="2:18" x14ac:dyDescent="0.3">
      <c r="B239" s="226"/>
      <c r="C239" s="227"/>
      <c r="D239"/>
      <c r="E239"/>
      <c r="F239"/>
      <c r="G239"/>
      <c r="H239"/>
      <c r="I239"/>
      <c r="J239"/>
      <c r="K239"/>
      <c r="L239"/>
      <c r="M239"/>
      <c r="N239"/>
      <c r="O239"/>
      <c r="P239"/>
      <c r="Q239"/>
      <c r="R239"/>
    </row>
    <row r="240" spans="2:18" x14ac:dyDescent="0.3">
      <c r="B240" s="226"/>
      <c r="C240" s="227"/>
      <c r="D240"/>
      <c r="E240"/>
      <c r="F240"/>
      <c r="G240"/>
      <c r="H240"/>
      <c r="I240"/>
      <c r="J240"/>
      <c r="K240"/>
      <c r="L240"/>
      <c r="M240"/>
      <c r="N240"/>
      <c r="O240"/>
      <c r="P240"/>
      <c r="Q240"/>
      <c r="R240"/>
    </row>
    <row r="241" spans="2:18" x14ac:dyDescent="0.3">
      <c r="B241" s="228"/>
      <c r="C241" s="229"/>
      <c r="D241"/>
      <c r="E241"/>
      <c r="F241"/>
      <c r="G241"/>
      <c r="H241"/>
      <c r="I241"/>
      <c r="J241"/>
      <c r="K241"/>
      <c r="L241"/>
      <c r="M241"/>
      <c r="N241"/>
      <c r="O241"/>
      <c r="P241"/>
      <c r="Q241"/>
      <c r="R241"/>
    </row>
    <row r="243" spans="2:18" x14ac:dyDescent="0.3">
      <c r="B243" s="79" t="s">
        <v>61</v>
      </c>
      <c r="D243"/>
      <c r="E243"/>
      <c r="F243"/>
      <c r="G243"/>
      <c r="H243"/>
      <c r="I243"/>
      <c r="J243"/>
      <c r="K243"/>
      <c r="L243"/>
      <c r="M243"/>
      <c r="N243"/>
      <c r="O243"/>
      <c r="P243"/>
      <c r="Q243"/>
      <c r="R243"/>
    </row>
  </sheetData>
  <dataConsolidate/>
  <mergeCells count="95">
    <mergeCell ref="B26:C26"/>
    <mergeCell ref="B109:C109"/>
    <mergeCell ref="B208:C208"/>
    <mergeCell ref="B202:C202"/>
    <mergeCell ref="B203:C203"/>
    <mergeCell ref="B204:C204"/>
    <mergeCell ref="B206:C206"/>
    <mergeCell ref="B207:C207"/>
    <mergeCell ref="B192:C192"/>
    <mergeCell ref="B193:C193"/>
    <mergeCell ref="B196:C196"/>
    <mergeCell ref="B197:C197"/>
    <mergeCell ref="B184:C184"/>
    <mergeCell ref="B185:C185"/>
    <mergeCell ref="B186:C186"/>
    <mergeCell ref="B191:C191"/>
    <mergeCell ref="B174:C174"/>
    <mergeCell ref="B175:C175"/>
    <mergeCell ref="B176:C176"/>
    <mergeCell ref="B177:C177"/>
    <mergeCell ref="B182:C182"/>
    <mergeCell ref="B173:C173"/>
    <mergeCell ref="B160:C160"/>
    <mergeCell ref="B161:C161"/>
    <mergeCell ref="B162:C162"/>
    <mergeCell ref="B163:C163"/>
    <mergeCell ref="B139:C139"/>
    <mergeCell ref="B140:C140"/>
    <mergeCell ref="B144:C144"/>
    <mergeCell ref="B145:C145"/>
    <mergeCell ref="B183:C183"/>
    <mergeCell ref="B178:C178"/>
    <mergeCell ref="B180:C180"/>
    <mergeCell ref="B158:C158"/>
    <mergeCell ref="B146:C146"/>
    <mergeCell ref="B148:C148"/>
    <mergeCell ref="B150:C150"/>
    <mergeCell ref="B155:C155"/>
    <mergeCell ref="B156:C156"/>
    <mergeCell ref="B164:C164"/>
    <mergeCell ref="B165:C165"/>
    <mergeCell ref="B168:C168"/>
    <mergeCell ref="B29:C29"/>
    <mergeCell ref="B36:C36"/>
    <mergeCell ref="B35:C35"/>
    <mergeCell ref="B38:C38"/>
    <mergeCell ref="B138:C138"/>
    <mergeCell ref="B52:C52"/>
    <mergeCell ref="B65:C65"/>
    <mergeCell ref="B77:C77"/>
    <mergeCell ref="B97:C97"/>
    <mergeCell ref="B44:C44"/>
    <mergeCell ref="B69:C69"/>
    <mergeCell ref="B84:C84"/>
    <mergeCell ref="B136:C136"/>
    <mergeCell ref="B137:C137"/>
    <mergeCell ref="B125:C125"/>
    <mergeCell ref="B126:C126"/>
    <mergeCell ref="B128:C128"/>
    <mergeCell ref="B129:C129"/>
    <mergeCell ref="B130:C130"/>
    <mergeCell ref="B133:C133"/>
    <mergeCell ref="B134:C134"/>
    <mergeCell ref="B135:C135"/>
    <mergeCell ref="B123:C123"/>
    <mergeCell ref="B124:C124"/>
    <mergeCell ref="B112:C112"/>
    <mergeCell ref="B43:C43"/>
    <mergeCell ref="B121:C121"/>
    <mergeCell ref="B122:C122"/>
    <mergeCell ref="B220:C220"/>
    <mergeCell ref="B2:C2"/>
    <mergeCell ref="B114:C114"/>
    <mergeCell ref="B113:C113"/>
    <mergeCell ref="B3:C3"/>
    <mergeCell ref="B4:C4"/>
    <mergeCell ref="B5:C5"/>
    <mergeCell ref="B9:C9"/>
    <mergeCell ref="B34:C34"/>
    <mergeCell ref="B10:C10"/>
    <mergeCell ref="B11:C11"/>
    <mergeCell ref="B16:C16"/>
    <mergeCell ref="B28:C28"/>
    <mergeCell ref="B107:C107"/>
    <mergeCell ref="B226:C241"/>
    <mergeCell ref="B218:C218"/>
    <mergeCell ref="B210:C210"/>
    <mergeCell ref="B217:C217"/>
    <mergeCell ref="B37:C37"/>
    <mergeCell ref="B42:C42"/>
    <mergeCell ref="B39:C39"/>
    <mergeCell ref="B117:C117"/>
    <mergeCell ref="B116:C116"/>
    <mergeCell ref="B115:C115"/>
    <mergeCell ref="B120:C120"/>
  </mergeCells>
  <pageMargins left="0.7" right="0.7" top="0.75" bottom="0.75" header="0.3" footer="0.3"/>
  <pageSetup scale="40" orientation="landscape" r:id="rId1"/>
  <headerFooter>
    <oddFooter xml:space="preserve">&amp;CGutenberg Research LLC prohibits the redistribution of this document in whole or part without the written permission. 
© Gutenberg Research LLC 2016. </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Earnings Model</vt:lpstr>
      <vt:lpstr>'Earnings Model'!Print_Area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Admin</cp:lastModifiedBy>
  <cp:lastPrinted>2016-03-31T01:20:23Z</cp:lastPrinted>
  <dcterms:created xsi:type="dcterms:W3CDTF">2014-10-18T18:34:10Z</dcterms:created>
  <dcterms:modified xsi:type="dcterms:W3CDTF">2016-05-25T00:49:08Z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