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/>
  <mc:AlternateContent xmlns:mc="http://schemas.openxmlformats.org/markup-compatibility/2006">
    <mc:Choice Requires="x15">
      <x15ac:absPath xmlns:x15ac="http://schemas.microsoft.com/office/spreadsheetml/2010/11/ac" url="C:\Users\Admin\Documents\Articles (2-15-2016)\NFLX Netflix\Contributor Models\"/>
    </mc:Choice>
  </mc:AlternateContent>
  <bookViews>
    <workbookView xWindow="0" yWindow="0" windowWidth="23040" windowHeight="9672"/>
  </bookViews>
  <sheets>
    <sheet name="Updated DCF" sheetId="10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0" l="1"/>
  <c r="I19" i="10"/>
  <c r="I23" i="10"/>
  <c r="I34" i="10"/>
  <c r="M43" i="10"/>
  <c r="H41" i="10"/>
  <c r="L47" i="10"/>
  <c r="H42" i="10"/>
  <c r="L46" i="10"/>
  <c r="M45" i="10"/>
  <c r="M44" i="10"/>
  <c r="M46" i="10"/>
  <c r="L48" i="10"/>
  <c r="I36" i="10"/>
  <c r="I37" i="10"/>
  <c r="J9" i="10"/>
  <c r="J19" i="10"/>
  <c r="J23" i="10"/>
  <c r="J34" i="10"/>
  <c r="J36" i="10"/>
  <c r="J37" i="10"/>
  <c r="K9" i="10"/>
  <c r="K19" i="10"/>
  <c r="K23" i="10"/>
  <c r="K34" i="10"/>
  <c r="K36" i="10"/>
  <c r="K37" i="10"/>
  <c r="L9" i="10"/>
  <c r="L19" i="10"/>
  <c r="L23" i="10"/>
  <c r="L34" i="10"/>
  <c r="L36" i="10"/>
  <c r="L37" i="10"/>
  <c r="M9" i="10"/>
  <c r="M19" i="10"/>
  <c r="M23" i="10"/>
  <c r="M34" i="10"/>
  <c r="M36" i="10"/>
  <c r="M37" i="10"/>
  <c r="N5" i="10"/>
  <c r="I10" i="10"/>
  <c r="J10" i="10"/>
  <c r="K10" i="10"/>
  <c r="L10" i="10"/>
  <c r="M10" i="10"/>
  <c r="N10" i="10"/>
  <c r="N7" i="10"/>
  <c r="N9" i="10"/>
  <c r="I12" i="10"/>
  <c r="J12" i="10"/>
  <c r="K12" i="10"/>
  <c r="L12" i="10"/>
  <c r="M12" i="10"/>
  <c r="N12" i="10"/>
  <c r="N11" i="10"/>
  <c r="N19" i="10"/>
  <c r="I22" i="10"/>
  <c r="J22" i="10"/>
  <c r="K22" i="10"/>
  <c r="L22" i="10"/>
  <c r="M22" i="10"/>
  <c r="N22" i="10"/>
  <c r="N21" i="10"/>
  <c r="N23" i="10"/>
  <c r="N17" i="10"/>
  <c r="N27" i="10"/>
  <c r="I29" i="10"/>
  <c r="J29" i="10"/>
  <c r="K29" i="10"/>
  <c r="L29" i="10"/>
  <c r="M29" i="10"/>
  <c r="N29" i="10"/>
  <c r="N28" i="10"/>
  <c r="I33" i="10"/>
  <c r="J33" i="10"/>
  <c r="K33" i="10"/>
  <c r="L33" i="10"/>
  <c r="M33" i="10"/>
  <c r="N33" i="10"/>
  <c r="N32" i="10"/>
  <c r="N34" i="10"/>
  <c r="N37" i="10"/>
  <c r="D40" i="10"/>
  <c r="D41" i="10"/>
  <c r="D42" i="10"/>
  <c r="D44" i="10"/>
  <c r="D45" i="10"/>
  <c r="D46" i="10"/>
  <c r="H45" i="10"/>
  <c r="N18" i="10"/>
  <c r="N20" i="10"/>
  <c r="D48" i="10"/>
  <c r="L54" i="10"/>
  <c r="I14" i="10"/>
  <c r="J14" i="10"/>
  <c r="K14" i="10"/>
  <c r="L14" i="10"/>
  <c r="M14" i="10"/>
  <c r="N14" i="10"/>
  <c r="N13" i="10"/>
  <c r="N15" i="10"/>
  <c r="L53" i="10"/>
  <c r="L52" i="10"/>
  <c r="N35" i="10"/>
  <c r="N24" i="10"/>
  <c r="E9" i="10"/>
  <c r="E19" i="10"/>
  <c r="E25" i="10"/>
  <c r="F9" i="10"/>
  <c r="F19" i="10"/>
  <c r="F25" i="10"/>
  <c r="G9" i="10"/>
  <c r="G19" i="10"/>
  <c r="G25" i="10"/>
  <c r="H9" i="10"/>
  <c r="H19" i="10"/>
  <c r="H25" i="10"/>
  <c r="I25" i="10"/>
  <c r="J25" i="10"/>
  <c r="K25" i="10"/>
  <c r="L25" i="10"/>
  <c r="M25" i="10"/>
  <c r="D9" i="10"/>
  <c r="D19" i="10"/>
  <c r="D25" i="10"/>
  <c r="I31" i="10"/>
  <c r="J31" i="10"/>
  <c r="K31" i="10"/>
  <c r="L31" i="10"/>
  <c r="M31" i="10"/>
  <c r="N31" i="10"/>
  <c r="N30" i="10"/>
  <c r="N16" i="10"/>
  <c r="N8" i="10"/>
  <c r="N6" i="10"/>
  <c r="E18" i="10"/>
  <c r="F18" i="10"/>
  <c r="G18" i="10"/>
  <c r="H18" i="10"/>
  <c r="I18" i="10"/>
  <c r="J18" i="10"/>
  <c r="K18" i="10"/>
  <c r="L18" i="10"/>
  <c r="M18" i="10"/>
  <c r="D18" i="10"/>
  <c r="E16" i="10"/>
  <c r="F16" i="10"/>
  <c r="G16" i="10"/>
  <c r="H16" i="10"/>
  <c r="I16" i="10"/>
  <c r="J16" i="10"/>
  <c r="K16" i="10"/>
  <c r="L16" i="10"/>
  <c r="M16" i="10"/>
  <c r="D16" i="10"/>
  <c r="G6" i="10"/>
  <c r="H6" i="10"/>
  <c r="I6" i="10"/>
  <c r="J6" i="10"/>
  <c r="K6" i="10"/>
  <c r="L6" i="10"/>
  <c r="M6" i="10"/>
  <c r="F6" i="10"/>
  <c r="E6" i="10"/>
  <c r="E34" i="10"/>
  <c r="F34" i="10"/>
  <c r="G34" i="10"/>
  <c r="H34" i="10"/>
  <c r="D34" i="10"/>
  <c r="E35" i="10"/>
  <c r="F35" i="10"/>
  <c r="G35" i="10"/>
  <c r="H35" i="10"/>
  <c r="I35" i="10"/>
  <c r="J35" i="10"/>
  <c r="K35" i="10"/>
  <c r="L35" i="10"/>
  <c r="M35" i="10"/>
  <c r="D35" i="10"/>
  <c r="E33" i="10"/>
  <c r="F33" i="10"/>
  <c r="G33" i="10"/>
  <c r="H33" i="10"/>
  <c r="D33" i="10"/>
  <c r="E31" i="10"/>
  <c r="F31" i="10"/>
  <c r="G31" i="10"/>
  <c r="H31" i="10"/>
  <c r="D31" i="10"/>
  <c r="E29" i="10"/>
  <c r="F29" i="10"/>
  <c r="G29" i="10"/>
  <c r="H29" i="10"/>
  <c r="D29" i="10"/>
  <c r="E24" i="10"/>
  <c r="F24" i="10"/>
  <c r="G24" i="10"/>
  <c r="H24" i="10"/>
  <c r="I24" i="10"/>
  <c r="J24" i="10"/>
  <c r="K24" i="10"/>
  <c r="L24" i="10"/>
  <c r="M24" i="10"/>
  <c r="D24" i="10"/>
  <c r="E22" i="10"/>
  <c r="F22" i="10"/>
  <c r="G22" i="10"/>
  <c r="H22" i="10"/>
  <c r="D22" i="10"/>
  <c r="E20" i="10"/>
  <c r="F20" i="10"/>
  <c r="G20" i="10"/>
  <c r="H20" i="10"/>
  <c r="I20" i="10"/>
  <c r="J20" i="10"/>
  <c r="K20" i="10"/>
  <c r="L20" i="10"/>
  <c r="M20" i="10"/>
  <c r="D20" i="10"/>
  <c r="E14" i="10"/>
  <c r="F14" i="10"/>
  <c r="G14" i="10"/>
  <c r="H14" i="10"/>
  <c r="D14" i="10"/>
  <c r="E12" i="10"/>
  <c r="F12" i="10"/>
  <c r="G12" i="10"/>
  <c r="H12" i="10"/>
  <c r="D12" i="10"/>
  <c r="E8" i="10"/>
  <c r="F8" i="10"/>
  <c r="G8" i="10"/>
  <c r="H8" i="10"/>
  <c r="I8" i="10"/>
  <c r="J8" i="10"/>
  <c r="K8" i="10"/>
  <c r="L8" i="10"/>
  <c r="M8" i="10"/>
  <c r="D8" i="10"/>
  <c r="E10" i="10"/>
  <c r="F10" i="10"/>
  <c r="G10" i="10"/>
  <c r="H10" i="10"/>
  <c r="D10" i="10"/>
</calcChain>
</file>

<file path=xl/sharedStrings.xml><?xml version="1.0" encoding="utf-8"?>
<sst xmlns="http://schemas.openxmlformats.org/spreadsheetml/2006/main" count="81" uniqueCount="63">
  <si>
    <t>Revenue</t>
  </si>
  <si>
    <t>EBITDA</t>
  </si>
  <si>
    <t>Free Cash Flow</t>
  </si>
  <si>
    <t>*All numbers in millions unless indicated otherwise</t>
  </si>
  <si>
    <t>2017E</t>
  </si>
  <si>
    <t>2018E</t>
  </si>
  <si>
    <t>2019E</t>
  </si>
  <si>
    <t>% Growth</t>
  </si>
  <si>
    <t xml:space="preserve"> -Costs of Goods Sold</t>
  </si>
  <si>
    <t>% of Revenue</t>
  </si>
  <si>
    <t>Gross Profit</t>
  </si>
  <si>
    <t>-Operating Expenses</t>
  </si>
  <si>
    <t>EBIT</t>
  </si>
  <si>
    <t>-Taxes</t>
  </si>
  <si>
    <t>% EBIT</t>
  </si>
  <si>
    <t>NOPAT</t>
  </si>
  <si>
    <t>Free Cash Flow to Firm</t>
  </si>
  <si>
    <t>+D&amp;A</t>
  </si>
  <si>
    <t>-Capital Expenditures</t>
  </si>
  <si>
    <t>WACC</t>
  </si>
  <si>
    <t>Discount Factor</t>
  </si>
  <si>
    <t>PV of FCF</t>
  </si>
  <si>
    <t>Value of operations</t>
  </si>
  <si>
    <t>Add: Net Non-Operating Assets</t>
  </si>
  <si>
    <t>Enterprise Value</t>
  </si>
  <si>
    <t>Less: Interest-bearing Debts</t>
  </si>
  <si>
    <t>Value of common equity</t>
  </si>
  <si>
    <t>Number of shares oustanding (in millions)</t>
  </si>
  <si>
    <t>Target price per share</t>
  </si>
  <si>
    <t>Current price</t>
  </si>
  <si>
    <t>Potential upside</t>
  </si>
  <si>
    <t>Beta</t>
  </si>
  <si>
    <t>2020E</t>
  </si>
  <si>
    <t>2021E</t>
  </si>
  <si>
    <t>Working Capital</t>
  </si>
  <si>
    <t>NFLX US Equity</t>
  </si>
  <si>
    <t>5Y Average</t>
  </si>
  <si>
    <t>-SG&amp;A Expenses</t>
  </si>
  <si>
    <t>-D&amp;A</t>
  </si>
  <si>
    <t>-WC Investment</t>
  </si>
  <si>
    <t>Current Valuation</t>
  </si>
  <si>
    <t>Market Cap</t>
  </si>
  <si>
    <t>Net Debt</t>
  </si>
  <si>
    <t>Shares Outstanding</t>
  </si>
  <si>
    <t>Current Share Price</t>
  </si>
  <si>
    <t>Target Price (Perpetuity)</t>
  </si>
  <si>
    <t>Tax Rate</t>
  </si>
  <si>
    <t>Debt</t>
  </si>
  <si>
    <t>Equity</t>
  </si>
  <si>
    <t>WC</t>
  </si>
  <si>
    <t>EV/EBIT</t>
  </si>
  <si>
    <t>EV/EBITDA</t>
  </si>
  <si>
    <t>EV/Sales</t>
  </si>
  <si>
    <t xml:space="preserve">Terminal Value </t>
  </si>
  <si>
    <t>Perp Growth</t>
  </si>
  <si>
    <t>Equity Risk Prem %</t>
  </si>
  <si>
    <t>Cost of Debt</t>
  </si>
  <si>
    <t>Risk-Free Rate %</t>
  </si>
  <si>
    <t>Terminal Year</t>
  </si>
  <si>
    <t>Required return on equity</t>
  </si>
  <si>
    <t>weight of debt</t>
  </si>
  <si>
    <t>weight of equity</t>
  </si>
  <si>
    <t>After tax cost of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</si>
</sst>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x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43" fontId="2" fillId="0" borderId="11" xfId="1" applyFont="1" applyBorder="1"/>
    <xf numFmtId="43" fontId="2" fillId="0" borderId="12" xfId="1" applyFont="1" applyBorder="1"/>
    <xf numFmtId="43" fontId="2" fillId="0" borderId="15" xfId="1" applyFont="1" applyBorder="1"/>
    <xf numFmtId="43" fontId="8" fillId="4" borderId="0" xfId="1" applyNumberFormat="1" applyFont="1" applyFill="1" applyBorder="1"/>
    <xf numFmtId="0" fontId="0" fillId="0" borderId="0" xfId="0" applyAlignment="1">
      <alignment horizontal="right"/>
    </xf>
    <xf numFmtId="0" fontId="9" fillId="2" borderId="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43" fontId="8" fillId="4" borderId="1" xfId="1" applyNumberFormat="1" applyFont="1" applyFill="1" applyBorder="1"/>
    <xf numFmtId="43" fontId="10" fillId="4" borderId="6" xfId="1" applyNumberFormat="1" applyFont="1" applyFill="1" applyBorder="1"/>
    <xf numFmtId="43" fontId="10" fillId="4" borderId="0" xfId="1" applyNumberFormat="1" applyFont="1" applyFill="1" applyBorder="1"/>
    <xf numFmtId="43" fontId="0" fillId="4" borderId="0" xfId="1" applyNumberFormat="1" applyFont="1" applyFill="1" applyBorder="1"/>
    <xf numFmtId="10" fontId="0" fillId="0" borderId="0" xfId="0" applyNumberFormat="1"/>
    <xf numFmtId="10" fontId="12" fillId="4" borderId="0" xfId="2" applyNumberFormat="1" applyFont="1" applyFill="1" applyBorder="1"/>
    <xf numFmtId="10" fontId="13" fillId="4" borderId="0" xfId="2" applyNumberFormat="1" applyFont="1" applyFill="1" applyBorder="1"/>
    <xf numFmtId="43" fontId="8" fillId="4" borderId="8" xfId="1" applyNumberFormat="1" applyFont="1" applyFill="1" applyBorder="1"/>
    <xf numFmtId="43" fontId="0" fillId="2" borderId="2" xfId="0" applyNumberFormat="1" applyFont="1" applyFill="1" applyBorder="1" applyAlignment="1">
      <alignment horizontal="center"/>
    </xf>
    <xf numFmtId="10" fontId="12" fillId="4" borderId="3" xfId="2" applyNumberFormat="1" applyFont="1" applyFill="1" applyBorder="1"/>
    <xf numFmtId="43" fontId="0" fillId="4" borderId="0" xfId="0" applyNumberFormat="1" applyFill="1" applyBorder="1"/>
    <xf numFmtId="43" fontId="0" fillId="4" borderId="8" xfId="0" applyNumberFormat="1" applyFill="1" applyBorder="1"/>
    <xf numFmtId="0" fontId="11" fillId="3" borderId="2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43" fontId="8" fillId="2" borderId="2" xfId="1" applyNumberFormat="1" applyFont="1" applyFill="1" applyBorder="1" applyAlignment="1">
      <alignment horizontal="center"/>
    </xf>
    <xf numFmtId="43" fontId="8" fillId="2" borderId="7" xfId="1" applyNumberFormat="1" applyFont="1" applyFill="1" applyBorder="1" applyAlignment="1">
      <alignment horizontal="center"/>
    </xf>
    <xf numFmtId="0" fontId="0" fillId="0" borderId="0" xfId="0" applyFont="1" applyBorder="1"/>
    <xf numFmtId="43" fontId="8" fillId="2" borderId="2" xfId="1" applyNumberFormat="1" applyFont="1" applyFill="1" applyBorder="1"/>
    <xf numFmtId="0" fontId="14" fillId="0" borderId="0" xfId="0" applyFont="1" applyBorder="1" applyAlignment="1">
      <alignment vertical="top"/>
    </xf>
    <xf numFmtId="43" fontId="8" fillId="4" borderId="2" xfId="1" applyNumberFormat="1" applyFont="1" applyFill="1" applyBorder="1"/>
    <xf numFmtId="43" fontId="8" fillId="4" borderId="7" xfId="1" applyNumberFormat="1" applyFont="1" applyFill="1" applyBorder="1"/>
    <xf numFmtId="10" fontId="13" fillId="4" borderId="3" xfId="2" applyNumberFormat="1" applyFont="1" applyFill="1" applyBorder="1"/>
    <xf numFmtId="10" fontId="12" fillId="4" borderId="4" xfId="2" applyNumberFormat="1" applyFont="1" applyFill="1" applyBorder="1"/>
    <xf numFmtId="0" fontId="0" fillId="0" borderId="20" xfId="0" applyBorder="1" applyAlignment="1"/>
    <xf numFmtId="0" fontId="0" fillId="0" borderId="0" xfId="0" applyBorder="1" applyAlignment="1"/>
    <xf numFmtId="9" fontId="0" fillId="3" borderId="20" xfId="0" quotePrefix="1" applyNumberFormat="1" applyFont="1" applyFill="1" applyBorder="1" applyAlignment="1"/>
    <xf numFmtId="9" fontId="0" fillId="3" borderId="0" xfId="0" quotePrefix="1" applyNumberFormat="1" applyFont="1" applyFill="1" applyBorder="1" applyAlignment="1"/>
    <xf numFmtId="43" fontId="8" fillId="4" borderId="0" xfId="1" applyFont="1" applyFill="1" applyBorder="1"/>
    <xf numFmtId="43" fontId="8" fillId="4" borderId="1" xfId="1" applyFont="1" applyFill="1" applyBorder="1"/>
    <xf numFmtId="43" fontId="8" fillId="4" borderId="6" xfId="1" applyFont="1" applyFill="1" applyBorder="1"/>
    <xf numFmtId="43" fontId="0" fillId="4" borderId="0" xfId="1" applyFont="1" applyFill="1" applyBorder="1"/>
    <xf numFmtId="43" fontId="8" fillId="4" borderId="8" xfId="1" applyFont="1" applyFill="1" applyBorder="1"/>
    <xf numFmtId="43" fontId="8" fillId="4" borderId="2" xfId="1" applyFont="1" applyFill="1" applyBorder="1"/>
    <xf numFmtId="43" fontId="8" fillId="4" borderId="7" xfId="1" applyFont="1" applyFill="1" applyBorder="1"/>
    <xf numFmtId="43" fontId="0" fillId="4" borderId="2" xfId="1" applyFont="1" applyFill="1" applyBorder="1"/>
    <xf numFmtId="10" fontId="12" fillId="4" borderId="9" xfId="2" applyNumberFormat="1" applyFont="1" applyFill="1" applyBorder="1"/>
    <xf numFmtId="9" fontId="8" fillId="4" borderId="0" xfId="2" applyFont="1" applyFill="1" applyBorder="1"/>
    <xf numFmtId="43" fontId="0" fillId="4" borderId="4" xfId="1" applyFont="1" applyFill="1" applyBorder="1"/>
    <xf numFmtId="43" fontId="0" fillId="4" borderId="24" xfId="1" applyFont="1" applyFill="1" applyBorder="1"/>
    <xf numFmtId="0" fontId="9" fillId="2" borderId="13" xfId="0" applyFont="1" applyFill="1" applyBorder="1" applyAlignment="1"/>
    <xf numFmtId="0" fontId="9" fillId="2" borderId="5" xfId="0" applyFont="1" applyFill="1" applyBorder="1" applyAlignment="1"/>
    <xf numFmtId="0" fontId="9" fillId="2" borderId="14" xfId="0" applyFont="1" applyFill="1" applyBorder="1" applyAlignment="1"/>
    <xf numFmtId="0" fontId="0" fillId="3" borderId="27" xfId="0" applyFill="1" applyBorder="1" applyAlignment="1"/>
    <xf numFmtId="0" fontId="0" fillId="3" borderId="1" xfId="0" applyFill="1" applyBorder="1" applyAlignment="1"/>
    <xf numFmtId="0" fontId="0" fillId="3" borderId="20" xfId="0" applyFill="1" applyBorder="1" applyAlignment="1"/>
    <xf numFmtId="0" fontId="0" fillId="3" borderId="0" xfId="0" applyFill="1" applyBorder="1" applyAlignment="1"/>
    <xf numFmtId="0" fontId="0" fillId="3" borderId="23" xfId="0" applyFill="1" applyBorder="1" applyAlignment="1"/>
    <xf numFmtId="0" fontId="0" fillId="3" borderId="4" xfId="0" applyFill="1" applyBorder="1" applyAlignment="1"/>
    <xf numFmtId="10" fontId="11" fillId="4" borderId="4" xfId="2" applyNumberFormat="1" applyFont="1" applyFill="1" applyBorder="1"/>
    <xf numFmtId="0" fontId="0" fillId="0" borderId="0" xfId="0" applyNumberFormat="1"/>
    <xf numFmtId="9" fontId="0" fillId="3" borderId="20" xfId="0" applyNumberFormat="1" applyFont="1" applyFill="1" applyBorder="1"/>
    <xf numFmtId="10" fontId="15" fillId="4" borderId="28" xfId="2" applyNumberFormat="1" applyFont="1" applyFill="1" applyBorder="1"/>
    <xf numFmtId="2" fontId="15" fillId="4" borderId="29" xfId="0" applyNumberFormat="1" applyFont="1" applyFill="1" applyBorder="1"/>
    <xf numFmtId="10" fontId="15" fillId="4" borderId="29" xfId="2" applyNumberFormat="1" applyFont="1" applyFill="1" applyBorder="1" applyAlignment="1">
      <alignment horizontal="right"/>
    </xf>
    <xf numFmtId="10" fontId="15" fillId="0" borderId="29" xfId="2" applyNumberFormat="1" applyFont="1" applyBorder="1"/>
    <xf numFmtId="9" fontId="0" fillId="3" borderId="20" xfId="0" applyNumberFormat="1" applyFill="1" applyBorder="1"/>
    <xf numFmtId="43" fontId="15" fillId="0" borderId="29" xfId="1" applyFont="1" applyBorder="1"/>
    <xf numFmtId="43" fontId="15" fillId="4" borderId="30" xfId="1" applyFont="1" applyFill="1" applyBorder="1"/>
    <xf numFmtId="9" fontId="0" fillId="3" borderId="31" xfId="0" applyNumberFormat="1" applyFont="1" applyFill="1" applyBorder="1"/>
    <xf numFmtId="9" fontId="0" fillId="0" borderId="0" xfId="0" applyNumberFormat="1" applyFont="1" applyFill="1" applyBorder="1"/>
    <xf numFmtId="0" fontId="0" fillId="4" borderId="0" xfId="0" applyNumberFormat="1" applyFill="1" applyBorder="1"/>
    <xf numFmtId="9" fontId="0" fillId="3" borderId="20" xfId="0" quotePrefix="1" applyNumberFormat="1" applyFont="1" applyFill="1" applyBorder="1"/>
    <xf numFmtId="10" fontId="15" fillId="4" borderId="29" xfId="2" applyNumberFormat="1" applyFont="1" applyFill="1" applyBorder="1"/>
    <xf numFmtId="9" fontId="0" fillId="3" borderId="32" xfId="0" quotePrefix="1" applyNumberFormat="1" applyFont="1" applyFill="1" applyBorder="1"/>
    <xf numFmtId="164" fontId="15" fillId="0" borderId="16" xfId="1" applyNumberFormat="1" applyFont="1" applyBorder="1"/>
    <xf numFmtId="9" fontId="0" fillId="3" borderId="33" xfId="0" quotePrefix="1" applyNumberFormat="1" applyFont="1" applyFill="1" applyBorder="1"/>
    <xf numFmtId="164" fontId="15" fillId="4" borderId="19" xfId="1" applyNumberFormat="1" applyFont="1" applyFill="1" applyBorder="1"/>
    <xf numFmtId="0" fontId="9" fillId="2" borderId="13" xfId="0" applyFont="1" applyFill="1" applyBorder="1" applyAlignment="1">
      <alignment horizontal="center"/>
    </xf>
    <xf numFmtId="9" fontId="16" fillId="6" borderId="0" xfId="2" applyFont="1" applyFill="1" applyBorder="1"/>
    <xf numFmtId="43" fontId="17" fillId="4" borderId="0" xfId="1" applyNumberFormat="1" applyFont="1" applyFill="1" applyBorder="1"/>
    <xf numFmtId="0" fontId="18" fillId="0" borderId="0" xfId="0" applyFont="1"/>
    <xf numFmtId="0" fontId="6" fillId="2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0" fontId="13" fillId="4" borderId="8" xfId="2" applyNumberFormat="1" applyFont="1" applyFill="1" applyBorder="1"/>
    <xf numFmtId="43" fontId="0" fillId="2" borderId="7" xfId="0" applyNumberFormat="1" applyFont="1" applyFill="1" applyBorder="1" applyAlignment="1">
      <alignment horizontal="center"/>
    </xf>
    <xf numFmtId="10" fontId="12" fillId="4" borderId="34" xfId="2" applyNumberFormat="1" applyFont="1" applyFill="1" applyBorder="1"/>
    <xf numFmtId="10" fontId="13" fillId="4" borderId="34" xfId="2" applyNumberFormat="1" applyFont="1" applyFill="1" applyBorder="1"/>
    <xf numFmtId="10" fontId="12" fillId="4" borderId="8" xfId="2" applyNumberFormat="1" applyFont="1" applyFill="1" applyBorder="1"/>
    <xf numFmtId="43" fontId="8" fillId="2" borderId="7" xfId="1" applyNumberFormat="1" applyFont="1" applyFill="1" applyBorder="1"/>
    <xf numFmtId="10" fontId="11" fillId="4" borderId="24" xfId="2" applyNumberFormat="1" applyFont="1" applyFill="1" applyBorder="1"/>
    <xf numFmtId="10" fontId="12" fillId="4" borderId="35" xfId="2" applyNumberFormat="1" applyFont="1" applyFill="1" applyBorder="1"/>
    <xf numFmtId="43" fontId="17" fillId="4" borderId="36" xfId="1" applyNumberFormat="1" applyFont="1" applyFill="1" applyBorder="1"/>
    <xf numFmtId="10" fontId="13" fillId="4" borderId="37" xfId="2" applyNumberFormat="1" applyFont="1" applyFill="1" applyBorder="1"/>
    <xf numFmtId="43" fontId="0" fillId="4" borderId="37" xfId="1" applyNumberFormat="1" applyFont="1" applyFill="1" applyBorder="1"/>
    <xf numFmtId="10" fontId="13" fillId="4" borderId="38" xfId="2" applyNumberFormat="1" applyFont="1" applyFill="1" applyBorder="1"/>
    <xf numFmtId="43" fontId="0" fillId="4" borderId="37" xfId="0" applyNumberFormat="1" applyFill="1" applyBorder="1"/>
    <xf numFmtId="43" fontId="8" fillId="4" borderId="37" xfId="1" applyNumberFormat="1" applyFont="1" applyFill="1" applyBorder="1"/>
    <xf numFmtId="43" fontId="8" fillId="2" borderId="39" xfId="1" applyNumberFormat="1" applyFont="1" applyFill="1" applyBorder="1" applyAlignment="1">
      <alignment horizontal="center"/>
    </xf>
    <xf numFmtId="10" fontId="12" fillId="4" borderId="38" xfId="2" applyNumberFormat="1" applyFont="1" applyFill="1" applyBorder="1"/>
    <xf numFmtId="43" fontId="8" fillId="4" borderId="39" xfId="1" applyNumberFormat="1" applyFont="1" applyFill="1" applyBorder="1"/>
    <xf numFmtId="10" fontId="11" fillId="4" borderId="40" xfId="2" applyNumberFormat="1" applyFont="1" applyFill="1" applyBorder="1"/>
    <xf numFmtId="0" fontId="0" fillId="0" borderId="40" xfId="0" applyBorder="1"/>
    <xf numFmtId="43" fontId="0" fillId="4" borderId="36" xfId="1" applyFont="1" applyFill="1" applyBorder="1"/>
    <xf numFmtId="43" fontId="8" fillId="4" borderId="37" xfId="1" applyFont="1" applyFill="1" applyBorder="1"/>
    <xf numFmtId="43" fontId="0" fillId="4" borderId="39" xfId="1" applyFont="1" applyFill="1" applyBorder="1"/>
    <xf numFmtId="10" fontId="12" fillId="4" borderId="37" xfId="2" applyNumberFormat="1" applyFont="1" applyFill="1" applyBorder="1"/>
    <xf numFmtId="10" fontId="12" fillId="4" borderId="41" xfId="2" applyNumberFormat="1" applyFont="1" applyFill="1" applyBorder="1"/>
    <xf numFmtId="9" fontId="16" fillId="6" borderId="42" xfId="2" applyFont="1" applyFill="1" applyBorder="1"/>
    <xf numFmtId="43" fontId="0" fillId="4" borderId="40" xfId="1" applyFont="1" applyFill="1" applyBorder="1"/>
    <xf numFmtId="43" fontId="0" fillId="2" borderId="39" xfId="0" applyNumberFormat="1" applyFont="1" applyFill="1" applyBorder="1" applyAlignment="1">
      <alignment horizontal="center"/>
    </xf>
    <xf numFmtId="43" fontId="8" fillId="2" borderId="39" xfId="1" applyNumberFormat="1" applyFont="1" applyFill="1" applyBorder="1"/>
    <xf numFmtId="9" fontId="16" fillId="6" borderId="8" xfId="2" applyNumberFormat="1" applyFont="1" applyFill="1" applyBorder="1"/>
    <xf numFmtId="9" fontId="0" fillId="0" borderId="0" xfId="2" applyFont="1"/>
    <xf numFmtId="43" fontId="0" fillId="0" borderId="0" xfId="0" applyNumberFormat="1"/>
    <xf numFmtId="165" fontId="0" fillId="0" borderId="0" xfId="2" applyNumberFormat="1" applyFont="1"/>
    <xf numFmtId="10" fontId="0" fillId="0" borderId="0" xfId="2" applyNumberFormat="1" applyFont="1"/>
    <xf numFmtId="165" fontId="0" fillId="4" borderId="18" xfId="2" applyNumberFormat="1" applyFont="1" applyFill="1" applyBorder="1"/>
    <xf numFmtId="43" fontId="0" fillId="0" borderId="0" xfId="0" applyNumberFormat="1" applyBorder="1" applyAlignment="1"/>
    <xf numFmtId="0" fontId="19" fillId="0" borderId="0" xfId="0" applyFont="1"/>
    <xf numFmtId="9" fontId="5" fillId="0" borderId="15" xfId="2" applyNumberFormat="1" applyFont="1" applyBorder="1"/>
    <xf numFmtId="0" fontId="0" fillId="3" borderId="31" xfId="0" applyFill="1" applyBorder="1" applyAlignment="1"/>
    <xf numFmtId="0" fontId="0" fillId="3" borderId="43" xfId="0" applyFill="1" applyBorder="1" applyAlignment="1"/>
    <xf numFmtId="0" fontId="20" fillId="0" borderId="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9" fontId="0" fillId="3" borderId="23" xfId="0" applyNumberFormat="1" applyFont="1" applyFill="1" applyBorder="1" applyAlignment="1"/>
    <xf numFmtId="9" fontId="0" fillId="3" borderId="4" xfId="0" applyNumberFormat="1" applyFont="1" applyFill="1" applyBorder="1" applyAlignment="1"/>
    <xf numFmtId="167" fontId="0" fillId="4" borderId="6" xfId="1" applyNumberFormat="1" applyFont="1" applyFill="1" applyBorder="1" applyAlignment="1">
      <alignment horizontal="right"/>
    </xf>
    <xf numFmtId="167" fontId="0" fillId="4" borderId="17" xfId="1" applyNumberFormat="1" applyFont="1" applyFill="1" applyBorder="1" applyAlignment="1">
      <alignment horizontal="right"/>
    </xf>
    <xf numFmtId="166" fontId="8" fillId="4" borderId="8" xfId="1" applyNumberFormat="1" applyFont="1" applyFill="1" applyBorder="1" applyAlignment="1">
      <alignment horizontal="right"/>
    </xf>
    <xf numFmtId="166" fontId="8" fillId="4" borderId="16" xfId="1" applyNumberFormat="1" applyFont="1" applyFill="1" applyBorder="1" applyAlignment="1">
      <alignment horizontal="right"/>
    </xf>
    <xf numFmtId="43" fontId="0" fillId="4" borderId="8" xfId="1" applyFont="1" applyFill="1" applyBorder="1" applyAlignment="1">
      <alignment horizontal="right"/>
    </xf>
    <xf numFmtId="43" fontId="0" fillId="4" borderId="16" xfId="1" applyFont="1" applyFill="1" applyBorder="1" applyAlignment="1">
      <alignment horizontal="right"/>
    </xf>
    <xf numFmtId="44" fontId="0" fillId="4" borderId="24" xfId="0" applyNumberFormat="1" applyFill="1" applyBorder="1" applyAlignment="1">
      <alignment horizontal="right"/>
    </xf>
    <xf numFmtId="44" fontId="0" fillId="4" borderId="19" xfId="0" applyNumberFormat="1" applyFill="1" applyBorder="1" applyAlignment="1">
      <alignment horizontal="right"/>
    </xf>
    <xf numFmtId="0" fontId="3" fillId="5" borderId="11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9" fontId="6" fillId="3" borderId="26" xfId="0" applyNumberFormat="1" applyFont="1" applyFill="1" applyBorder="1" applyAlignment="1">
      <alignment horizontal="left"/>
    </xf>
    <xf numFmtId="9" fontId="6" fillId="3" borderId="10" xfId="0" applyNumberFormat="1" applyFont="1" applyFill="1" applyBorder="1" applyAlignment="1">
      <alignment horizontal="left"/>
    </xf>
    <xf numFmtId="0" fontId="0" fillId="3" borderId="20" xfId="0" applyFill="1" applyBorder="1" applyAlignment="1"/>
    <xf numFmtId="0" fontId="0" fillId="3" borderId="0" xfId="0" applyFill="1" applyBorder="1" applyAlignment="1"/>
    <xf numFmtId="0" fontId="11" fillId="3" borderId="2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9" fillId="2" borderId="13" xfId="0" applyFont="1" applyFill="1" applyBorder="1" applyAlignment="1"/>
    <xf numFmtId="0" fontId="9" fillId="2" borderId="5" xfId="0" applyFont="1" applyFill="1" applyBorder="1" applyAlignment="1"/>
    <xf numFmtId="9" fontId="0" fillId="3" borderId="20" xfId="0" quotePrefix="1" applyNumberFormat="1" applyFont="1" applyFill="1" applyBorder="1" applyAlignment="1"/>
    <xf numFmtId="9" fontId="0" fillId="3" borderId="0" xfId="0" quotePrefix="1" applyNumberFormat="1" applyFont="1" applyFill="1" applyBorder="1" applyAlignment="1"/>
    <xf numFmtId="9" fontId="12" fillId="3" borderId="20" xfId="0" applyNumberFormat="1" applyFont="1" applyFill="1" applyBorder="1" applyAlignment="1">
      <alignment horizontal="center"/>
    </xf>
    <xf numFmtId="9" fontId="12" fillId="3" borderId="0" xfId="0" applyNumberFormat="1" applyFont="1" applyFill="1" applyBorder="1" applyAlignment="1">
      <alignment horizontal="center"/>
    </xf>
    <xf numFmtId="9" fontId="0" fillId="3" borderId="21" xfId="0" applyNumberFormat="1" applyFont="1" applyFill="1" applyBorder="1" applyAlignment="1"/>
    <xf numFmtId="9" fontId="0" fillId="3" borderId="2" xfId="0" applyNumberFormat="1" applyFont="1" applyFill="1" applyBorder="1" applyAlignment="1"/>
    <xf numFmtId="9" fontId="11" fillId="3" borderId="22" xfId="0" applyNumberFormat="1" applyFont="1" applyFill="1" applyBorder="1" applyAlignment="1">
      <alignment horizontal="center"/>
    </xf>
    <xf numFmtId="9" fontId="11" fillId="3" borderId="3" xfId="0" applyNumberFormat="1" applyFont="1" applyFill="1" applyBorder="1" applyAlignment="1">
      <alignment horizontal="center"/>
    </xf>
    <xf numFmtId="9" fontId="0" fillId="3" borderId="20" xfId="0" applyNumberFormat="1" applyFont="1" applyFill="1" applyBorder="1" applyAlignment="1"/>
    <xf numFmtId="9" fontId="0" fillId="3" borderId="0" xfId="0" applyNumberFormat="1" applyFont="1" applyFill="1" applyBorder="1" applyAlignment="1"/>
    <xf numFmtId="9" fontId="11" fillId="3" borderId="25" xfId="0" applyNumberFormat="1" applyFont="1" applyFill="1" applyBorder="1" applyAlignment="1">
      <alignment horizontal="center"/>
    </xf>
    <xf numFmtId="9" fontId="11" fillId="3" borderId="9" xfId="0" applyNumberFormat="1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9" fontId="12" fillId="3" borderId="22" xfId="0" applyNumberFormat="1" applyFont="1" applyFill="1" applyBorder="1" applyAlignment="1">
      <alignment horizontal="center"/>
    </xf>
    <xf numFmtId="9" fontId="12" fillId="3" borderId="3" xfId="0" applyNumberFormat="1" applyFont="1" applyFill="1" applyBorder="1" applyAlignment="1">
      <alignment horizontal="center"/>
    </xf>
    <xf numFmtId="0" fontId="0" fillId="3" borderId="20" xfId="0" quotePrefix="1" applyFill="1" applyBorder="1" applyAlignment="1"/>
    <xf numFmtId="0" fontId="0" fillId="3" borderId="0" xfId="0" quotePrefix="1" applyFill="1" applyBorder="1" applyAlignment="1"/>
    <xf numFmtId="0" fontId="11" fillId="3" borderId="2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0" fillId="2" borderId="21" xfId="0" applyFill="1" applyBorder="1" applyAlignment="1"/>
    <xf numFmtId="0" fontId="0" fillId="2" borderId="2" xfId="0" applyFill="1" applyBorder="1" applyAlignment="1"/>
    <xf numFmtId="0" fontId="0" fillId="3" borderId="21" xfId="0" quotePrefix="1" applyFill="1" applyBorder="1" applyAlignment="1"/>
    <xf numFmtId="0" fontId="0" fillId="3" borderId="2" xfId="0" quotePrefix="1" applyFill="1" applyBorder="1" applyAlignment="1"/>
    <xf numFmtId="0" fontId="8" fillId="2" borderId="21" xfId="0" applyFont="1" applyFill="1" applyBorder="1" applyAlignment="1"/>
    <xf numFmtId="0" fontId="8" fillId="2" borderId="2" xfId="0" applyFont="1" applyFill="1" applyBorder="1" applyAlignment="1"/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9" fontId="8" fillId="3" borderId="20" xfId="0" applyNumberFormat="1" applyFont="1" applyFill="1" applyBorder="1" applyAlignment="1"/>
    <xf numFmtId="9" fontId="8" fillId="3" borderId="0" xfId="0" applyNumberFormat="1" applyFont="1" applyFill="1" applyBorder="1" applyAlignment="1"/>
    <xf numFmtId="9" fontId="11" fillId="3" borderId="20" xfId="0" applyNumberFormat="1" applyFont="1" applyFill="1" applyBorder="1" applyAlignment="1">
      <alignment horizontal="center"/>
    </xf>
    <xf numFmtId="9" fontId="11" fillId="3" borderId="0" xfId="0" applyNumberFormat="1" applyFont="1" applyFill="1" applyBorder="1" applyAlignment="1">
      <alignment horizontal="center"/>
    </xf>
    <xf numFmtId="166" fontId="5" fillId="0" borderId="15" xfId="1" applyNumberFormat="1" applyFont="1" applyBorder="1"/>
    <xf numFmtId="167" fontId="0" fillId="7" borderId="31" xfId="0" applyNumberFormat="1" applyFill="1" applyBorder="1" applyAlignment="1">
      <alignment horizontal="right"/>
    </xf>
    <xf numFmtId="167" fontId="0" fillId="7" borderId="44" xfId="0" applyNumberFormat="1" applyFill="1" applyBorder="1" applyAlignment="1">
      <alignment horizontal="right"/>
    </xf>
    <xf numFmtId="167" fontId="2" fillId="0" borderId="12" xfId="5" applyNumberFormat="1" applyFont="1" applyBorder="1"/>
  </cellXfs>
  <cellStyles count="6">
    <cellStyle name="Comma" xfId="1" builtinId="3"/>
    <cellStyle name="Currency" xfId="5" builtinId="4"/>
    <cellStyle name="Normal" xfId="0" builtinId="0"/>
    <cellStyle name="Normal 2" xfId="3"/>
    <cellStyle name="Normal 3 26" xfId="4"/>
    <cellStyle name="Percent" xfId="2" builtinId="5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147320</xdr:colOff>
      <xdr:row>54</xdr:row>
      <xdr:rowOff>139700</xdr:rowOff>
    </xdr:from>
    <xdr:to>
      <xdr:col>10</xdr:col>
      <xdr:colOff>675640</xdr:colOff>
      <xdr:row>63</xdr:row>
      <xdr:rowOff>30480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13480" y="10457180"/>
          <a:ext cx="5930900" cy="153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my Netflix DCF model I have foretasted strong revenue growth averaging 3% over the next five years as the company continues to ramp its European presence, original content offerings in the U.S,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increased per user revenue.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am modeling an improvement in profitability with a gross profit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31.14% by 2021. My DCF valuation of $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169.84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share is based on a terminal growth rate of 3% and a WACC of 11.0% which incorporates a required return on equity of 11.5% based on an ERP estimate of 6% in Beta of 1.53, and risk-free rate of 2.25%.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ColWidth="11.44140625" defaultRowHeight="14.4" x14ac:dyDescent="0.3"/>
  <cols>
    <col min="3" max="3" width="29.109375" customWidth="1"/>
    <col min="9" max="13" width="10.77734375" customWidth="1"/>
    <col min="14" max="14" width="14.44140625" customWidth="1"/>
  </cols>
  <sheetData>
    <row r="1" spans="1:14" ht="25.8" x14ac:dyDescent="0.5">
      <c r="B1" s="79" t="s">
        <v>35</v>
      </c>
    </row>
    <row r="3" spans="1:14" ht="15" thickBot="1" x14ac:dyDescent="0.35">
      <c r="C3" t="s">
        <v>3</v>
      </c>
    </row>
    <row r="4" spans="1:14" x14ac:dyDescent="0.3">
      <c r="A4" s="6" t="s">
        <v>36</v>
      </c>
      <c r="B4" s="175"/>
      <c r="C4" s="176"/>
      <c r="D4" s="80">
        <v>2012</v>
      </c>
      <c r="E4" s="80">
        <v>2013</v>
      </c>
      <c r="F4" s="80">
        <v>2014</v>
      </c>
      <c r="G4" s="80">
        <v>2015</v>
      </c>
      <c r="H4" s="81">
        <v>2016</v>
      </c>
      <c r="I4" s="82" t="s">
        <v>4</v>
      </c>
      <c r="J4" s="82" t="s">
        <v>5</v>
      </c>
      <c r="K4" s="82" t="s">
        <v>6</v>
      </c>
      <c r="L4" s="82" t="s">
        <v>32</v>
      </c>
      <c r="M4" s="83" t="s">
        <v>33</v>
      </c>
      <c r="N4" s="83" t="s">
        <v>58</v>
      </c>
    </row>
    <row r="5" spans="1:14" x14ac:dyDescent="0.3">
      <c r="B5" s="177" t="s">
        <v>0</v>
      </c>
      <c r="C5" s="178"/>
      <c r="D5" s="5">
        <v>3609.2820000000002</v>
      </c>
      <c r="E5" s="5">
        <v>4374.5619999999999</v>
      </c>
      <c r="F5" s="5">
        <v>5504.6559999999999</v>
      </c>
      <c r="G5" s="9">
        <v>6779.5110000000004</v>
      </c>
      <c r="H5" s="9">
        <v>8830.6689999999999</v>
      </c>
      <c r="I5" s="10">
        <v>12259.9</v>
      </c>
      <c r="J5" s="11">
        <v>15518.6</v>
      </c>
      <c r="K5" s="78">
        <v>21926.04</v>
      </c>
      <c r="L5" s="78">
        <v>29496.455999999998</v>
      </c>
      <c r="M5" s="78">
        <v>36095.038399999998</v>
      </c>
      <c r="N5" s="92">
        <f>+M5*(1+$L$51)</f>
        <v>37177.889552000001</v>
      </c>
    </row>
    <row r="6" spans="1:14" x14ac:dyDescent="0.3">
      <c r="A6" s="13">
        <v>0.22616041882898416</v>
      </c>
      <c r="B6" s="179" t="s">
        <v>7</v>
      </c>
      <c r="C6" s="180"/>
      <c r="D6" s="14">
        <v>0.12628967879379999</v>
      </c>
      <c r="E6" s="14">
        <f>(E5-D5)/D5</f>
        <v>0.21203109094828271</v>
      </c>
      <c r="F6" s="14">
        <f>(F5-E5)/E5</f>
        <v>0.25833306283006163</v>
      </c>
      <c r="G6" s="14">
        <f t="shared" ref="G6:M6" si="0">(G5-F5)/F5</f>
        <v>0.23159576184233865</v>
      </c>
      <c r="H6" s="14">
        <f t="shared" si="0"/>
        <v>0.30255249973043769</v>
      </c>
      <c r="I6" s="84">
        <f t="shared" si="0"/>
        <v>0.38833195990020686</v>
      </c>
      <c r="J6" s="15">
        <f t="shared" si="0"/>
        <v>0.26580151550991449</v>
      </c>
      <c r="K6" s="15">
        <f t="shared" si="0"/>
        <v>0.412887760493859</v>
      </c>
      <c r="L6" s="15">
        <f t="shared" si="0"/>
        <v>0.34527055501130149</v>
      </c>
      <c r="M6" s="15">
        <f t="shared" si="0"/>
        <v>0.22370763457142104</v>
      </c>
      <c r="N6" s="93">
        <f>N5/M5-1</f>
        <v>3.0000000000000027E-2</v>
      </c>
    </row>
    <row r="7" spans="1:14" x14ac:dyDescent="0.3">
      <c r="B7" s="149" t="s">
        <v>8</v>
      </c>
      <c r="C7" s="150"/>
      <c r="D7" s="5">
        <v>2625.866</v>
      </c>
      <c r="E7" s="5">
        <v>3083.2559999999999</v>
      </c>
      <c r="F7" s="5">
        <v>3752.76</v>
      </c>
      <c r="G7" s="5">
        <v>4591.4759999999997</v>
      </c>
      <c r="H7" s="5">
        <v>6029.9009999999998</v>
      </c>
      <c r="I7" s="16">
        <v>7963</v>
      </c>
      <c r="J7" s="12">
        <v>9777.1</v>
      </c>
      <c r="K7" s="12">
        <v>14155.624</v>
      </c>
      <c r="L7" s="12">
        <v>17897.873599999999</v>
      </c>
      <c r="M7" s="12">
        <v>20257.02304</v>
      </c>
      <c r="N7" s="94">
        <f>(1-N10)*N5</f>
        <v>22999.301074196093</v>
      </c>
    </row>
    <row r="8" spans="1:14" x14ac:dyDescent="0.3">
      <c r="A8" s="13">
        <v>0.69483660496118138</v>
      </c>
      <c r="B8" s="151" t="s">
        <v>9</v>
      </c>
      <c r="C8" s="152"/>
      <c r="D8" s="14">
        <f>D7/D5</f>
        <v>0.72753140375287939</v>
      </c>
      <c r="E8" s="14">
        <f t="shared" ref="E8:N8" si="1">E7/E5</f>
        <v>0.70481479060075036</v>
      </c>
      <c r="F8" s="14">
        <f t="shared" si="1"/>
        <v>0.68174287366912667</v>
      </c>
      <c r="G8" s="14">
        <f t="shared" si="1"/>
        <v>0.67725769601966856</v>
      </c>
      <c r="H8" s="14">
        <f t="shared" si="1"/>
        <v>0.68283626076348236</v>
      </c>
      <c r="I8" s="84">
        <f t="shared" si="1"/>
        <v>0.6495159014347589</v>
      </c>
      <c r="J8" s="15">
        <f t="shared" si="1"/>
        <v>0.6300246156225433</v>
      </c>
      <c r="K8" s="15">
        <f t="shared" si="1"/>
        <v>0.64560787082391524</v>
      </c>
      <c r="L8" s="15">
        <f t="shared" si="1"/>
        <v>0.60678047559340687</v>
      </c>
      <c r="M8" s="30">
        <f t="shared" si="1"/>
        <v>0.56121350573213413</v>
      </c>
      <c r="N8" s="95">
        <f t="shared" si="1"/>
        <v>0.61862847384135167</v>
      </c>
    </row>
    <row r="9" spans="1:14" x14ac:dyDescent="0.3">
      <c r="B9" s="173" t="s">
        <v>10</v>
      </c>
      <c r="C9" s="174"/>
      <c r="D9" s="17">
        <f>D5-D7</f>
        <v>983.41600000000017</v>
      </c>
      <c r="E9" s="17">
        <f t="shared" ref="E9:M9" si="2">E5-E7</f>
        <v>1291.306</v>
      </c>
      <c r="F9" s="17">
        <f t="shared" si="2"/>
        <v>1751.8959999999997</v>
      </c>
      <c r="G9" s="17">
        <f t="shared" si="2"/>
        <v>2188.0350000000008</v>
      </c>
      <c r="H9" s="17">
        <f t="shared" si="2"/>
        <v>2800.768</v>
      </c>
      <c r="I9" s="85">
        <f t="shared" si="2"/>
        <v>4296.8999999999996</v>
      </c>
      <c r="J9" s="17">
        <f t="shared" si="2"/>
        <v>5741.5</v>
      </c>
      <c r="K9" s="17">
        <f t="shared" si="2"/>
        <v>7770.4160000000011</v>
      </c>
      <c r="L9" s="17">
        <f t="shared" si="2"/>
        <v>11598.582399999999</v>
      </c>
      <c r="M9" s="17">
        <f t="shared" si="2"/>
        <v>15838.015359999998</v>
      </c>
      <c r="N9" s="110">
        <f>N5-N7</f>
        <v>14178.588477803907</v>
      </c>
    </row>
    <row r="10" spans="1:14" x14ac:dyDescent="0.3">
      <c r="A10" s="13">
        <v>0.30516339503881851</v>
      </c>
      <c r="B10" s="163" t="s">
        <v>9</v>
      </c>
      <c r="C10" s="164"/>
      <c r="D10" s="18">
        <f>D9/D5</f>
        <v>0.27246859624712066</v>
      </c>
      <c r="E10" s="18">
        <f t="shared" ref="E10:M10" si="3">E9/E5</f>
        <v>0.29518520939924958</v>
      </c>
      <c r="F10" s="18">
        <f t="shared" si="3"/>
        <v>0.31825712633087333</v>
      </c>
      <c r="G10" s="18">
        <f t="shared" si="3"/>
        <v>0.32274230398033144</v>
      </c>
      <c r="H10" s="18">
        <f t="shared" si="3"/>
        <v>0.31716373923651764</v>
      </c>
      <c r="I10" s="86">
        <f t="shared" si="3"/>
        <v>0.35048409856524115</v>
      </c>
      <c r="J10" s="18">
        <f t="shared" si="3"/>
        <v>0.3699753843774567</v>
      </c>
      <c r="K10" s="18">
        <f t="shared" si="3"/>
        <v>0.3543921291760847</v>
      </c>
      <c r="L10" s="18">
        <f t="shared" si="3"/>
        <v>0.39321952440659313</v>
      </c>
      <c r="M10" s="18">
        <f t="shared" si="3"/>
        <v>0.43878649426786587</v>
      </c>
      <c r="N10" s="99">
        <f>AVERAGE(I10:M10)</f>
        <v>0.38137152615864828</v>
      </c>
    </row>
    <row r="11" spans="1:14" x14ac:dyDescent="0.3">
      <c r="B11" s="165" t="s">
        <v>11</v>
      </c>
      <c r="C11" s="166"/>
      <c r="D11" s="5">
        <v>933.42399999999998</v>
      </c>
      <c r="E11" s="5">
        <v>1062.9590000000001</v>
      </c>
      <c r="F11" s="5">
        <v>1349.248</v>
      </c>
      <c r="G11" s="5">
        <v>1882.2090000000001</v>
      </c>
      <c r="H11" s="19">
        <v>2420.9749999999999</v>
      </c>
      <c r="I11" s="20">
        <v>2946.0023801468601</v>
      </c>
      <c r="J11" s="19">
        <v>3374.83572467369</v>
      </c>
      <c r="K11" s="19">
        <v>4698.77001454317</v>
      </c>
      <c r="L11" s="19">
        <v>6735.2780203604398</v>
      </c>
      <c r="M11" s="19">
        <v>9324.5892285046102</v>
      </c>
      <c r="N11" s="96">
        <f>N5*N12</f>
        <v>8615.9266638923054</v>
      </c>
    </row>
    <row r="12" spans="1:14" x14ac:dyDescent="0.3">
      <c r="A12" s="13">
        <v>0.25970033008576915</v>
      </c>
      <c r="B12" s="167" t="s">
        <v>9</v>
      </c>
      <c r="C12" s="168"/>
      <c r="D12" s="14">
        <f>D11/D5</f>
        <v>0.25861764195759707</v>
      </c>
      <c r="E12" s="14">
        <f t="shared" ref="E12:M12" si="4">E11/E5</f>
        <v>0.24298638355108468</v>
      </c>
      <c r="F12" s="14">
        <f t="shared" si="4"/>
        <v>0.24511032115358344</v>
      </c>
      <c r="G12" s="14">
        <f t="shared" si="4"/>
        <v>0.27763197080143392</v>
      </c>
      <c r="H12" s="14">
        <f t="shared" si="4"/>
        <v>0.27415533296514683</v>
      </c>
      <c r="I12" s="84">
        <f t="shared" si="4"/>
        <v>0.24029579198418097</v>
      </c>
      <c r="J12" s="15">
        <f t="shared" si="4"/>
        <v>0.21747037262856767</v>
      </c>
      <c r="K12" s="15">
        <f t="shared" si="4"/>
        <v>0.21430089585457154</v>
      </c>
      <c r="L12" s="15">
        <f t="shared" si="4"/>
        <v>0.22834194115931894</v>
      </c>
      <c r="M12" s="15">
        <f t="shared" si="4"/>
        <v>0.25833437618685595</v>
      </c>
      <c r="N12" s="93">
        <f>AVERAGE(I12:M12)</f>
        <v>0.23174867556269901</v>
      </c>
    </row>
    <row r="13" spans="1:14" x14ac:dyDescent="0.3">
      <c r="B13" s="165" t="s">
        <v>37</v>
      </c>
      <c r="C13" s="166"/>
      <c r="D13" s="5">
        <v>887.95499999999993</v>
      </c>
      <c r="E13" s="5">
        <v>1014.585</v>
      </c>
      <c r="F13" s="5">
        <v>1295.22</v>
      </c>
      <c r="G13" s="5">
        <v>1819.9260000000002</v>
      </c>
      <c r="H13" s="5">
        <v>2363.4470000000001</v>
      </c>
      <c r="I13" s="16">
        <v>2849.4021929799101</v>
      </c>
      <c r="J13" s="5">
        <v>3380.8638163765399</v>
      </c>
      <c r="K13" s="5">
        <v>4453.2093429271508</v>
      </c>
      <c r="L13" s="5">
        <v>6343.4930800980101</v>
      </c>
      <c r="M13" s="5">
        <v>8528.2903121372092</v>
      </c>
      <c r="N13" s="97">
        <f>N7*N14</f>
        <v>5081.5085637748462</v>
      </c>
    </row>
    <row r="14" spans="1:14" x14ac:dyDescent="0.3">
      <c r="A14" s="13">
        <v>0.24986587084092915</v>
      </c>
      <c r="B14" s="21" t="s">
        <v>9</v>
      </c>
      <c r="C14" s="22"/>
      <c r="D14" s="14">
        <f>D13/D5</f>
        <v>0.2460198454983567</v>
      </c>
      <c r="E14" s="14">
        <f t="shared" ref="E14:M14" si="5">E13/E5</f>
        <v>0.23192836219946136</v>
      </c>
      <c r="F14" s="14">
        <f t="shared" si="5"/>
        <v>0.23529535723939879</v>
      </c>
      <c r="G14" s="14">
        <f t="shared" si="5"/>
        <v>0.26844502501729106</v>
      </c>
      <c r="H14" s="14">
        <f t="shared" si="5"/>
        <v>0.26764076425013783</v>
      </c>
      <c r="I14" s="87">
        <f t="shared" si="5"/>
        <v>0.23241643023025557</v>
      </c>
      <c r="J14" s="30">
        <f t="shared" si="5"/>
        <v>0.21785881563907439</v>
      </c>
      <c r="K14" s="30">
        <f t="shared" si="5"/>
        <v>0.20310139646407424</v>
      </c>
      <c r="L14" s="30">
        <f t="shared" si="5"/>
        <v>0.21505950003275004</v>
      </c>
      <c r="M14" s="30">
        <f t="shared" si="5"/>
        <v>0.23627320236171878</v>
      </c>
      <c r="N14" s="95">
        <f>AVERAGE(I14:M14)</f>
        <v>0.2209418689455746</v>
      </c>
    </row>
    <row r="15" spans="1:14" x14ac:dyDescent="0.3">
      <c r="B15" s="169" t="s">
        <v>1</v>
      </c>
      <c r="C15" s="170"/>
      <c r="D15" s="23">
        <v>95.46100000000024</v>
      </c>
      <c r="E15" s="23">
        <v>276.721</v>
      </c>
      <c r="F15" s="23">
        <v>456.6759999999997</v>
      </c>
      <c r="G15" s="23">
        <v>368.10900000000061</v>
      </c>
      <c r="H15" s="23">
        <v>437.32099999999991</v>
      </c>
      <c r="I15" s="24">
        <v>1147.4978070200937</v>
      </c>
      <c r="J15" s="23">
        <v>1560.6361836234632</v>
      </c>
      <c r="K15" s="23">
        <v>3117.2066570728502</v>
      </c>
      <c r="L15" s="23">
        <v>4364.0893199019883</v>
      </c>
      <c r="M15" s="23">
        <v>6109.7250478627866</v>
      </c>
      <c r="N15" s="98">
        <f>N9-N11-N13</f>
        <v>481.15325013675556</v>
      </c>
    </row>
    <row r="16" spans="1:14" x14ac:dyDescent="0.3">
      <c r="A16" s="13">
        <v>5.5297524197889379E-2</v>
      </c>
      <c r="B16" s="161" t="s">
        <v>9</v>
      </c>
      <c r="C16" s="162"/>
      <c r="D16" s="18">
        <f>D15/D5</f>
        <v>2.6448750748763947E-2</v>
      </c>
      <c r="E16" s="18">
        <f t="shared" ref="E16:N16" si="6">E15/E5</f>
        <v>6.3256847199788233E-2</v>
      </c>
      <c r="F16" s="18">
        <f t="shared" si="6"/>
        <v>8.2961769091474513E-2</v>
      </c>
      <c r="G16" s="18">
        <f t="shared" si="6"/>
        <v>5.4297278963040339E-2</v>
      </c>
      <c r="H16" s="18">
        <f t="shared" si="6"/>
        <v>4.9522974986379843E-2</v>
      </c>
      <c r="I16" s="86">
        <f t="shared" si="6"/>
        <v>9.3597648188002647E-2</v>
      </c>
      <c r="J16" s="18">
        <f t="shared" si="6"/>
        <v>0.10056552676294661</v>
      </c>
      <c r="K16" s="18">
        <f t="shared" si="6"/>
        <v>0.14216915854722742</v>
      </c>
      <c r="L16" s="18">
        <f t="shared" si="6"/>
        <v>0.14795300560521538</v>
      </c>
      <c r="M16" s="18">
        <f t="shared" si="6"/>
        <v>0.1692677253908334</v>
      </c>
      <c r="N16" s="99">
        <f t="shared" si="6"/>
        <v>1.2941919402492596E-2</v>
      </c>
    </row>
    <row r="17" spans="1:15" x14ac:dyDescent="0.3">
      <c r="A17" s="25"/>
      <c r="B17" s="165" t="s">
        <v>38</v>
      </c>
      <c r="C17" s="166"/>
      <c r="D17" s="5">
        <v>45.469000000000001</v>
      </c>
      <c r="E17" s="5">
        <v>48.374000000000002</v>
      </c>
      <c r="F17" s="5">
        <v>54.027999999999999</v>
      </c>
      <c r="G17" s="5">
        <v>62.283000000000001</v>
      </c>
      <c r="H17" s="5">
        <v>57.527999999999999</v>
      </c>
      <c r="I17" s="16">
        <v>73.353392274130087</v>
      </c>
      <c r="J17" s="5">
        <v>88.06784863072096</v>
      </c>
      <c r="K17" s="5">
        <v>123.29498808300936</v>
      </c>
      <c r="L17" s="5">
        <v>172.61298331621308</v>
      </c>
      <c r="M17" s="5">
        <v>241.65817664269829</v>
      </c>
      <c r="N17" s="97">
        <f>AVERAGE(I17:M17)</f>
        <v>139.79747778935436</v>
      </c>
    </row>
    <row r="18" spans="1:15" x14ac:dyDescent="0.3">
      <c r="A18" s="13">
        <v>9.8344592448400374E-3</v>
      </c>
      <c r="B18" s="167" t="s">
        <v>9</v>
      </c>
      <c r="C18" s="168"/>
      <c r="D18" s="14">
        <f>D17/D5</f>
        <v>1.2597796459240369E-2</v>
      </c>
      <c r="E18" s="14">
        <f t="shared" ref="E18:N18" si="7">E17/E5</f>
        <v>1.1058021351623317E-2</v>
      </c>
      <c r="F18" s="14">
        <f t="shared" si="7"/>
        <v>9.8149639141846459E-3</v>
      </c>
      <c r="G18" s="14">
        <f t="shared" si="7"/>
        <v>9.1869457841428376E-3</v>
      </c>
      <c r="H18" s="14">
        <f t="shared" si="7"/>
        <v>6.5145687150090217E-3</v>
      </c>
      <c r="I18" s="88">
        <f t="shared" si="7"/>
        <v>5.9831966226584305E-3</v>
      </c>
      <c r="J18" s="14">
        <f t="shared" si="7"/>
        <v>5.6749867018107917E-3</v>
      </c>
      <c r="K18" s="14">
        <f t="shared" si="7"/>
        <v>5.6232218897260674E-3</v>
      </c>
      <c r="L18" s="14">
        <f t="shared" si="7"/>
        <v>5.8519906024036613E-3</v>
      </c>
      <c r="M18" s="18">
        <f t="shared" si="7"/>
        <v>6.6950524879535326E-3</v>
      </c>
      <c r="N18" s="99">
        <f t="shared" si="7"/>
        <v>3.7602316719409883E-3</v>
      </c>
    </row>
    <row r="19" spans="1:15" x14ac:dyDescent="0.3">
      <c r="B19" s="169" t="s">
        <v>12</v>
      </c>
      <c r="C19" s="170"/>
      <c r="D19" s="26">
        <f>D9-D11</f>
        <v>49.992000000000189</v>
      </c>
      <c r="E19" s="26">
        <f t="shared" ref="E19:N19" si="8">E9-E11</f>
        <v>228.34699999999998</v>
      </c>
      <c r="F19" s="26">
        <f t="shared" si="8"/>
        <v>402.64799999999968</v>
      </c>
      <c r="G19" s="26">
        <f t="shared" si="8"/>
        <v>305.8260000000007</v>
      </c>
      <c r="H19" s="26">
        <f t="shared" si="8"/>
        <v>379.79300000000012</v>
      </c>
      <c r="I19" s="89">
        <f t="shared" si="8"/>
        <v>1350.8976198531395</v>
      </c>
      <c r="J19" s="26">
        <f t="shared" si="8"/>
        <v>2366.66427532631</v>
      </c>
      <c r="K19" s="26">
        <f t="shared" si="8"/>
        <v>3071.6459854568311</v>
      </c>
      <c r="L19" s="26">
        <f t="shared" si="8"/>
        <v>4863.3043796395596</v>
      </c>
      <c r="M19" s="26">
        <f t="shared" si="8"/>
        <v>6513.4261314953874</v>
      </c>
      <c r="N19" s="111">
        <f t="shared" si="8"/>
        <v>5562.6618139116017</v>
      </c>
    </row>
    <row r="20" spans="1:15" x14ac:dyDescent="0.3">
      <c r="A20" s="13">
        <v>4.5463064953049338E-2</v>
      </c>
      <c r="B20" s="161" t="s">
        <v>9</v>
      </c>
      <c r="C20" s="162"/>
      <c r="D20" s="18">
        <f>D19/D5</f>
        <v>1.3850954289523564E-2</v>
      </c>
      <c r="E20" s="18">
        <f t="shared" ref="E20:N20" si="9">E19/E5</f>
        <v>5.2198825848164911E-2</v>
      </c>
      <c r="F20" s="18">
        <f t="shared" si="9"/>
        <v>7.3146805177289859E-2</v>
      </c>
      <c r="G20" s="18">
        <f t="shared" si="9"/>
        <v>4.5110333178897517E-2</v>
      </c>
      <c r="H20" s="18">
        <f t="shared" si="9"/>
        <v>4.3008406271370848E-2</v>
      </c>
      <c r="I20" s="86">
        <f t="shared" si="9"/>
        <v>0.11018830658106017</v>
      </c>
      <c r="J20" s="18">
        <f t="shared" si="9"/>
        <v>0.15250501174888906</v>
      </c>
      <c r="K20" s="18">
        <f t="shared" si="9"/>
        <v>0.14009123332151319</v>
      </c>
      <c r="L20" s="18">
        <f t="shared" si="9"/>
        <v>0.16487758324727417</v>
      </c>
      <c r="M20" s="18">
        <f t="shared" si="9"/>
        <v>0.18045211808100994</v>
      </c>
      <c r="N20" s="99">
        <f t="shared" si="9"/>
        <v>0.14962285059594932</v>
      </c>
    </row>
    <row r="21" spans="1:15" x14ac:dyDescent="0.3">
      <c r="A21" s="27"/>
      <c r="B21" s="171" t="s">
        <v>13</v>
      </c>
      <c r="C21" s="172"/>
      <c r="D21" s="28">
        <v>13.327999999999999</v>
      </c>
      <c r="E21" s="28">
        <v>58.670999999999999</v>
      </c>
      <c r="F21" s="28">
        <v>82.57</v>
      </c>
      <c r="G21" s="28">
        <v>19.244</v>
      </c>
      <c r="H21" s="28">
        <v>73.828999999999994</v>
      </c>
      <c r="I21" s="29">
        <v>208.80587055653936</v>
      </c>
      <c r="J21" s="28">
        <v>286.25658609868844</v>
      </c>
      <c r="K21" s="28">
        <v>581.99467765296095</v>
      </c>
      <c r="L21" s="28">
        <v>814.79254871414491</v>
      </c>
      <c r="M21" s="28">
        <v>1140.7095681998035</v>
      </c>
      <c r="N21" s="100">
        <f>N22*N19</f>
        <v>898.55455088206179</v>
      </c>
    </row>
    <row r="22" spans="1:15" x14ac:dyDescent="0.3">
      <c r="A22" s="13">
        <v>0.19718508407254071</v>
      </c>
      <c r="B22" s="161" t="s">
        <v>14</v>
      </c>
      <c r="C22" s="162"/>
      <c r="D22" s="18">
        <f>D21/D19</f>
        <v>0.26660265642502701</v>
      </c>
      <c r="E22" s="18">
        <f t="shared" ref="E22:M22" si="10">E21/E19</f>
        <v>0.25693790590636184</v>
      </c>
      <c r="F22" s="18">
        <f t="shared" si="10"/>
        <v>0.20506745345810748</v>
      </c>
      <c r="G22" s="18">
        <f t="shared" si="10"/>
        <v>6.2924669583357712E-2</v>
      </c>
      <c r="H22" s="18">
        <f t="shared" si="10"/>
        <v>0.19439273498984966</v>
      </c>
      <c r="I22" s="87">
        <f t="shared" si="10"/>
        <v>0.15456824224713589</v>
      </c>
      <c r="J22" s="30">
        <f t="shared" si="10"/>
        <v>0.12095360929856436</v>
      </c>
      <c r="K22" s="30">
        <f t="shared" si="10"/>
        <v>0.18947322719105719</v>
      </c>
      <c r="L22" s="30">
        <f t="shared" si="10"/>
        <v>0.16753887585677554</v>
      </c>
      <c r="M22" s="30">
        <f t="shared" si="10"/>
        <v>0.17513203422757068</v>
      </c>
      <c r="N22" s="95">
        <f>AVERAGE(I22:M22)</f>
        <v>0.16153319776422076</v>
      </c>
    </row>
    <row r="23" spans="1:15" x14ac:dyDescent="0.3">
      <c r="B23" s="143" t="s">
        <v>15</v>
      </c>
      <c r="C23" s="144"/>
      <c r="D23" s="5">
        <v>36.664000000000243</v>
      </c>
      <c r="E23" s="5">
        <v>169.67600000000002</v>
      </c>
      <c r="F23" s="5">
        <v>320.07799999999969</v>
      </c>
      <c r="G23" s="5">
        <v>286.58200000000056</v>
      </c>
      <c r="H23" s="5">
        <v>305.96399999999988</v>
      </c>
      <c r="I23" s="16">
        <f>+I19-I21</f>
        <v>1142.0917492966003</v>
      </c>
      <c r="J23" s="5">
        <f t="shared" ref="J23:N23" si="11">+J19-J21</f>
        <v>2080.4076892276216</v>
      </c>
      <c r="K23" s="5">
        <f t="shared" si="11"/>
        <v>2489.6513078038702</v>
      </c>
      <c r="L23" s="5">
        <f t="shared" si="11"/>
        <v>4048.5118309254149</v>
      </c>
      <c r="M23" s="5">
        <f t="shared" si="11"/>
        <v>5372.7165632955839</v>
      </c>
      <c r="N23" s="97">
        <f t="shared" si="11"/>
        <v>4664.1072630295403</v>
      </c>
      <c r="O23" s="114"/>
    </row>
    <row r="24" spans="1:15" ht="15" thickBot="1" x14ac:dyDescent="0.35">
      <c r="A24" s="13">
        <v>3.6802332590882572E-2</v>
      </c>
      <c r="B24" s="145" t="s">
        <v>9</v>
      </c>
      <c r="C24" s="146"/>
      <c r="D24" s="31">
        <f>D23/D5</f>
        <v>1.0158253081914974E-2</v>
      </c>
      <c r="E24" s="31">
        <f t="shared" ref="E24:N24" si="12">E23/E5</f>
        <v>3.8786968843966554E-2</v>
      </c>
      <c r="F24" s="31">
        <f t="shared" si="12"/>
        <v>5.8146776110986717E-2</v>
      </c>
      <c r="G24" s="31">
        <f t="shared" si="12"/>
        <v>4.2271780368820192E-2</v>
      </c>
      <c r="H24" s="31">
        <f t="shared" si="12"/>
        <v>3.4647884548724438E-2</v>
      </c>
      <c r="I24" s="90">
        <f t="shared" si="12"/>
        <v>9.3156693716637193E-2</v>
      </c>
      <c r="J24" s="57">
        <f t="shared" si="12"/>
        <v>0.13405898014174097</v>
      </c>
      <c r="K24" s="57">
        <f t="shared" si="12"/>
        <v>0.11354769524291071</v>
      </c>
      <c r="L24" s="57">
        <f t="shared" si="12"/>
        <v>0.13725417829604394</v>
      </c>
      <c r="M24" s="57">
        <f t="shared" si="12"/>
        <v>0.14884917156080887</v>
      </c>
      <c r="N24" s="101">
        <f t="shared" si="12"/>
        <v>0.12545379308058741</v>
      </c>
      <c r="O24" s="114"/>
    </row>
    <row r="25" spans="1:15" ht="15" thickBot="1" x14ac:dyDescent="0.35">
      <c r="B25" s="32"/>
      <c r="C25" s="33"/>
      <c r="D25" s="118">
        <f>+D19-D21-D23</f>
        <v>-5.6843418860808015E-14</v>
      </c>
      <c r="E25" s="118">
        <f t="shared" ref="E25:M25" si="13">+E19-E21-E23</f>
        <v>0</v>
      </c>
      <c r="F25" s="118">
        <f t="shared" si="13"/>
        <v>0</v>
      </c>
      <c r="G25" s="118">
        <f t="shared" si="13"/>
        <v>0</v>
      </c>
      <c r="H25" s="118">
        <f t="shared" si="13"/>
        <v>0</v>
      </c>
      <c r="I25" s="118">
        <f t="shared" si="13"/>
        <v>0</v>
      </c>
      <c r="J25" s="118">
        <f t="shared" si="13"/>
        <v>0</v>
      </c>
      <c r="K25" s="118">
        <f t="shared" si="13"/>
        <v>0</v>
      </c>
      <c r="L25" s="118">
        <f t="shared" si="13"/>
        <v>0</v>
      </c>
      <c r="M25" s="118">
        <f t="shared" si="13"/>
        <v>0</v>
      </c>
      <c r="N25" s="102"/>
    </row>
    <row r="26" spans="1:15" x14ac:dyDescent="0.3">
      <c r="B26" s="147" t="s">
        <v>16</v>
      </c>
      <c r="C26" s="148"/>
      <c r="D26" s="7">
        <v>2012</v>
      </c>
      <c r="E26" s="7">
        <v>2013</v>
      </c>
      <c r="F26" s="7">
        <v>2014</v>
      </c>
      <c r="G26" s="7">
        <v>2015</v>
      </c>
      <c r="H26" s="7">
        <v>2016</v>
      </c>
      <c r="I26" s="7" t="s">
        <v>4</v>
      </c>
      <c r="J26" s="7" t="s">
        <v>5</v>
      </c>
      <c r="K26" s="7" t="s">
        <v>6</v>
      </c>
      <c r="L26" s="7" t="s">
        <v>32</v>
      </c>
      <c r="M26" s="8" t="s">
        <v>33</v>
      </c>
      <c r="N26" s="83" t="s">
        <v>58</v>
      </c>
    </row>
    <row r="27" spans="1:15" x14ac:dyDescent="0.3">
      <c r="B27" s="34" t="s">
        <v>17</v>
      </c>
      <c r="C27" s="35"/>
      <c r="D27" s="36">
        <v>45.469000000000001</v>
      </c>
      <c r="E27" s="36">
        <v>48.374000000000002</v>
      </c>
      <c r="F27" s="36">
        <v>54.027999999999999</v>
      </c>
      <c r="G27" s="36">
        <v>62.283000000000001</v>
      </c>
      <c r="H27" s="37">
        <v>57.527999999999999</v>
      </c>
      <c r="I27" s="38">
        <v>73.353392274130087</v>
      </c>
      <c r="J27" s="39">
        <v>88.06784863072096</v>
      </c>
      <c r="K27" s="39">
        <v>123.29498808300936</v>
      </c>
      <c r="L27" s="39">
        <v>172.61298331621308</v>
      </c>
      <c r="M27" s="39">
        <v>241.65817664269829</v>
      </c>
      <c r="N27" s="103">
        <f>+N17</f>
        <v>139.79747778935436</v>
      </c>
    </row>
    <row r="28" spans="1:15" x14ac:dyDescent="0.3">
      <c r="A28" s="25"/>
      <c r="B28" s="149" t="s">
        <v>18</v>
      </c>
      <c r="C28" s="150"/>
      <c r="D28" s="36">
        <v>40.277999999999999</v>
      </c>
      <c r="E28" s="36">
        <v>54.143000000000001</v>
      </c>
      <c r="F28" s="36">
        <v>69.725999999999999</v>
      </c>
      <c r="G28" s="36">
        <v>91.248000000000005</v>
      </c>
      <c r="H28" s="36">
        <v>107.65300000000001</v>
      </c>
      <c r="I28" s="40">
        <v>137.26729137962255</v>
      </c>
      <c r="J28" s="36">
        <v>164.8026718926958</v>
      </c>
      <c r="K28" s="36">
        <v>230.72374064977413</v>
      </c>
      <c r="L28" s="36">
        <v>323.01323690968377</v>
      </c>
      <c r="M28" s="36">
        <v>452.21853167355727</v>
      </c>
      <c r="N28" s="104">
        <f>+N29*N5</f>
        <v>415.04219517967499</v>
      </c>
    </row>
    <row r="29" spans="1:15" x14ac:dyDescent="0.3">
      <c r="A29" s="13">
        <v>1.2370652144049213E-2</v>
      </c>
      <c r="B29" s="151" t="s">
        <v>9</v>
      </c>
      <c r="C29" s="152"/>
      <c r="D29" s="14">
        <f>D28/D5</f>
        <v>1.1159560267111297E-2</v>
      </c>
      <c r="E29" s="14">
        <f t="shared" ref="E29:M29" si="14">E28/E5</f>
        <v>1.2376781949827206E-2</v>
      </c>
      <c r="F29" s="14">
        <f t="shared" si="14"/>
        <v>1.2666731581410354E-2</v>
      </c>
      <c r="G29" s="14">
        <f t="shared" si="14"/>
        <v>1.3459377822382764E-2</v>
      </c>
      <c r="H29" s="14">
        <f t="shared" si="14"/>
        <v>1.2190809099514432E-2</v>
      </c>
      <c r="I29" s="84">
        <f t="shared" si="14"/>
        <v>1.1196444618603949E-2</v>
      </c>
      <c r="J29" s="15">
        <f t="shared" si="14"/>
        <v>1.0619686820505445E-2</v>
      </c>
      <c r="K29" s="15">
        <f t="shared" si="14"/>
        <v>1.0522818559565435E-2</v>
      </c>
      <c r="L29" s="15">
        <f t="shared" si="14"/>
        <v>1.0950916846067331E-2</v>
      </c>
      <c r="M29" s="30">
        <f t="shared" si="14"/>
        <v>1.2528551061842265E-2</v>
      </c>
      <c r="N29" s="95">
        <f>AVERAGE(I29:M29)</f>
        <v>1.1163683581316886E-2</v>
      </c>
    </row>
    <row r="30" spans="1:15" x14ac:dyDescent="0.3">
      <c r="B30" s="153" t="s">
        <v>34</v>
      </c>
      <c r="C30" s="154"/>
      <c r="D30" s="41">
        <v>-183.21299999999974</v>
      </c>
      <c r="E30" s="41">
        <v>-295.84500000000025</v>
      </c>
      <c r="F30" s="41">
        <v>-344.59700000000021</v>
      </c>
      <c r="G30" s="41">
        <v>-408.4989999999998</v>
      </c>
      <c r="H30" s="41">
        <v>-600.14800000000014</v>
      </c>
      <c r="I30" s="42">
        <v>-765.24286723916396</v>
      </c>
      <c r="J30" s="43">
        <v>-918.74814386090134</v>
      </c>
      <c r="K30" s="43">
        <v>-1286.2474014052618</v>
      </c>
      <c r="L30" s="43">
        <v>-1800.7463619673665</v>
      </c>
      <c r="M30" s="43">
        <v>-2521.0449067543132</v>
      </c>
      <c r="N30" s="105">
        <f>+N31*N5</f>
        <v>-2313.7928655280543</v>
      </c>
    </row>
    <row r="31" spans="1:15" x14ac:dyDescent="0.3">
      <c r="A31" s="13">
        <v>-6.1841565502556504E-2</v>
      </c>
      <c r="B31" s="155" t="s">
        <v>9</v>
      </c>
      <c r="C31" s="156"/>
      <c r="D31" s="18">
        <f>D30/D5</f>
        <v>-5.07616196240692E-2</v>
      </c>
      <c r="E31" s="18">
        <f t="shared" ref="E31:M31" si="15">E30/E5</f>
        <v>-6.7628484863170357E-2</v>
      </c>
      <c r="F31" s="18">
        <f t="shared" si="15"/>
        <v>-6.2601005403425794E-2</v>
      </c>
      <c r="G31" s="18">
        <f t="shared" si="15"/>
        <v>-6.0254935791091681E-2</v>
      </c>
      <c r="H31" s="18">
        <f t="shared" si="15"/>
        <v>-6.7961781831025497E-2</v>
      </c>
      <c r="I31" s="87">
        <f t="shared" si="15"/>
        <v>-6.2418361262258582E-2</v>
      </c>
      <c r="J31" s="30">
        <f t="shared" si="15"/>
        <v>-5.9203030161283962E-2</v>
      </c>
      <c r="K31" s="30">
        <f t="shared" si="15"/>
        <v>-5.8663005330887918E-2</v>
      </c>
      <c r="L31" s="30">
        <f t="shared" si="15"/>
        <v>-6.1049583786179827E-2</v>
      </c>
      <c r="M31" s="30">
        <f t="shared" si="15"/>
        <v>-6.9844638446327656E-2</v>
      </c>
      <c r="N31" s="95">
        <f>AVERAGE(I31:M31)</f>
        <v>-6.22357237973876E-2</v>
      </c>
    </row>
    <row r="32" spans="1:15" x14ac:dyDescent="0.3">
      <c r="B32" s="157" t="s">
        <v>39</v>
      </c>
      <c r="C32" s="158"/>
      <c r="D32" s="36">
        <v>6.4770000000002881</v>
      </c>
      <c r="E32" s="36">
        <v>-112.63200000000052</v>
      </c>
      <c r="F32" s="36">
        <v>-48.751999999999953</v>
      </c>
      <c r="G32" s="36">
        <v>-63.901999999999589</v>
      </c>
      <c r="H32" s="36">
        <v>-191.64900000000034</v>
      </c>
      <c r="I32" s="40">
        <v>-165.09486723916382</v>
      </c>
      <c r="J32" s="39">
        <v>-153.50527662173738</v>
      </c>
      <c r="K32" s="39">
        <v>-367.49925754436049</v>
      </c>
      <c r="L32" s="39">
        <v>-514.49896056210468</v>
      </c>
      <c r="M32" s="39">
        <v>-720.29854478694665</v>
      </c>
      <c r="N32" s="105">
        <f>+N5*N33</f>
        <v>-576.38483175199178</v>
      </c>
    </row>
    <row r="33" spans="1:15" x14ac:dyDescent="0.3">
      <c r="A33" s="13">
        <v>-1.2787482080229872E-2</v>
      </c>
      <c r="B33" s="151" t="s">
        <v>9</v>
      </c>
      <c r="C33" s="152"/>
      <c r="D33" s="14">
        <f>D32/D5</f>
        <v>1.7945397450241593E-3</v>
      </c>
      <c r="E33" s="14">
        <f t="shared" ref="E33:H33" si="16">E32/E5</f>
        <v>-2.5747034788854407E-2</v>
      </c>
      <c r="F33" s="14">
        <f t="shared" si="16"/>
        <v>-8.8565025680078738E-3</v>
      </c>
      <c r="G33" s="14">
        <f t="shared" si="16"/>
        <v>-9.4257535683620226E-3</v>
      </c>
      <c r="H33" s="14">
        <f t="shared" si="16"/>
        <v>-2.1702659220949209E-2</v>
      </c>
      <c r="I33" s="88">
        <f t="shared" ref="I33" si="17">I32/I5</f>
        <v>-1.3466249091686215E-2</v>
      </c>
      <c r="J33" s="14">
        <f t="shared" ref="J33" si="18">J32/J5</f>
        <v>-9.8916961982226086E-3</v>
      </c>
      <c r="K33" s="14">
        <f t="shared" ref="K33" si="19">K32/K5</f>
        <v>-1.6760858665967975E-2</v>
      </c>
      <c r="L33" s="14">
        <f t="shared" ref="L33" si="20">L32/L5</f>
        <v>-1.7442738224622806E-2</v>
      </c>
      <c r="M33" s="14">
        <f t="shared" ref="M33" si="21">M32/M5</f>
        <v>-1.9955610984665046E-2</v>
      </c>
      <c r="N33" s="106">
        <f>AVERAGE(I33:M33)</f>
        <v>-1.550343063303293E-2</v>
      </c>
    </row>
    <row r="34" spans="1:15" x14ac:dyDescent="0.3">
      <c r="B34" s="157" t="s">
        <v>2</v>
      </c>
      <c r="C34" s="158"/>
      <c r="D34" s="36">
        <f>D23+D27-D28-D32</f>
        <v>35.37799999999995</v>
      </c>
      <c r="E34" s="36">
        <f t="shared" ref="E34:L34" si="22">E23+E27-E28-E32</f>
        <v>276.53900000000056</v>
      </c>
      <c r="F34" s="36">
        <f t="shared" si="22"/>
        <v>353.13199999999966</v>
      </c>
      <c r="G34" s="36">
        <f t="shared" si="22"/>
        <v>321.51900000000018</v>
      </c>
      <c r="H34" s="36">
        <f t="shared" si="22"/>
        <v>447.48800000000023</v>
      </c>
      <c r="I34" s="40">
        <f>I23+I27-I28-I32</f>
        <v>1243.2727174302718</v>
      </c>
      <c r="J34" s="36">
        <f t="shared" si="22"/>
        <v>2157.1781425873842</v>
      </c>
      <c r="K34" s="36">
        <f t="shared" si="22"/>
        <v>2749.7218127814658</v>
      </c>
      <c r="L34" s="36">
        <f t="shared" si="22"/>
        <v>4412.6105378940492</v>
      </c>
      <c r="M34" s="36">
        <f>M23+M27-M28-M32</f>
        <v>5882.4547530516711</v>
      </c>
      <c r="N34" s="104">
        <f>N23+N27-N28-N32</f>
        <v>4965.2473773912106</v>
      </c>
      <c r="O34" s="114"/>
    </row>
    <row r="35" spans="1:15" ht="15" thickBot="1" x14ac:dyDescent="0.35">
      <c r="A35" s="13">
        <v>4.7053621771903267E-2</v>
      </c>
      <c r="B35" s="159" t="s">
        <v>9</v>
      </c>
      <c r="C35" s="160"/>
      <c r="D35" s="44">
        <f>D34/D5</f>
        <v>9.8019495290198842E-3</v>
      </c>
      <c r="E35" s="44">
        <f t="shared" ref="E35:N35" si="23">E34/E5</f>
        <v>6.3215243034617077E-2</v>
      </c>
      <c r="F35" s="44">
        <f t="shared" si="23"/>
        <v>6.4151511011768886E-2</v>
      </c>
      <c r="G35" s="44">
        <f t="shared" si="23"/>
        <v>4.7425101898942293E-2</v>
      </c>
      <c r="H35" s="44">
        <f t="shared" si="23"/>
        <v>5.0674303385168241E-2</v>
      </c>
      <c r="I35" s="91">
        <f t="shared" si="23"/>
        <v>0.1014096948123779</v>
      </c>
      <c r="J35" s="44">
        <f t="shared" si="23"/>
        <v>0.13900597622126892</v>
      </c>
      <c r="K35" s="44">
        <f t="shared" si="23"/>
        <v>0.12540895723903933</v>
      </c>
      <c r="L35" s="44">
        <f t="shared" si="23"/>
        <v>0.1495979902770031</v>
      </c>
      <c r="M35" s="44">
        <f t="shared" si="23"/>
        <v>0.16297128397158517</v>
      </c>
      <c r="N35" s="107">
        <f t="shared" si="23"/>
        <v>0.13355377180424441</v>
      </c>
    </row>
    <row r="36" spans="1:15" ht="15" thickTop="1" x14ac:dyDescent="0.3">
      <c r="B36" s="141" t="s">
        <v>20</v>
      </c>
      <c r="C36" s="142"/>
      <c r="D36" s="45"/>
      <c r="E36" s="45"/>
      <c r="F36" s="45"/>
      <c r="G36" s="45"/>
      <c r="H36" s="45"/>
      <c r="I36" s="112">
        <f>1/(1+L48)</f>
        <v>0.90085423863749925</v>
      </c>
      <c r="J36" s="77">
        <f>1/(1+L48)^2</f>
        <v>0.81153835927114837</v>
      </c>
      <c r="K36" s="77">
        <f>1/(1+L48)^3</f>
        <v>0.73107777076633562</v>
      </c>
      <c r="L36" s="77">
        <f>1/(1+L48)^4</f>
        <v>0.65859450856850754</v>
      </c>
      <c r="M36" s="77">
        <f>1/(1+L48)^5</f>
        <v>0.59329765458732076</v>
      </c>
      <c r="N36" s="108"/>
    </row>
    <row r="37" spans="1:15" ht="15" thickBot="1" x14ac:dyDescent="0.35">
      <c r="B37" s="129" t="s">
        <v>21</v>
      </c>
      <c r="C37" s="130"/>
      <c r="D37" s="46"/>
      <c r="E37" s="46"/>
      <c r="F37" s="46"/>
      <c r="G37" s="46"/>
      <c r="H37" s="46"/>
      <c r="I37" s="47">
        <f>I34*I36</f>
        <v>1120.0074972794223</v>
      </c>
      <c r="J37" s="47">
        <f t="shared" ref="J37:L37" si="24">J34*J36</f>
        <v>1750.6328104909492</v>
      </c>
      <c r="K37" s="47">
        <f t="shared" si="24"/>
        <v>2010.2604931158412</v>
      </c>
      <c r="L37" s="47">
        <f t="shared" si="24"/>
        <v>2906.121068708549</v>
      </c>
      <c r="M37" s="47">
        <f>M34*M36</f>
        <v>3490.0466082015937</v>
      </c>
      <c r="N37" s="109">
        <f>(N34*(1+L51))/(L48-L51)</f>
        <v>63881.648600220549</v>
      </c>
    </row>
    <row r="39" spans="1:15" ht="16.2" thickBot="1" x14ac:dyDescent="0.35">
      <c r="B39" s="1"/>
      <c r="C39" s="1"/>
      <c r="D39" s="1"/>
      <c r="H39" s="58"/>
    </row>
    <row r="40" spans="1:15" ht="15.6" x14ac:dyDescent="0.3">
      <c r="A40" s="119"/>
      <c r="B40" s="139" t="s">
        <v>22</v>
      </c>
      <c r="C40" s="139"/>
      <c r="D40" s="2">
        <f>SUM(I37:N37)</f>
        <v>75158.717078016911</v>
      </c>
      <c r="F40" s="48" t="s">
        <v>40</v>
      </c>
      <c r="G40" s="49"/>
      <c r="H40" s="49"/>
      <c r="I40" s="50"/>
      <c r="K40" s="76" t="s">
        <v>19</v>
      </c>
      <c r="L40" s="8"/>
    </row>
    <row r="41" spans="1:15" ht="15.6" x14ac:dyDescent="0.3">
      <c r="B41" s="124" t="s">
        <v>23</v>
      </c>
      <c r="C41" s="124"/>
      <c r="D41" s="3">
        <f>1077.8+263.4</f>
        <v>1341.1999999999998</v>
      </c>
      <c r="F41" s="51" t="s">
        <v>41</v>
      </c>
      <c r="G41" s="52"/>
      <c r="H41" s="131">
        <f>H43*H44</f>
        <v>70209.33</v>
      </c>
      <c r="I41" s="132"/>
      <c r="K41" s="59" t="s">
        <v>57</v>
      </c>
      <c r="L41" s="60">
        <v>2.2499999999999999E-2</v>
      </c>
    </row>
    <row r="42" spans="1:15" ht="16.2" thickBot="1" x14ac:dyDescent="0.35">
      <c r="B42" s="140" t="s">
        <v>24</v>
      </c>
      <c r="C42" s="140"/>
      <c r="D42" s="4">
        <f>D40+D41</f>
        <v>76499.917078016908</v>
      </c>
      <c r="F42" s="53" t="s">
        <v>42</v>
      </c>
      <c r="G42" s="54"/>
      <c r="H42" s="133">
        <f>+D43</f>
        <v>3365.4</v>
      </c>
      <c r="I42" s="134"/>
      <c r="K42" s="59" t="s">
        <v>31</v>
      </c>
      <c r="L42" s="61">
        <v>1.53</v>
      </c>
    </row>
    <row r="43" spans="1:15" ht="16.2" thickTop="1" x14ac:dyDescent="0.3">
      <c r="B43" s="124" t="s">
        <v>25</v>
      </c>
      <c r="C43" s="124"/>
      <c r="D43" s="3">
        <v>3365.4</v>
      </c>
      <c r="F43" s="53" t="s">
        <v>43</v>
      </c>
      <c r="G43" s="54"/>
      <c r="H43" s="135">
        <v>430.6</v>
      </c>
      <c r="I43" s="136"/>
      <c r="K43" s="59" t="s">
        <v>55</v>
      </c>
      <c r="L43" s="62">
        <v>0.06</v>
      </c>
      <c r="M43" s="115">
        <f>+L41+L42*L43</f>
        <v>0.11429999999999998</v>
      </c>
      <c r="N43" t="s">
        <v>59</v>
      </c>
    </row>
    <row r="44" spans="1:15" ht="16.2" thickBot="1" x14ac:dyDescent="0.35">
      <c r="B44" s="140" t="s">
        <v>26</v>
      </c>
      <c r="C44" s="140"/>
      <c r="D44" s="4">
        <f>D42-D43</f>
        <v>73134.517078016914</v>
      </c>
      <c r="F44" s="55" t="s">
        <v>44</v>
      </c>
      <c r="G44" s="56"/>
      <c r="H44" s="137">
        <v>163.05000000000001</v>
      </c>
      <c r="I44" s="138"/>
      <c r="K44" s="59" t="s">
        <v>56</v>
      </c>
      <c r="L44" s="63">
        <v>2.8400000000000002E-2</v>
      </c>
      <c r="M44" s="113">
        <f>+L46/(L46+L47)</f>
        <v>4.5741248387863608E-2</v>
      </c>
      <c r="N44" t="s">
        <v>60</v>
      </c>
    </row>
    <row r="45" spans="1:15" ht="16.8" thickTop="1" thickBot="1" x14ac:dyDescent="0.35">
      <c r="B45" s="124" t="s">
        <v>27</v>
      </c>
      <c r="C45" s="124"/>
      <c r="D45" s="3">
        <f>H43</f>
        <v>430.6</v>
      </c>
      <c r="F45" s="121" t="s">
        <v>45</v>
      </c>
      <c r="G45" s="122"/>
      <c r="H45" s="182">
        <f>+D46</f>
        <v>169.84328164890132</v>
      </c>
      <c r="I45" s="183"/>
      <c r="K45" s="64" t="s">
        <v>46</v>
      </c>
      <c r="L45" s="63">
        <v>0.2412</v>
      </c>
      <c r="M45" s="113">
        <f>+L47/(L46+L47)</f>
        <v>0.95425875161213647</v>
      </c>
      <c r="N45" t="s">
        <v>61</v>
      </c>
    </row>
    <row r="46" spans="1:15" ht="16.2" thickBot="1" x14ac:dyDescent="0.35">
      <c r="B46" s="125" t="s">
        <v>28</v>
      </c>
      <c r="C46" s="125"/>
      <c r="D46" s="181">
        <f>+D44/D45</f>
        <v>169.84328164890132</v>
      </c>
      <c r="F46" s="123"/>
      <c r="G46" s="123"/>
      <c r="H46" s="123"/>
      <c r="I46" s="123"/>
      <c r="K46" s="64" t="s">
        <v>47</v>
      </c>
      <c r="L46" s="65">
        <f>+H42</f>
        <v>3365.4</v>
      </c>
      <c r="M46" s="113">
        <f>+L44*(1-L45)</f>
        <v>2.1549920000000004E-2</v>
      </c>
      <c r="N46" t="s">
        <v>62</v>
      </c>
    </row>
    <row r="47" spans="1:15" ht="16.8" thickTop="1" thickBot="1" x14ac:dyDescent="0.35">
      <c r="B47" s="126" t="s">
        <v>29</v>
      </c>
      <c r="C47" s="126"/>
      <c r="D47" s="184">
        <v>163.05000000000001</v>
      </c>
      <c r="F47" s="123"/>
      <c r="G47" s="123"/>
      <c r="H47" s="123"/>
      <c r="I47" s="123"/>
      <c r="K47" s="64" t="s">
        <v>48</v>
      </c>
      <c r="L47" s="66">
        <f>+H41</f>
        <v>70209.33</v>
      </c>
    </row>
    <row r="48" spans="1:15" ht="16.2" thickBot="1" x14ac:dyDescent="0.35">
      <c r="B48" s="125" t="s">
        <v>30</v>
      </c>
      <c r="C48" s="125"/>
      <c r="D48" s="120">
        <f>D46/D47-1</f>
        <v>4.1663794228159023E-2</v>
      </c>
      <c r="F48" s="123"/>
      <c r="G48" s="123"/>
      <c r="H48" s="123"/>
      <c r="I48" s="123"/>
      <c r="K48" s="67" t="s">
        <v>19</v>
      </c>
      <c r="L48" s="117">
        <f>(M43*M45)+(M44*M46)</f>
        <v>0.11005749555272577</v>
      </c>
      <c r="M48" s="116"/>
    </row>
    <row r="49" spans="6:12" ht="15.6" thickTop="1" thickBot="1" x14ac:dyDescent="0.35">
      <c r="F49" s="123"/>
      <c r="G49" s="123"/>
      <c r="H49" s="123"/>
      <c r="I49" s="123"/>
      <c r="K49" s="68"/>
      <c r="L49" s="69"/>
    </row>
    <row r="50" spans="6:12" x14ac:dyDescent="0.3">
      <c r="F50" s="123"/>
      <c r="G50" s="123"/>
      <c r="H50" s="123"/>
      <c r="I50" s="123"/>
      <c r="K50" s="127" t="s">
        <v>53</v>
      </c>
      <c r="L50" s="128" t="s">
        <v>49</v>
      </c>
    </row>
    <row r="51" spans="6:12" x14ac:dyDescent="0.3">
      <c r="K51" s="70" t="s">
        <v>54</v>
      </c>
      <c r="L51" s="71">
        <v>0.03</v>
      </c>
    </row>
    <row r="52" spans="6:12" x14ac:dyDescent="0.3">
      <c r="K52" s="72" t="s">
        <v>50</v>
      </c>
      <c r="L52" s="73">
        <f>+D42/N19</f>
        <v>13.752394022354384</v>
      </c>
    </row>
    <row r="53" spans="6:12" x14ac:dyDescent="0.3">
      <c r="K53" s="72" t="s">
        <v>51</v>
      </c>
      <c r="L53" s="73">
        <f>+D42/N15</f>
        <v>158.99283036386797</v>
      </c>
    </row>
    <row r="54" spans="6:12" ht="15" thickBot="1" x14ac:dyDescent="0.35">
      <c r="K54" s="74" t="s">
        <v>52</v>
      </c>
      <c r="L54" s="75">
        <f>+D42/N5</f>
        <v>2.0576723961433565</v>
      </c>
    </row>
  </sheetData>
  <mergeCells count="46">
    <mergeCell ref="B9:C9"/>
    <mergeCell ref="B4:C4"/>
    <mergeCell ref="B5:C5"/>
    <mergeCell ref="B6:C6"/>
    <mergeCell ref="B7:C7"/>
    <mergeCell ref="B8:C8"/>
    <mergeCell ref="B22:C22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1:C21"/>
    <mergeCell ref="B36:C36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34:C34"/>
    <mergeCell ref="B35:C35"/>
    <mergeCell ref="B37:C37"/>
    <mergeCell ref="H41:I41"/>
    <mergeCell ref="H42:I42"/>
    <mergeCell ref="H43:I43"/>
    <mergeCell ref="H44:I44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K50:L50"/>
    <mergeCell ref="H45:I45"/>
  </mergeCells>
  <conditionalFormatting sqref="H45:I45">
    <cfRule type="cellIs" dxfId="1" priority="3" operator="lessThan">
      <formula>$N$45</formula>
    </cfRule>
    <cfRule type="cellIs" dxfId="0" priority="4" operator="greaterThan">
      <formula>$N$45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DCF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JonL</dc:creator>
  <cp:lastModifiedBy>Admin</cp:lastModifiedBy>
  <dcterms:created xsi:type="dcterms:W3CDTF">2014-12-25T02:38:06Z</dcterms:created>
  <dcterms:modified xsi:type="dcterms:W3CDTF">2017-06-06T01:27:50Z</dcterms:modified>
</cp:coreProperties>
</file>