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BOOK Feb-2017\Templates to Publish with Book\"/>
    </mc:Choice>
  </mc:AlternateContent>
  <xr:revisionPtr revIDLastSave="0" documentId="13_ncr:1_{17EFD518-ACD6-456E-BF19-B2FBB8FF4D35}" xr6:coauthVersionLast="40" xr6:coauthVersionMax="40" xr10:uidLastSave="{00000000-0000-0000-0000-000000000000}"/>
  <bookViews>
    <workbookView xWindow="480" yWindow="168" windowWidth="8952" windowHeight="7344" tabRatio="700" xr2:uid="{00000000-000D-0000-FFFF-FFFF00000000}"/>
  </bookViews>
  <sheets>
    <sheet name="AAPL Earnings Model (Tier 2)" sheetId="22" r:id="rId1"/>
  </sheets>
  <definedNames>
    <definedName name="DATA" localSheetId="0">#REF!</definedName>
    <definedName name="DATA">#REF!</definedName>
    <definedName name="_xlnm.Print_Area" localSheetId="0">'AAPL Earnings Model (Tier 2)'!$A$1:$AV$144</definedName>
  </definedNames>
  <calcPr calcId="181029" concurrentCalc="0"/>
</workbook>
</file>

<file path=xl/calcChain.xml><?xml version="1.0" encoding="utf-8"?>
<calcChain xmlns="http://schemas.openxmlformats.org/spreadsheetml/2006/main">
  <c r="C150" i="22" l="1"/>
  <c r="C149" i="22"/>
  <c r="AN129" i="22"/>
  <c r="AN130" i="22"/>
  <c r="AN127" i="22"/>
  <c r="AM130" i="22"/>
  <c r="AM127" i="22"/>
  <c r="AN126" i="22"/>
  <c r="AM126" i="22"/>
  <c r="AI130" i="22"/>
  <c r="AI126" i="22"/>
  <c r="AK130" i="22"/>
  <c r="AK127" i="22"/>
  <c r="AJ129" i="22"/>
  <c r="AJ130" i="22"/>
  <c r="AJ127" i="22"/>
  <c r="AI127" i="22"/>
  <c r="AK126" i="22"/>
  <c r="AJ126" i="22"/>
  <c r="AH129" i="22"/>
  <c r="AH130" i="22"/>
  <c r="AH126" i="22"/>
  <c r="AC130" i="22"/>
  <c r="AC126" i="22"/>
  <c r="AE97" i="22"/>
  <c r="AF97" i="22"/>
  <c r="AH97" i="22"/>
  <c r="AI97" i="22"/>
  <c r="AJ97" i="22"/>
  <c r="AK97" i="22"/>
  <c r="AM97" i="22"/>
  <c r="AN97" i="22"/>
  <c r="AO97" i="22"/>
  <c r="AP97" i="22"/>
  <c r="AR97" i="22"/>
  <c r="AS97" i="22"/>
  <c r="AT97" i="22"/>
  <c r="AU97" i="22"/>
  <c r="AN93" i="22"/>
  <c r="AN92" i="22"/>
  <c r="AO70" i="22"/>
  <c r="AO69" i="22"/>
  <c r="AH43" i="22"/>
  <c r="AO42" i="22"/>
  <c r="AO41" i="22"/>
  <c r="AN45" i="22"/>
  <c r="AV18" i="22"/>
  <c r="AQ18" i="22"/>
  <c r="AP130" i="22"/>
  <c r="AO130" i="22"/>
  <c r="AF130" i="22"/>
  <c r="AF127" i="22"/>
  <c r="AE130" i="22"/>
  <c r="AE126" i="22"/>
  <c r="AD130" i="22"/>
  <c r="AD127" i="22"/>
  <c r="AR128" i="22"/>
  <c r="AR130" i="22"/>
  <c r="AA127" i="22"/>
  <c r="Z127" i="22"/>
  <c r="Y127" i="22"/>
  <c r="X127" i="22"/>
  <c r="V127" i="22"/>
  <c r="U127" i="22"/>
  <c r="T127" i="22"/>
  <c r="S127" i="22"/>
  <c r="Q127" i="22"/>
  <c r="P127" i="22"/>
  <c r="O127" i="22"/>
  <c r="N127" i="22"/>
  <c r="L127" i="22"/>
  <c r="K127" i="22"/>
  <c r="J127" i="22"/>
  <c r="I127" i="22"/>
  <c r="G127" i="22"/>
  <c r="F127" i="22"/>
  <c r="E127" i="22"/>
  <c r="AA126" i="22"/>
  <c r="Z126" i="22"/>
  <c r="Y126" i="22"/>
  <c r="X126" i="22"/>
  <c r="V126" i="22"/>
  <c r="U126" i="22"/>
  <c r="T126" i="22"/>
  <c r="S126" i="22"/>
  <c r="Q126" i="22"/>
  <c r="P126" i="22"/>
  <c r="O126" i="22"/>
  <c r="N126" i="22"/>
  <c r="L126" i="22"/>
  <c r="K126" i="22"/>
  <c r="J126" i="22"/>
  <c r="I126" i="22"/>
  <c r="G126" i="22"/>
  <c r="F126" i="22"/>
  <c r="E126" i="22"/>
  <c r="AN124" i="22"/>
  <c r="AM124" i="22"/>
  <c r="AK124" i="22"/>
  <c r="AJ124" i="22"/>
  <c r="AI124" i="22"/>
  <c r="AH124" i="22"/>
  <c r="AF124" i="22"/>
  <c r="AE124" i="22"/>
  <c r="AC124" i="22"/>
  <c r="AB124" i="22"/>
  <c r="AA124" i="22"/>
  <c r="Z124" i="22"/>
  <c r="Y124" i="22"/>
  <c r="X124" i="22"/>
  <c r="W124" i="22"/>
  <c r="V124" i="22"/>
  <c r="U124" i="22"/>
  <c r="T124" i="22"/>
  <c r="S124" i="22"/>
  <c r="R124" i="22"/>
  <c r="Q124" i="22"/>
  <c r="P124" i="22"/>
  <c r="O124" i="22"/>
  <c r="N124" i="22"/>
  <c r="M124" i="22"/>
  <c r="L124" i="22"/>
  <c r="K124" i="22"/>
  <c r="J124" i="22"/>
  <c r="I124" i="22"/>
  <c r="H124" i="22"/>
  <c r="G124" i="22"/>
  <c r="F124" i="22"/>
  <c r="E124" i="22"/>
  <c r="D124" i="22"/>
  <c r="AN123" i="22"/>
  <c r="AM123" i="22"/>
  <c r="AK123" i="22"/>
  <c r="AJ123" i="22"/>
  <c r="AI123" i="22"/>
  <c r="AH123" i="22"/>
  <c r="AF123" i="22"/>
  <c r="AE123" i="22"/>
  <c r="AC123" i="22"/>
  <c r="AB123" i="22"/>
  <c r="AA123" i="22"/>
  <c r="Z123" i="22"/>
  <c r="Y123" i="22"/>
  <c r="X123" i="22"/>
  <c r="W123" i="22"/>
  <c r="V123" i="22"/>
  <c r="U123" i="22"/>
  <c r="T123" i="22"/>
  <c r="S123" i="22"/>
  <c r="R123" i="22"/>
  <c r="Q123" i="22"/>
  <c r="P123" i="22"/>
  <c r="O123" i="22"/>
  <c r="N123" i="22"/>
  <c r="M123" i="22"/>
  <c r="L123" i="22"/>
  <c r="K123" i="22"/>
  <c r="J123" i="22"/>
  <c r="I123" i="22"/>
  <c r="H123" i="22"/>
  <c r="G123" i="22"/>
  <c r="F123" i="22"/>
  <c r="E123" i="22"/>
  <c r="D123" i="22"/>
  <c r="AN118" i="22"/>
  <c r="AM118" i="22"/>
  <c r="AK118" i="22"/>
  <c r="AJ118" i="22"/>
  <c r="AI118" i="22"/>
  <c r="AH118" i="22"/>
  <c r="AF118" i="22"/>
  <c r="AC118" i="22"/>
  <c r="AA118" i="22"/>
  <c r="Z118" i="22"/>
  <c r="Y118" i="22"/>
  <c r="X118" i="22"/>
  <c r="V118" i="22"/>
  <c r="U118" i="22"/>
  <c r="T118" i="22"/>
  <c r="S118" i="22"/>
  <c r="Q118" i="22"/>
  <c r="P118" i="22"/>
  <c r="O118" i="22"/>
  <c r="N118" i="22"/>
  <c r="L118" i="22"/>
  <c r="K118" i="22"/>
  <c r="J118" i="22"/>
  <c r="I118" i="22"/>
  <c r="G118" i="22"/>
  <c r="F118" i="22"/>
  <c r="E118" i="22"/>
  <c r="AN117" i="22"/>
  <c r="AM117" i="22"/>
  <c r="AK117" i="22"/>
  <c r="AJ117" i="22"/>
  <c r="AH117" i="22"/>
  <c r="AF117" i="22"/>
  <c r="AE117" i="22"/>
  <c r="AC117" i="22"/>
  <c r="AB117" i="22"/>
  <c r="AA117" i="22"/>
  <c r="Z117" i="22"/>
  <c r="Y117" i="22"/>
  <c r="X117" i="22"/>
  <c r="W117" i="22"/>
  <c r="V117" i="22"/>
  <c r="U117" i="22"/>
  <c r="T117" i="22"/>
  <c r="S117" i="22"/>
  <c r="R117" i="22"/>
  <c r="Q117" i="22"/>
  <c r="P117" i="22"/>
  <c r="O117" i="22"/>
  <c r="N117" i="22"/>
  <c r="M117" i="22"/>
  <c r="L117" i="22"/>
  <c r="K117" i="22"/>
  <c r="J117" i="22"/>
  <c r="I117" i="22"/>
  <c r="AM115" i="22"/>
  <c r="AK115" i="22"/>
  <c r="AJ115" i="22"/>
  <c r="AI115" i="22"/>
  <c r="AH115" i="22"/>
  <c r="AF115" i="22"/>
  <c r="AE115" i="22"/>
  <c r="AD115" i="22"/>
  <c r="AC115" i="22"/>
  <c r="AA115" i="22"/>
  <c r="Z115" i="22"/>
  <c r="Y115" i="22"/>
  <c r="X115" i="22"/>
  <c r="V115" i="22"/>
  <c r="U115" i="22"/>
  <c r="Z112" i="22"/>
  <c r="Y112" i="22"/>
  <c r="X112" i="22"/>
  <c r="U112" i="22"/>
  <c r="T112" i="22"/>
  <c r="S112" i="22"/>
  <c r="P112" i="22"/>
  <c r="O112" i="22"/>
  <c r="N112" i="22"/>
  <c r="K112" i="22"/>
  <c r="J112" i="22"/>
  <c r="I112" i="22"/>
  <c r="F112" i="22"/>
  <c r="E112" i="22"/>
  <c r="D112" i="22"/>
  <c r="L111" i="22"/>
  <c r="M111" i="22"/>
  <c r="G111" i="22"/>
  <c r="H111" i="22"/>
  <c r="L110" i="22"/>
  <c r="M110" i="22"/>
  <c r="G110" i="22"/>
  <c r="H110" i="22"/>
  <c r="L109" i="22"/>
  <c r="M109" i="22"/>
  <c r="G109" i="22"/>
  <c r="H109" i="22"/>
  <c r="AN108" i="22"/>
  <c r="AM108" i="22"/>
  <c r="AK108" i="22"/>
  <c r="AJ108" i="22"/>
  <c r="AI108" i="22"/>
  <c r="AH108" i="22"/>
  <c r="AE108" i="22"/>
  <c r="AD108" i="22"/>
  <c r="AC108" i="22"/>
  <c r="Z108" i="22"/>
  <c r="Y108" i="22"/>
  <c r="X108" i="22"/>
  <c r="U108" i="22"/>
  <c r="T108" i="22"/>
  <c r="S108" i="22"/>
  <c r="AN107" i="22"/>
  <c r="AM107" i="22"/>
  <c r="AK107" i="22"/>
  <c r="AJ107" i="22"/>
  <c r="AI107" i="22"/>
  <c r="AH107" i="22"/>
  <c r="AF107" i="22"/>
  <c r="AE107" i="22"/>
  <c r="AD107" i="22"/>
  <c r="Z107" i="22"/>
  <c r="Y107" i="22"/>
  <c r="U107" i="22"/>
  <c r="T107" i="22"/>
  <c r="P107" i="22"/>
  <c r="O107" i="22"/>
  <c r="AO106" i="22"/>
  <c r="AL106" i="22"/>
  <c r="AG106" i="22"/>
  <c r="AA106" i="22"/>
  <c r="AF108" i="22"/>
  <c r="V106" i="22"/>
  <c r="V107" i="22"/>
  <c r="Q106" i="22"/>
  <c r="S107" i="22"/>
  <c r="Z99" i="22"/>
  <c r="Y99" i="22"/>
  <c r="X99" i="22"/>
  <c r="U99" i="22"/>
  <c r="T99" i="22"/>
  <c r="S99" i="22"/>
  <c r="P99" i="22"/>
  <c r="O99" i="22"/>
  <c r="N99" i="22"/>
  <c r="AD98" i="22"/>
  <c r="Z98" i="22"/>
  <c r="Y98" i="22"/>
  <c r="U98" i="22"/>
  <c r="T98" i="22"/>
  <c r="P98" i="22"/>
  <c r="O98" i="22"/>
  <c r="AA97" i="22"/>
  <c r="AC98" i="22"/>
  <c r="V97" i="22"/>
  <c r="X98" i="22"/>
  <c r="Q97" i="22"/>
  <c r="Q99" i="22"/>
  <c r="AI94" i="22"/>
  <c r="AH94" i="22"/>
  <c r="AF94" i="22"/>
  <c r="AM93" i="22"/>
  <c r="AK93" i="22"/>
  <c r="AP93" i="22"/>
  <c r="AJ93" i="22"/>
  <c r="AJ94" i="22"/>
  <c r="AG93" i="22"/>
  <c r="AI92" i="22"/>
  <c r="AH92" i="22"/>
  <c r="AF92" i="22"/>
  <c r="AE92" i="22"/>
  <c r="AD92" i="22"/>
  <c r="AD99" i="22"/>
  <c r="AC92" i="22"/>
  <c r="AC99" i="22"/>
  <c r="Z85" i="22"/>
  <c r="Y85" i="22"/>
  <c r="X85" i="22"/>
  <c r="U85" i="22"/>
  <c r="T85" i="22"/>
  <c r="S85" i="22"/>
  <c r="P85" i="22"/>
  <c r="O85" i="22"/>
  <c r="N85" i="22"/>
  <c r="K85" i="22"/>
  <c r="J85" i="22"/>
  <c r="I85" i="22"/>
  <c r="F85" i="22"/>
  <c r="E85" i="22"/>
  <c r="D85" i="22"/>
  <c r="Z84" i="22"/>
  <c r="Y84" i="22"/>
  <c r="U84" i="22"/>
  <c r="T84" i="22"/>
  <c r="P84" i="22"/>
  <c r="O84" i="22"/>
  <c r="K84" i="22"/>
  <c r="J84" i="22"/>
  <c r="F84" i="22"/>
  <c r="E84" i="22"/>
  <c r="AD83" i="22"/>
  <c r="AE83" i="22"/>
  <c r="AE82" i="22"/>
  <c r="AA83" i="22"/>
  <c r="AA84" i="22"/>
  <c r="V83" i="22"/>
  <c r="X84" i="22"/>
  <c r="Q83" i="22"/>
  <c r="R83" i="22"/>
  <c r="L83" i="22"/>
  <c r="L84" i="22"/>
  <c r="G83" i="22"/>
  <c r="G84" i="22"/>
  <c r="AA82" i="22"/>
  <c r="V82" i="22"/>
  <c r="Q82" i="22"/>
  <c r="R82" i="22"/>
  <c r="L82" i="22"/>
  <c r="G82" i="22"/>
  <c r="AN73" i="22"/>
  <c r="AM73" i="22"/>
  <c r="AK73" i="22"/>
  <c r="AJ73" i="22"/>
  <c r="AI73" i="22"/>
  <c r="AH73" i="22"/>
  <c r="AF73" i="22"/>
  <c r="AE73" i="22"/>
  <c r="AD73" i="22"/>
  <c r="AC73" i="22"/>
  <c r="Z73" i="22"/>
  <c r="Y73" i="22"/>
  <c r="X73" i="22"/>
  <c r="U73" i="22"/>
  <c r="T73" i="22"/>
  <c r="S73" i="22"/>
  <c r="P73" i="22"/>
  <c r="O73" i="22"/>
  <c r="N73" i="22"/>
  <c r="M73" i="22"/>
  <c r="L73" i="22"/>
  <c r="K73" i="22"/>
  <c r="J73" i="22"/>
  <c r="I73" i="22"/>
  <c r="H73" i="22"/>
  <c r="G73" i="22"/>
  <c r="F73" i="22"/>
  <c r="E73" i="22"/>
  <c r="D73" i="22"/>
  <c r="AN72" i="22"/>
  <c r="AM72" i="22"/>
  <c r="AK72" i="22"/>
  <c r="AJ72" i="22"/>
  <c r="AI72" i="22"/>
  <c r="AH72" i="22"/>
  <c r="AE72" i="22"/>
  <c r="AD72" i="22"/>
  <c r="AC72" i="22"/>
  <c r="Z72" i="22"/>
  <c r="Y72" i="22"/>
  <c r="X72" i="22"/>
  <c r="U72" i="22"/>
  <c r="T72" i="22"/>
  <c r="S72" i="22"/>
  <c r="P72" i="22"/>
  <c r="O72" i="22"/>
  <c r="N72" i="22"/>
  <c r="L72" i="22"/>
  <c r="K72" i="22"/>
  <c r="J72" i="22"/>
  <c r="I72" i="22"/>
  <c r="AM71" i="22"/>
  <c r="AK71" i="22"/>
  <c r="AJ71" i="22"/>
  <c r="AH71" i="22"/>
  <c r="AF71" i="22"/>
  <c r="AE71" i="22"/>
  <c r="AD71" i="22"/>
  <c r="Z71" i="22"/>
  <c r="Y71" i="22"/>
  <c r="U71" i="22"/>
  <c r="T71" i="22"/>
  <c r="P71" i="22"/>
  <c r="O71" i="22"/>
  <c r="N71" i="22"/>
  <c r="M71" i="22"/>
  <c r="L71" i="22"/>
  <c r="K71" i="22"/>
  <c r="J71" i="22"/>
  <c r="I71" i="22"/>
  <c r="G71" i="22"/>
  <c r="F71" i="22"/>
  <c r="E71" i="22"/>
  <c r="AS70" i="22"/>
  <c r="AR70" i="22"/>
  <c r="AR69" i="22"/>
  <c r="AP70" i="22"/>
  <c r="AU70" i="22"/>
  <c r="AO71" i="22"/>
  <c r="AL70" i="22"/>
  <c r="AG70" i="22"/>
  <c r="AI71" i="22"/>
  <c r="AA70" i="22"/>
  <c r="AF72" i="22"/>
  <c r="V70" i="22"/>
  <c r="Q70" i="22"/>
  <c r="Q72" i="22"/>
  <c r="AL69" i="22"/>
  <c r="AG69" i="22"/>
  <c r="AA69" i="22"/>
  <c r="V69" i="22"/>
  <c r="W69" i="22"/>
  <c r="Q69" i="22"/>
  <c r="AN59" i="22"/>
  <c r="AM59" i="22"/>
  <c r="AK59" i="22"/>
  <c r="AJ59" i="22"/>
  <c r="AI59" i="22"/>
  <c r="AH59" i="22"/>
  <c r="AF59" i="22"/>
  <c r="AE59" i="22"/>
  <c r="AD59" i="22"/>
  <c r="AC59" i="22"/>
  <c r="Z59" i="22"/>
  <c r="Y59" i="22"/>
  <c r="X59" i="22"/>
  <c r="U59" i="22"/>
  <c r="T59" i="22"/>
  <c r="S59" i="22"/>
  <c r="P59" i="22"/>
  <c r="O59" i="22"/>
  <c r="N59" i="22"/>
  <c r="K59" i="22"/>
  <c r="J59" i="22"/>
  <c r="I59" i="22"/>
  <c r="F59" i="22"/>
  <c r="AN58" i="22"/>
  <c r="AM58" i="22"/>
  <c r="AK58" i="22"/>
  <c r="AJ58" i="22"/>
  <c r="AI58" i="22"/>
  <c r="AH58" i="22"/>
  <c r="AE58" i="22"/>
  <c r="AD58" i="22"/>
  <c r="AC58" i="22"/>
  <c r="Z58" i="22"/>
  <c r="Y58" i="22"/>
  <c r="X58" i="22"/>
  <c r="U58" i="22"/>
  <c r="T58" i="22"/>
  <c r="S58" i="22"/>
  <c r="P58" i="22"/>
  <c r="O58" i="22"/>
  <c r="N58" i="22"/>
  <c r="K58" i="22"/>
  <c r="AM57" i="22"/>
  <c r="AK57" i="22"/>
  <c r="AJ57" i="22"/>
  <c r="AH57" i="22"/>
  <c r="AF57" i="22"/>
  <c r="AE57" i="22"/>
  <c r="AD57" i="22"/>
  <c r="Z57" i="22"/>
  <c r="Y57" i="22"/>
  <c r="U57" i="22"/>
  <c r="T57" i="22"/>
  <c r="P57" i="22"/>
  <c r="O57" i="22"/>
  <c r="K57" i="22"/>
  <c r="J57" i="22"/>
  <c r="AS56" i="22"/>
  <c r="AS55" i="22"/>
  <c r="AR56" i="22"/>
  <c r="AP56" i="22"/>
  <c r="AU56" i="22"/>
  <c r="AO56" i="22"/>
  <c r="AO57" i="22"/>
  <c r="AL56" i="22"/>
  <c r="AN57" i="22"/>
  <c r="AG56" i="22"/>
  <c r="AI57" i="22"/>
  <c r="AA56" i="22"/>
  <c r="AA57" i="22"/>
  <c r="V56" i="22"/>
  <c r="W56" i="22"/>
  <c r="Q56" i="22"/>
  <c r="S57" i="22"/>
  <c r="L56" i="22"/>
  <c r="L57" i="22"/>
  <c r="G56" i="22"/>
  <c r="I57" i="22"/>
  <c r="AL55" i="22"/>
  <c r="AG55" i="22"/>
  <c r="AA55" i="22"/>
  <c r="AB55" i="22"/>
  <c r="V55" i="22"/>
  <c r="Q55" i="22"/>
  <c r="L55" i="22"/>
  <c r="G55" i="22"/>
  <c r="H55" i="22"/>
  <c r="AM45" i="22"/>
  <c r="AK45" i="22"/>
  <c r="AJ45" i="22"/>
  <c r="AI45" i="22"/>
  <c r="AH45" i="22"/>
  <c r="AF45" i="22"/>
  <c r="AE45" i="22"/>
  <c r="AD45" i="22"/>
  <c r="AC45" i="22"/>
  <c r="Z45" i="22"/>
  <c r="Y45" i="22"/>
  <c r="X45" i="22"/>
  <c r="U45" i="22"/>
  <c r="T45" i="22"/>
  <c r="S45" i="22"/>
  <c r="P45" i="22"/>
  <c r="O45" i="22"/>
  <c r="N45" i="22"/>
  <c r="K45" i="22"/>
  <c r="J45" i="22"/>
  <c r="I45" i="22"/>
  <c r="F45" i="22"/>
  <c r="E45" i="22"/>
  <c r="D45" i="22"/>
  <c r="AN44" i="22"/>
  <c r="AM44" i="22"/>
  <c r="AK44" i="22"/>
  <c r="AJ44" i="22"/>
  <c r="AI44" i="22"/>
  <c r="AH44" i="22"/>
  <c r="AE44" i="22"/>
  <c r="AD44" i="22"/>
  <c r="AC44" i="22"/>
  <c r="Z44" i="22"/>
  <c r="Y44" i="22"/>
  <c r="X44" i="22"/>
  <c r="U44" i="22"/>
  <c r="T44" i="22"/>
  <c r="S44" i="22"/>
  <c r="P44" i="22"/>
  <c r="O44" i="22"/>
  <c r="N44" i="22"/>
  <c r="K44" i="22"/>
  <c r="J44" i="22"/>
  <c r="I44" i="22"/>
  <c r="AM43" i="22"/>
  <c r="AK43" i="22"/>
  <c r="AJ43" i="22"/>
  <c r="AF43" i="22"/>
  <c r="AE43" i="22"/>
  <c r="AD43" i="22"/>
  <c r="Z43" i="22"/>
  <c r="Y43" i="22"/>
  <c r="U43" i="22"/>
  <c r="T43" i="22"/>
  <c r="P43" i="22"/>
  <c r="O43" i="22"/>
  <c r="K43" i="22"/>
  <c r="J43" i="22"/>
  <c r="F43" i="22"/>
  <c r="E43" i="22"/>
  <c r="AS42" i="22"/>
  <c r="AS41" i="22"/>
  <c r="AR42" i="22"/>
  <c r="AP42" i="22"/>
  <c r="AL42" i="22"/>
  <c r="AG42" i="22"/>
  <c r="AI43" i="22"/>
  <c r="AA42" i="22"/>
  <c r="AA43" i="22"/>
  <c r="V42" i="22"/>
  <c r="W42" i="22"/>
  <c r="Q42" i="22"/>
  <c r="S43" i="22"/>
  <c r="L42" i="22"/>
  <c r="L43" i="22"/>
  <c r="G42" i="22"/>
  <c r="I43" i="22"/>
  <c r="AL41" i="22"/>
  <c r="AG41" i="22"/>
  <c r="AA41" i="22"/>
  <c r="V41" i="22"/>
  <c r="W41" i="22"/>
  <c r="Q41" i="22"/>
  <c r="L41" i="22"/>
  <c r="G41" i="22"/>
  <c r="AN39" i="22"/>
  <c r="AM39" i="22"/>
  <c r="AK39" i="22"/>
  <c r="AJ39" i="22"/>
  <c r="AI39" i="22"/>
  <c r="AH39" i="22"/>
  <c r="AF39" i="22"/>
  <c r="AE39" i="22"/>
  <c r="AD39" i="22"/>
  <c r="AC39" i="22"/>
  <c r="Z39" i="22"/>
  <c r="Y39" i="22"/>
  <c r="X39" i="22"/>
  <c r="U39" i="22"/>
  <c r="T39" i="22"/>
  <c r="S39" i="22"/>
  <c r="P39" i="22"/>
  <c r="O39" i="22"/>
  <c r="N39" i="22"/>
  <c r="K39" i="22"/>
  <c r="J39" i="22"/>
  <c r="I39" i="22"/>
  <c r="F39" i="22"/>
  <c r="E39" i="22"/>
  <c r="D39" i="22"/>
  <c r="AA38" i="22"/>
  <c r="AB38" i="22"/>
  <c r="V38" i="22"/>
  <c r="W38" i="22"/>
  <c r="Q38" i="22"/>
  <c r="R38" i="22"/>
  <c r="L38" i="22"/>
  <c r="M38" i="22"/>
  <c r="G38" i="22"/>
  <c r="H38" i="22"/>
  <c r="AA37" i="22"/>
  <c r="AB37" i="22"/>
  <c r="V37" i="22"/>
  <c r="W37" i="22"/>
  <c r="Q37" i="22"/>
  <c r="R37" i="22"/>
  <c r="L37" i="22"/>
  <c r="M37" i="22"/>
  <c r="G37" i="22"/>
  <c r="H37" i="22"/>
  <c r="AL36" i="22"/>
  <c r="AG36" i="22"/>
  <c r="AA36" i="22"/>
  <c r="AB36" i="22"/>
  <c r="V36" i="22"/>
  <c r="W36" i="22"/>
  <c r="Q36" i="22"/>
  <c r="R36" i="22"/>
  <c r="AL35" i="22"/>
  <c r="AG35" i="22"/>
  <c r="AA35" i="22"/>
  <c r="AB35" i="22"/>
  <c r="V35" i="22"/>
  <c r="W35" i="22"/>
  <c r="Q35" i="22"/>
  <c r="R35" i="22"/>
  <c r="L35" i="22"/>
  <c r="M35" i="22"/>
  <c r="G35" i="22"/>
  <c r="H35" i="22"/>
  <c r="AL34" i="22"/>
  <c r="AG34" i="22"/>
  <c r="AL33" i="22"/>
  <c r="AG33" i="22"/>
  <c r="AA33" i="22"/>
  <c r="AB33" i="22"/>
  <c r="V33" i="22"/>
  <c r="Q33" i="22"/>
  <c r="R33" i="22"/>
  <c r="L33" i="22"/>
  <c r="G33" i="22"/>
  <c r="H33" i="22"/>
  <c r="AL32" i="22"/>
  <c r="AG32" i="22"/>
  <c r="AA32" i="22"/>
  <c r="V32" i="22"/>
  <c r="W32" i="22"/>
  <c r="Q32" i="22"/>
  <c r="L32" i="22"/>
  <c r="M32" i="22"/>
  <c r="G32" i="22"/>
  <c r="AN27" i="22"/>
  <c r="AM27" i="22"/>
  <c r="AJ27" i="22"/>
  <c r="AI27" i="22"/>
  <c r="AH27" i="22"/>
  <c r="AF27" i="22"/>
  <c r="AE27" i="22"/>
  <c r="AS26" i="22"/>
  <c r="AO26" i="22"/>
  <c r="AT26" i="22"/>
  <c r="AK26" i="22"/>
  <c r="AK27" i="22"/>
  <c r="AG26" i="22"/>
  <c r="AG27" i="22"/>
  <c r="AL23" i="22"/>
  <c r="AG23" i="22"/>
  <c r="AL22" i="22"/>
  <c r="AG22" i="22"/>
  <c r="AL20" i="22"/>
  <c r="AG20" i="22"/>
  <c r="AL18" i="22"/>
  <c r="AG18" i="22"/>
  <c r="AN16" i="22"/>
  <c r="AM16" i="22"/>
  <c r="AK16" i="22"/>
  <c r="AJ16" i="22"/>
  <c r="AI16" i="22"/>
  <c r="AH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AL15" i="22"/>
  <c r="AG15" i="22"/>
  <c r="AL14" i="22"/>
  <c r="AG14" i="22"/>
  <c r="AN13" i="22"/>
  <c r="AN119" i="22"/>
  <c r="AM13" i="22"/>
  <c r="AM119" i="22"/>
  <c r="AK13" i="22"/>
  <c r="AK119" i="22"/>
  <c r="AJ13" i="22"/>
  <c r="AJ119" i="22"/>
  <c r="AI13" i="22"/>
  <c r="AI119" i="22"/>
  <c r="AH13" i="22"/>
  <c r="AH119" i="22"/>
  <c r="AF13" i="22"/>
  <c r="AF119" i="22"/>
  <c r="AE13" i="22"/>
  <c r="AE119" i="22"/>
  <c r="AC13" i="22"/>
  <c r="AC119" i="22"/>
  <c r="AB13" i="22"/>
  <c r="AB119" i="22"/>
  <c r="AA13" i="22"/>
  <c r="AA119" i="22"/>
  <c r="Z13" i="22"/>
  <c r="Z119" i="22"/>
  <c r="Y13" i="22"/>
  <c r="Y119" i="22"/>
  <c r="X13" i="22"/>
  <c r="X119" i="22"/>
  <c r="W13" i="22"/>
  <c r="W119" i="22"/>
  <c r="V13" i="22"/>
  <c r="V119" i="22"/>
  <c r="U13" i="22"/>
  <c r="U119" i="22"/>
  <c r="T13" i="22"/>
  <c r="T119" i="22"/>
  <c r="S13" i="22"/>
  <c r="S119" i="22"/>
  <c r="R13" i="22"/>
  <c r="R119" i="22"/>
  <c r="Q13" i="22"/>
  <c r="Q119" i="22"/>
  <c r="P13" i="22"/>
  <c r="P119" i="22"/>
  <c r="O13" i="22"/>
  <c r="O119" i="22"/>
  <c r="N13" i="22"/>
  <c r="N119" i="22"/>
  <c r="M13" i="22"/>
  <c r="M119" i="22"/>
  <c r="L13" i="22"/>
  <c r="L119" i="22"/>
  <c r="K13" i="22"/>
  <c r="K119" i="22"/>
  <c r="J13" i="22"/>
  <c r="J119" i="22"/>
  <c r="I13" i="22"/>
  <c r="I119" i="22"/>
  <c r="H13" i="22"/>
  <c r="H119" i="22"/>
  <c r="G13" i="22"/>
  <c r="G119" i="22"/>
  <c r="F13" i="22"/>
  <c r="F119" i="22"/>
  <c r="E13" i="22"/>
  <c r="E119" i="22"/>
  <c r="D13" i="22"/>
  <c r="D119" i="22"/>
  <c r="AL12" i="22"/>
  <c r="AG12" i="22"/>
  <c r="AL11" i="22"/>
  <c r="L59" i="22"/>
  <c r="V59" i="22"/>
  <c r="AE127" i="22"/>
  <c r="E132" i="22"/>
  <c r="K132" i="22"/>
  <c r="S132" i="22"/>
  <c r="Y132" i="22"/>
  <c r="AS93" i="22"/>
  <c r="AS92" i="22"/>
  <c r="Q73" i="22"/>
  <c r="AL73" i="22"/>
  <c r="L45" i="22"/>
  <c r="AG45" i="22"/>
  <c r="M56" i="22"/>
  <c r="AC127" i="22"/>
  <c r="AP69" i="22"/>
  <c r="F132" i="22"/>
  <c r="N132" i="22"/>
  <c r="T132" i="22"/>
  <c r="Z132" i="22"/>
  <c r="AL26" i="22"/>
  <c r="AL27" i="22"/>
  <c r="AL108" i="22"/>
  <c r="AP26" i="22"/>
  <c r="I132" i="22"/>
  <c r="O132" i="22"/>
  <c r="U132" i="22"/>
  <c r="AG59" i="22"/>
  <c r="G39" i="22"/>
  <c r="AA39" i="22"/>
  <c r="H42" i="22"/>
  <c r="AR57" i="22"/>
  <c r="V57" i="22"/>
  <c r="AA73" i="22"/>
  <c r="V85" i="22"/>
  <c r="W83" i="22"/>
  <c r="W84" i="22"/>
  <c r="AJ92" i="22"/>
  <c r="V99" i="22"/>
  <c r="AG39" i="22"/>
  <c r="AB42" i="22"/>
  <c r="AB43" i="22"/>
  <c r="AP43" i="22"/>
  <c r="N43" i="22"/>
  <c r="AA44" i="22"/>
  <c r="AF44" i="22"/>
  <c r="X57" i="22"/>
  <c r="AG73" i="22"/>
  <c r="AL71" i="22"/>
  <c r="AS71" i="22"/>
  <c r="M83" i="22"/>
  <c r="R84" i="22"/>
  <c r="AF126" i="22"/>
  <c r="Q39" i="22"/>
  <c r="V43" i="22"/>
  <c r="V72" i="22"/>
  <c r="Q84" i="22"/>
  <c r="W97" i="22"/>
  <c r="W99" i="22"/>
  <c r="V98" i="22"/>
  <c r="AL16" i="22"/>
  <c r="H32" i="22"/>
  <c r="R32" i="22"/>
  <c r="R39" i="22"/>
  <c r="AB32" i="22"/>
  <c r="AB39" i="22"/>
  <c r="Q45" i="22"/>
  <c r="AO43" i="22"/>
  <c r="AT42" i="22"/>
  <c r="AT43" i="22"/>
  <c r="G43" i="22"/>
  <c r="L112" i="22"/>
  <c r="D132" i="22"/>
  <c r="J132" i="22"/>
  <c r="P132" i="22"/>
  <c r="X132" i="22"/>
  <c r="AE112" i="22"/>
  <c r="AE132" i="22"/>
  <c r="AE100" i="22"/>
  <c r="AD126" i="22"/>
  <c r="R42" i="22"/>
  <c r="L44" i="22"/>
  <c r="Q44" i="22"/>
  <c r="V44" i="22"/>
  <c r="AS57" i="22"/>
  <c r="AT56" i="22"/>
  <c r="AT57" i="22"/>
  <c r="AP71" i="22"/>
  <c r="R85" i="22"/>
  <c r="S84" i="22"/>
  <c r="W45" i="22"/>
  <c r="X43" i="22"/>
  <c r="Q59" i="22"/>
  <c r="AL59" i="22"/>
  <c r="H56" i="22"/>
  <c r="R56" i="22"/>
  <c r="AB56" i="22"/>
  <c r="AB57" i="22"/>
  <c r="R69" i="22"/>
  <c r="AB69" i="22"/>
  <c r="H83" i="22"/>
  <c r="AB83" i="22"/>
  <c r="AN94" i="22"/>
  <c r="R97" i="22"/>
  <c r="R99" i="22"/>
  <c r="AB97" i="22"/>
  <c r="AB99" i="22"/>
  <c r="AL107" i="22"/>
  <c r="G45" i="22"/>
  <c r="AA45" i="22"/>
  <c r="M42" i="22"/>
  <c r="AL45" i="22"/>
  <c r="AO55" i="22"/>
  <c r="L58" i="22"/>
  <c r="V58" i="22"/>
  <c r="G57" i="22"/>
  <c r="N57" i="22"/>
  <c r="G112" i="22"/>
  <c r="AA85" i="22"/>
  <c r="I84" i="22"/>
  <c r="AL93" i="22"/>
  <c r="AL95" i="22"/>
  <c r="AO93" i="22"/>
  <c r="AO94" i="22"/>
  <c r="AG97" i="22"/>
  <c r="Q98" i="22"/>
  <c r="F17" i="22"/>
  <c r="J17" i="22"/>
  <c r="N17" i="22"/>
  <c r="R17" i="22"/>
  <c r="V17" i="22"/>
  <c r="Z17" i="22"/>
  <c r="AH17" i="22"/>
  <c r="H39" i="22"/>
  <c r="AU55" i="22"/>
  <c r="AL124" i="22"/>
  <c r="G17" i="22"/>
  <c r="K17" i="22"/>
  <c r="O17" i="22"/>
  <c r="S17" i="22"/>
  <c r="W17" i="22"/>
  <c r="AA17" i="22"/>
  <c r="AE17" i="22"/>
  <c r="AI17" i="22"/>
  <c r="AM17" i="22"/>
  <c r="V39" i="22"/>
  <c r="W33" i="22"/>
  <c r="W39" i="22"/>
  <c r="AL13" i="22"/>
  <c r="AL123" i="22"/>
  <c r="D17" i="22"/>
  <c r="H17" i="22"/>
  <c r="L17" i="22"/>
  <c r="P17" i="22"/>
  <c r="T17" i="22"/>
  <c r="X17" i="22"/>
  <c r="AB17" i="22"/>
  <c r="AF17" i="22"/>
  <c r="AJ17" i="22"/>
  <c r="AN17" i="22"/>
  <c r="AL39" i="22"/>
  <c r="AU93" i="22"/>
  <c r="AP92" i="22"/>
  <c r="AH99" i="22"/>
  <c r="AG16" i="22"/>
  <c r="E17" i="22"/>
  <c r="I17" i="22"/>
  <c r="M17" i="22"/>
  <c r="Q17" i="22"/>
  <c r="U17" i="22"/>
  <c r="Y17" i="22"/>
  <c r="AC17" i="22"/>
  <c r="AK17" i="22"/>
  <c r="L39" i="22"/>
  <c r="L132" i="22"/>
  <c r="M33" i="22"/>
  <c r="M39" i="22"/>
  <c r="H41" i="22"/>
  <c r="R41" i="22"/>
  <c r="AB41" i="22"/>
  <c r="AP41" i="22"/>
  <c r="AQ42" i="22"/>
  <c r="AU42" i="22"/>
  <c r="Q43" i="22"/>
  <c r="AC43" i="22"/>
  <c r="AR43" i="22"/>
  <c r="AL44" i="22"/>
  <c r="M55" i="22"/>
  <c r="W55" i="22"/>
  <c r="W59" i="22"/>
  <c r="AR55" i="22"/>
  <c r="Q57" i="22"/>
  <c r="AC57" i="22"/>
  <c r="Q58" i="22"/>
  <c r="AA58" i="22"/>
  <c r="AF58" i="22"/>
  <c r="AS69" i="22"/>
  <c r="R70" i="22"/>
  <c r="R71" i="22"/>
  <c r="AB70" i="22"/>
  <c r="AG71" i="22"/>
  <c r="AT70" i="22"/>
  <c r="X71" i="22"/>
  <c r="AN71" i="22"/>
  <c r="AR71" i="22"/>
  <c r="AL72" i="22"/>
  <c r="M82" i="22"/>
  <c r="W82" i="22"/>
  <c r="AF83" i="22"/>
  <c r="N84" i="22"/>
  <c r="V84" i="22"/>
  <c r="Q85" i="22"/>
  <c r="AG92" i="22"/>
  <c r="AK92" i="22"/>
  <c r="AR93" i="22"/>
  <c r="AK94" i="22"/>
  <c r="S98" i="22"/>
  <c r="AA98" i="22"/>
  <c r="AA99" i="22"/>
  <c r="AE99" i="22"/>
  <c r="W106" i="22"/>
  <c r="X107" i="22"/>
  <c r="AO108" i="22"/>
  <c r="Q112" i="22"/>
  <c r="AC112" i="22"/>
  <c r="AC132" i="22"/>
  <c r="AN43" i="22"/>
  <c r="AS43" i="22"/>
  <c r="V45" i="22"/>
  <c r="AL57" i="22"/>
  <c r="AP57" i="22"/>
  <c r="AL58" i="22"/>
  <c r="G59" i="22"/>
  <c r="AA59" i="22"/>
  <c r="AQ70" i="22"/>
  <c r="AQ71" i="22"/>
  <c r="Q71" i="22"/>
  <c r="AC71" i="22"/>
  <c r="V73" i="22"/>
  <c r="AM94" i="22"/>
  <c r="AF99" i="22"/>
  <c r="AC107" i="22"/>
  <c r="V108" i="22"/>
  <c r="V112" i="22"/>
  <c r="AD112" i="22"/>
  <c r="AD11" i="22"/>
  <c r="M41" i="22"/>
  <c r="AR41" i="22"/>
  <c r="R55" i="22"/>
  <c r="AP55" i="22"/>
  <c r="AQ56" i="22"/>
  <c r="AQ57" i="22"/>
  <c r="AU69" i="22"/>
  <c r="W70" i="22"/>
  <c r="V71" i="22"/>
  <c r="H82" i="22"/>
  <c r="AB82" i="22"/>
  <c r="G85" i="22"/>
  <c r="AM92" i="22"/>
  <c r="R106" i="22"/>
  <c r="AB106" i="22"/>
  <c r="AG107" i="22"/>
  <c r="AP106" i="22"/>
  <c r="AQ106" i="22"/>
  <c r="Q107" i="22"/>
  <c r="AA108" i="22"/>
  <c r="AA112" i="22"/>
  <c r="AH127" i="22"/>
  <c r="S71" i="22"/>
  <c r="AA71" i="22"/>
  <c r="AA72" i="22"/>
  <c r="L85" i="22"/>
  <c r="AA107" i="22"/>
  <c r="AS128" i="22"/>
  <c r="R59" i="22"/>
  <c r="M59" i="22"/>
  <c r="M45" i="22"/>
  <c r="AQ69" i="22"/>
  <c r="Q132" i="22"/>
  <c r="R45" i="22"/>
  <c r="M84" i="22"/>
  <c r="R57" i="22"/>
  <c r="AB85" i="22"/>
  <c r="H45" i="22"/>
  <c r="M57" i="22"/>
  <c r="AG98" i="22"/>
  <c r="M43" i="22"/>
  <c r="AR26" i="22"/>
  <c r="AG99" i="22"/>
  <c r="G132" i="22"/>
  <c r="AL92" i="22"/>
  <c r="AG57" i="22"/>
  <c r="AQ26" i="22"/>
  <c r="AQ27" i="22"/>
  <c r="AU26" i="22"/>
  <c r="W71" i="22"/>
  <c r="AB98" i="22"/>
  <c r="W85" i="22"/>
  <c r="AB84" i="22"/>
  <c r="AT93" i="22"/>
  <c r="AP94" i="22"/>
  <c r="AQ93" i="22"/>
  <c r="AA132" i="22"/>
  <c r="W98" i="22"/>
  <c r="AQ41" i="22"/>
  <c r="AQ45" i="22"/>
  <c r="AO92" i="22"/>
  <c r="AQ92" i="22"/>
  <c r="AB73" i="22"/>
  <c r="AB45" i="22"/>
  <c r="AB59" i="22"/>
  <c r="R112" i="22"/>
  <c r="R132" i="22"/>
  <c r="AT41" i="22"/>
  <c r="AU57" i="22"/>
  <c r="H59" i="22"/>
  <c r="R43" i="22"/>
  <c r="AT55" i="22"/>
  <c r="AV55" i="22"/>
  <c r="AV42" i="22"/>
  <c r="W57" i="22"/>
  <c r="AV56" i="22"/>
  <c r="AV57" i="22"/>
  <c r="AQ55" i="22"/>
  <c r="AQ59" i="22"/>
  <c r="W43" i="22"/>
  <c r="AQ108" i="22"/>
  <c r="AQ107" i="22"/>
  <c r="AH83" i="22"/>
  <c r="AF82" i="22"/>
  <c r="AC120" i="22"/>
  <c r="AC19" i="22"/>
  <c r="AI99" i="22"/>
  <c r="AG83" i="22"/>
  <c r="X120" i="22"/>
  <c r="X19" i="22"/>
  <c r="AI120" i="22"/>
  <c r="AI19" i="22"/>
  <c r="F120" i="22"/>
  <c r="F19" i="22"/>
  <c r="H112" i="22"/>
  <c r="H132" i="22"/>
  <c r="H85" i="22"/>
  <c r="W107" i="22"/>
  <c r="W112" i="22"/>
  <c r="W132" i="22"/>
  <c r="W108" i="22"/>
  <c r="AT71" i="22"/>
  <c r="AT69" i="22"/>
  <c r="AV69" i="22"/>
  <c r="Y120" i="22"/>
  <c r="Y19" i="22"/>
  <c r="I120" i="22"/>
  <c r="I19" i="22"/>
  <c r="AJ120" i="22"/>
  <c r="AJ19" i="22"/>
  <c r="T120" i="22"/>
  <c r="T19" i="22"/>
  <c r="D120" i="22"/>
  <c r="D19" i="22"/>
  <c r="AE120" i="22"/>
  <c r="AE19" i="22"/>
  <c r="O120" i="22"/>
  <c r="O19" i="22"/>
  <c r="R73" i="22"/>
  <c r="R120" i="22"/>
  <c r="R19" i="22"/>
  <c r="AR92" i="22"/>
  <c r="AR94" i="22"/>
  <c r="M120" i="22"/>
  <c r="M19" i="22"/>
  <c r="AN120" i="22"/>
  <c r="AN19" i="22"/>
  <c r="H120" i="22"/>
  <c r="H19" i="22"/>
  <c r="S120" i="22"/>
  <c r="S19" i="22"/>
  <c r="AD123" i="22"/>
  <c r="AD132" i="22"/>
  <c r="AD124" i="22"/>
  <c r="AD117" i="22"/>
  <c r="AE118" i="22"/>
  <c r="AD118" i="22"/>
  <c r="AI117" i="22"/>
  <c r="AD13" i="22"/>
  <c r="AG11" i="22"/>
  <c r="M112" i="22"/>
  <c r="M132" i="22"/>
  <c r="M85" i="22"/>
  <c r="AB71" i="22"/>
  <c r="AQ73" i="22"/>
  <c r="U120" i="22"/>
  <c r="U19" i="22"/>
  <c r="E120" i="22"/>
  <c r="E19" i="22"/>
  <c r="AU92" i="22"/>
  <c r="AU71" i="22"/>
  <c r="AF120" i="22"/>
  <c r="AF19" i="22"/>
  <c r="P120" i="22"/>
  <c r="P19" i="22"/>
  <c r="AA120" i="22"/>
  <c r="AA19" i="22"/>
  <c r="K120" i="22"/>
  <c r="K19" i="22"/>
  <c r="AV70" i="22"/>
  <c r="AV71" i="22"/>
  <c r="AH120" i="22"/>
  <c r="AH19" i="22"/>
  <c r="N120" i="22"/>
  <c r="N19" i="22"/>
  <c r="AS130" i="22"/>
  <c r="AT128" i="22"/>
  <c r="AB112" i="22"/>
  <c r="AB132" i="22"/>
  <c r="AB108" i="22"/>
  <c r="AB107" i="22"/>
  <c r="V120" i="22"/>
  <c r="V19" i="22"/>
  <c r="AP108" i="22"/>
  <c r="AR106" i="22"/>
  <c r="AI100" i="22"/>
  <c r="AG108" i="22"/>
  <c r="AU43" i="22"/>
  <c r="AU41" i="22"/>
  <c r="AK120" i="22"/>
  <c r="AK19" i="22"/>
  <c r="Q120" i="22"/>
  <c r="Q19" i="22"/>
  <c r="AS94" i="22"/>
  <c r="W73" i="22"/>
  <c r="AB120" i="22"/>
  <c r="AB19" i="22"/>
  <c r="L120" i="22"/>
  <c r="L19" i="22"/>
  <c r="AL119" i="22"/>
  <c r="AL17" i="22"/>
  <c r="V132" i="22"/>
  <c r="AM120" i="22"/>
  <c r="AM19" i="22"/>
  <c r="W120" i="22"/>
  <c r="W19" i="22"/>
  <c r="G120" i="22"/>
  <c r="G19" i="22"/>
  <c r="Z120" i="22"/>
  <c r="Z19" i="22"/>
  <c r="J120" i="22"/>
  <c r="J19" i="22"/>
  <c r="AV26" i="22"/>
  <c r="AV27" i="22"/>
  <c r="AV59" i="22"/>
  <c r="AV41" i="22"/>
  <c r="AV45" i="22"/>
  <c r="AT94" i="22"/>
  <c r="AU94" i="22"/>
  <c r="AO22" i="22"/>
  <c r="AT92" i="22"/>
  <c r="AV92" i="22"/>
  <c r="AV93" i="22"/>
  <c r="AV73" i="22"/>
  <c r="U122" i="22"/>
  <c r="U21" i="22"/>
  <c r="D122" i="22"/>
  <c r="D21" i="22"/>
  <c r="AI83" i="22"/>
  <c r="AH82" i="22"/>
  <c r="AM122" i="22"/>
  <c r="AM21" i="22"/>
  <c r="AL120" i="22"/>
  <c r="AL19" i="22"/>
  <c r="AH122" i="22"/>
  <c r="AH21" i="22"/>
  <c r="AF122" i="22"/>
  <c r="AF21" i="22"/>
  <c r="E122" i="22"/>
  <c r="E21" i="22"/>
  <c r="AG117" i="22"/>
  <c r="AG13" i="22"/>
  <c r="AL117" i="22"/>
  <c r="AG124" i="22"/>
  <c r="AG123" i="22"/>
  <c r="M122" i="22"/>
  <c r="M21" i="22"/>
  <c r="AE122" i="22"/>
  <c r="AE21" i="22"/>
  <c r="Y122" i="22"/>
  <c r="Y21" i="22"/>
  <c r="AO23" i="22"/>
  <c r="F122" i="22"/>
  <c r="F21" i="22"/>
  <c r="X122" i="22"/>
  <c r="X21" i="22"/>
  <c r="W122" i="22"/>
  <c r="W21" i="22"/>
  <c r="AB122" i="22"/>
  <c r="AB21" i="22"/>
  <c r="AR108" i="22"/>
  <c r="AS106" i="22"/>
  <c r="N122" i="22"/>
  <c r="N21" i="22"/>
  <c r="AA122" i="22"/>
  <c r="AA21" i="22"/>
  <c r="P122" i="22"/>
  <c r="P21" i="22"/>
  <c r="AD119" i="22"/>
  <c r="AD17" i="22"/>
  <c r="S122" i="22"/>
  <c r="S21" i="22"/>
  <c r="AN122" i="22"/>
  <c r="AN21" i="22"/>
  <c r="O122" i="22"/>
  <c r="O21" i="22"/>
  <c r="AJ122" i="22"/>
  <c r="AJ21" i="22"/>
  <c r="I122" i="22"/>
  <c r="I21" i="22"/>
  <c r="AI122" i="22"/>
  <c r="AI21" i="22"/>
  <c r="J122" i="22"/>
  <c r="J21" i="22"/>
  <c r="Q122" i="22"/>
  <c r="Q21" i="22"/>
  <c r="AC122" i="22"/>
  <c r="AC21" i="22"/>
  <c r="V122" i="22"/>
  <c r="V21" i="22"/>
  <c r="AU128" i="22"/>
  <c r="AT130" i="22"/>
  <c r="Z122" i="22"/>
  <c r="Z21" i="22"/>
  <c r="G122" i="22"/>
  <c r="G21" i="22"/>
  <c r="L122" i="22"/>
  <c r="L21" i="22"/>
  <c r="AK122" i="22"/>
  <c r="AK21" i="22"/>
  <c r="K122" i="22"/>
  <c r="K21" i="22"/>
  <c r="H122" i="22"/>
  <c r="H21" i="22"/>
  <c r="R122" i="22"/>
  <c r="R21" i="22"/>
  <c r="T122" i="22"/>
  <c r="T21" i="22"/>
  <c r="AJ99" i="22"/>
  <c r="AJ100" i="22"/>
  <c r="AG82" i="22"/>
  <c r="AG112" i="22"/>
  <c r="AG132" i="22"/>
  <c r="AF112" i="22"/>
  <c r="AF132" i="22"/>
  <c r="AP22" i="22"/>
  <c r="AP23" i="22"/>
  <c r="AR23" i="22"/>
  <c r="AS23" i="22"/>
  <c r="AT23" i="22"/>
  <c r="AK121" i="22"/>
  <c r="AK25" i="22"/>
  <c r="AK24" i="22"/>
  <c r="AC121" i="22"/>
  <c r="AC25" i="22"/>
  <c r="AC24" i="22"/>
  <c r="N121" i="22"/>
  <c r="N25" i="22"/>
  <c r="N24" i="22"/>
  <c r="E121" i="22"/>
  <c r="E25" i="22"/>
  <c r="E24" i="22"/>
  <c r="AL21" i="22"/>
  <c r="AL122" i="22"/>
  <c r="R121" i="22"/>
  <c r="R24" i="22"/>
  <c r="R25" i="22"/>
  <c r="H121" i="22"/>
  <c r="H25" i="22"/>
  <c r="H24" i="22"/>
  <c r="Q25" i="22"/>
  <c r="Q24" i="22"/>
  <c r="Q121" i="22"/>
  <c r="AN121" i="22"/>
  <c r="AN25" i="22"/>
  <c r="AN24" i="22"/>
  <c r="AT106" i="22"/>
  <c r="AS108" i="22"/>
  <c r="AB121" i="22"/>
  <c r="AB24" i="22"/>
  <c r="AB25" i="22"/>
  <c r="F121" i="22"/>
  <c r="F25" i="22"/>
  <c r="F24" i="22"/>
  <c r="Y25" i="22"/>
  <c r="Y24" i="22"/>
  <c r="Y121" i="22"/>
  <c r="AE121" i="22"/>
  <c r="AE25" i="22"/>
  <c r="AE24" i="22"/>
  <c r="AG119" i="22"/>
  <c r="AG17" i="22"/>
  <c r="AI82" i="22"/>
  <c r="AI112" i="22"/>
  <c r="AI132" i="22"/>
  <c r="AJ83" i="22"/>
  <c r="AJ121" i="22"/>
  <c r="AJ24" i="22"/>
  <c r="AJ25" i="22"/>
  <c r="P121" i="22"/>
  <c r="P25" i="22"/>
  <c r="P24" i="22"/>
  <c r="L121" i="22"/>
  <c r="L24" i="22"/>
  <c r="L25" i="22"/>
  <c r="V121" i="22"/>
  <c r="V25" i="22"/>
  <c r="V24" i="22"/>
  <c r="I25" i="22"/>
  <c r="I24" i="22"/>
  <c r="I121" i="22"/>
  <c r="O121" i="22"/>
  <c r="O25" i="22"/>
  <c r="O24" i="22"/>
  <c r="AA121" i="22"/>
  <c r="AA25" i="22"/>
  <c r="AA24" i="22"/>
  <c r="M121" i="22"/>
  <c r="M25" i="22"/>
  <c r="M24" i="22"/>
  <c r="AF121" i="22"/>
  <c r="AF25" i="22"/>
  <c r="AF24" i="22"/>
  <c r="AM121" i="22"/>
  <c r="AM25" i="22"/>
  <c r="AM24" i="22"/>
  <c r="U121" i="22"/>
  <c r="U25" i="22"/>
  <c r="U24" i="22"/>
  <c r="G121" i="22"/>
  <c r="G25" i="22"/>
  <c r="G24" i="22"/>
  <c r="AI121" i="22"/>
  <c r="AI25" i="22"/>
  <c r="AI24" i="22"/>
  <c r="AH121" i="22"/>
  <c r="AH24" i="22"/>
  <c r="AH25" i="22"/>
  <c r="AK99" i="22"/>
  <c r="AL97" i="22"/>
  <c r="AK100" i="22"/>
  <c r="T121" i="22"/>
  <c r="T24" i="22"/>
  <c r="T25" i="22"/>
  <c r="K121" i="22"/>
  <c r="K25" i="22"/>
  <c r="K24" i="22"/>
  <c r="Z121" i="22"/>
  <c r="Z24" i="22"/>
  <c r="Z25" i="22"/>
  <c r="AU130" i="22"/>
  <c r="J121" i="22"/>
  <c r="J24" i="22"/>
  <c r="J25" i="22"/>
  <c r="S121" i="22"/>
  <c r="S25" i="22"/>
  <c r="S24" i="22"/>
  <c r="AD120" i="22"/>
  <c r="AD19" i="22"/>
  <c r="W121" i="22"/>
  <c r="W25" i="22"/>
  <c r="W24" i="22"/>
  <c r="X121" i="22"/>
  <c r="X25" i="22"/>
  <c r="X24" i="22"/>
  <c r="AH112" i="22"/>
  <c r="AH132" i="22"/>
  <c r="D121" i="22"/>
  <c r="D24" i="22"/>
  <c r="D25" i="22"/>
  <c r="AR22" i="22"/>
  <c r="AS22" i="22"/>
  <c r="AL99" i="22"/>
  <c r="AL98" i="22"/>
  <c r="AG120" i="22"/>
  <c r="AG19" i="22"/>
  <c r="AM99" i="22"/>
  <c r="AM100" i="22"/>
  <c r="AU23" i="22"/>
  <c r="AU106" i="22"/>
  <c r="AT108" i="22"/>
  <c r="AK83" i="22"/>
  <c r="AJ82" i="22"/>
  <c r="AL121" i="22"/>
  <c r="AL25" i="22"/>
  <c r="AL24" i="22"/>
  <c r="AD122" i="22"/>
  <c r="AD21" i="22"/>
  <c r="AM83" i="22"/>
  <c r="AK82" i="22"/>
  <c r="AK112" i="22"/>
  <c r="AK132" i="22"/>
  <c r="AU108" i="22"/>
  <c r="AG21" i="22"/>
  <c r="AG122" i="22"/>
  <c r="AD121" i="22"/>
  <c r="AD25" i="22"/>
  <c r="AD24" i="22"/>
  <c r="AT22" i="22"/>
  <c r="AV106" i="22"/>
  <c r="AJ112" i="22"/>
  <c r="AJ132" i="22"/>
  <c r="AL83" i="22"/>
  <c r="AN99" i="22"/>
  <c r="AN100" i="22"/>
  <c r="AL82" i="22"/>
  <c r="AL112" i="22"/>
  <c r="AL132" i="22"/>
  <c r="AQ97" i="22"/>
  <c r="AO99" i="22"/>
  <c r="AG25" i="22"/>
  <c r="AG24" i="22"/>
  <c r="AG121" i="22"/>
  <c r="AU22" i="22"/>
  <c r="AV108" i="22"/>
  <c r="AV107" i="22"/>
  <c r="AM82" i="22"/>
  <c r="AN83" i="22"/>
  <c r="AQ98" i="22"/>
  <c r="AQ99" i="22"/>
  <c r="AM112" i="22"/>
  <c r="AM132" i="22"/>
  <c r="AP99" i="22"/>
  <c r="AO83" i="22"/>
  <c r="AN82" i="22"/>
  <c r="AN112" i="22"/>
  <c r="AN132" i="22"/>
  <c r="AP83" i="22"/>
  <c r="AO82" i="22"/>
  <c r="AO112" i="22"/>
  <c r="AR99" i="22"/>
  <c r="AP82" i="22"/>
  <c r="AP112" i="22"/>
  <c r="AR83" i="22"/>
  <c r="AO11" i="22"/>
  <c r="AO34" i="22"/>
  <c r="AO33" i="22"/>
  <c r="AO35" i="22"/>
  <c r="AO36" i="22"/>
  <c r="AO32" i="22"/>
  <c r="AS99" i="22"/>
  <c r="AQ83" i="22"/>
  <c r="AO39" i="22"/>
  <c r="AO132" i="22"/>
  <c r="AT99" i="22"/>
  <c r="AO118" i="22"/>
  <c r="AO117" i="22"/>
  <c r="AO15" i="22"/>
  <c r="AO14" i="22"/>
  <c r="AO12" i="22"/>
  <c r="AQ82" i="22"/>
  <c r="AQ112" i="22"/>
  <c r="AP11" i="22"/>
  <c r="AP34" i="22"/>
  <c r="AQ34" i="22"/>
  <c r="AP33" i="22"/>
  <c r="AQ33" i="22"/>
  <c r="AP35" i="22"/>
  <c r="AQ35" i="22"/>
  <c r="AP32" i="22"/>
  <c r="AP36" i="22"/>
  <c r="AQ36" i="22"/>
  <c r="AS83" i="22"/>
  <c r="AR82" i="22"/>
  <c r="AO13" i="22"/>
  <c r="AO17" i="22"/>
  <c r="AP39" i="22"/>
  <c r="AP132" i="22"/>
  <c r="AU99" i="22"/>
  <c r="AQ32" i="22"/>
  <c r="AQ11" i="22"/>
  <c r="AT83" i="22"/>
  <c r="AS82" i="22"/>
  <c r="AS112" i="22"/>
  <c r="AS11" i="22"/>
  <c r="AP118" i="22"/>
  <c r="AP117" i="22"/>
  <c r="AP12" i="22"/>
  <c r="AP15" i="22"/>
  <c r="AQ15" i="22"/>
  <c r="AP14" i="22"/>
  <c r="AQ14" i="22"/>
  <c r="AR112" i="22"/>
  <c r="AR11" i="22"/>
  <c r="AO16" i="22"/>
  <c r="AV97" i="22"/>
  <c r="AO19" i="22"/>
  <c r="AO120" i="22"/>
  <c r="AP13" i="22"/>
  <c r="AP17" i="22"/>
  <c r="AQ12" i="22"/>
  <c r="AQ13" i="22"/>
  <c r="AQ123" i="22"/>
  <c r="AQ117" i="22"/>
  <c r="AQ39" i="22"/>
  <c r="AS32" i="22"/>
  <c r="AQ124" i="22"/>
  <c r="AQ16" i="22"/>
  <c r="AR117" i="22"/>
  <c r="AR118" i="22"/>
  <c r="AR15" i="22"/>
  <c r="AR14" i="22"/>
  <c r="AR12" i="22"/>
  <c r="AS117" i="22"/>
  <c r="AS118" i="22"/>
  <c r="AS14" i="22"/>
  <c r="AS12" i="22"/>
  <c r="AS15" i="22"/>
  <c r="AV98" i="22"/>
  <c r="AV99" i="22"/>
  <c r="AP16" i="22"/>
  <c r="AU83" i="22"/>
  <c r="AT82" i="22"/>
  <c r="AO20" i="22"/>
  <c r="AR13" i="22"/>
  <c r="AR17" i="22"/>
  <c r="AS16" i="22"/>
  <c r="AR32" i="22"/>
  <c r="AT112" i="22"/>
  <c r="AT11" i="22"/>
  <c r="AU82" i="22"/>
  <c r="AU112" i="22"/>
  <c r="AU11" i="22"/>
  <c r="AV83" i="22"/>
  <c r="AR16" i="22"/>
  <c r="AS34" i="22"/>
  <c r="AR35" i="22"/>
  <c r="AS35" i="22"/>
  <c r="AR33" i="22"/>
  <c r="AS36" i="22"/>
  <c r="AS33" i="22"/>
  <c r="AR36" i="22"/>
  <c r="AR34" i="22"/>
  <c r="AQ132" i="22"/>
  <c r="AP120" i="22"/>
  <c r="AO21" i="22"/>
  <c r="AS13" i="22"/>
  <c r="AS17" i="22"/>
  <c r="AQ119" i="22"/>
  <c r="AQ17" i="22"/>
  <c r="AT35" i="22"/>
  <c r="AU32" i="22"/>
  <c r="C140" i="22"/>
  <c r="AT33" i="22"/>
  <c r="AT36" i="22"/>
  <c r="AR120" i="22"/>
  <c r="AT32" i="22"/>
  <c r="AS39" i="22"/>
  <c r="AS132" i="22"/>
  <c r="AT34" i="22"/>
  <c r="AU36" i="22"/>
  <c r="AO25" i="22"/>
  <c r="AO24" i="22"/>
  <c r="AO121" i="22"/>
  <c r="AU118" i="22"/>
  <c r="AU117" i="22"/>
  <c r="AU12" i="22"/>
  <c r="AU15" i="22"/>
  <c r="AU14" i="22"/>
  <c r="AU33" i="22"/>
  <c r="AQ120" i="22"/>
  <c r="AR39" i="22"/>
  <c r="AR132" i="22"/>
  <c r="AU35" i="22"/>
  <c r="AV35" i="22"/>
  <c r="AU34" i="22"/>
  <c r="AV82" i="22"/>
  <c r="AV112" i="22"/>
  <c r="AS120" i="22"/>
  <c r="AT117" i="22"/>
  <c r="AT118" i="22"/>
  <c r="AT14" i="22"/>
  <c r="AT12" i="22"/>
  <c r="AT15" i="22"/>
  <c r="AV11" i="22"/>
  <c r="AU13" i="22"/>
  <c r="AU17" i="22"/>
  <c r="AU120" i="22"/>
  <c r="AT13" i="22"/>
  <c r="AT17" i="22"/>
  <c r="AV32" i="22"/>
  <c r="AV34" i="22"/>
  <c r="AV36" i="22"/>
  <c r="AT39" i="22"/>
  <c r="AT132" i="22"/>
  <c r="AV15" i="22"/>
  <c r="AV123" i="22"/>
  <c r="AU16" i="22"/>
  <c r="AU39" i="22"/>
  <c r="AU132" i="22"/>
  <c r="AT16" i="22"/>
  <c r="AV14" i="22"/>
  <c r="AV33" i="22"/>
  <c r="AV12" i="22"/>
  <c r="AV13" i="22"/>
  <c r="AV117" i="22"/>
  <c r="AV39" i="22"/>
  <c r="AV132" i="22"/>
  <c r="AV124" i="22"/>
  <c r="AV16" i="22"/>
  <c r="AV119" i="22"/>
  <c r="AV17" i="22"/>
  <c r="AT120" i="22"/>
  <c r="AV120" i="22"/>
  <c r="AP19" i="22"/>
  <c r="AQ19" i="22"/>
  <c r="AP20" i="22"/>
  <c r="AQ20" i="22"/>
  <c r="AQ122" i="22"/>
  <c r="AP21" i="22"/>
  <c r="AQ21" i="22"/>
  <c r="AQ121" i="22"/>
  <c r="AQ23" i="22"/>
  <c r="AQ25" i="22"/>
  <c r="AQ22" i="22"/>
  <c r="AQ24" i="22"/>
  <c r="AP121" i="22"/>
  <c r="AP24" i="22"/>
  <c r="AP25" i="22"/>
  <c r="AR19" i="22"/>
  <c r="AR20" i="22"/>
  <c r="AR21" i="22"/>
  <c r="AR121" i="22"/>
  <c r="AR24" i="22"/>
  <c r="AR25" i="22"/>
  <c r="AS19" i="22"/>
  <c r="AS20" i="22"/>
  <c r="AS21" i="22"/>
  <c r="AS121" i="22"/>
  <c r="AS25" i="22"/>
  <c r="C141" i="22"/>
  <c r="AS24" i="22"/>
  <c r="C6" i="22"/>
  <c r="C148" i="22"/>
  <c r="AT19" i="22"/>
  <c r="AT20" i="22"/>
  <c r="AT21" i="22"/>
  <c r="AT121" i="22"/>
  <c r="AT25" i="22"/>
  <c r="AT24" i="22"/>
  <c r="AU19" i="22"/>
  <c r="AV19" i="22"/>
  <c r="AU20" i="22"/>
  <c r="AV20" i="22"/>
  <c r="AV122" i="22"/>
  <c r="AU21" i="22"/>
  <c r="AV21" i="22"/>
  <c r="AU121" i="22"/>
  <c r="AU25" i="22"/>
  <c r="AU24" i="22"/>
  <c r="AV121" i="22"/>
  <c r="AV22" i="22"/>
  <c r="AV24" i="22"/>
  <c r="AV23" i="22"/>
  <c r="AV25" i="22"/>
  <c r="C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Admin</author>
  </authors>
  <commentList>
    <comment ref="AE11" authorId="0" shapeId="0" xr:uid="{00000000-0006-0000-0000-000001000000}">
      <text>
        <r>
          <rPr>
            <sz val="9"/>
            <color indexed="81"/>
            <rFont val="Tahoma"/>
            <family val="2"/>
          </rPr>
          <t>Management guided revenue between $46 billion and $48 billion
(source: F2Q15 earnings call)</t>
        </r>
      </text>
    </comment>
    <comment ref="AF11" authorId="0" shapeId="0" xr:uid="{00000000-0006-0000-0000-000002000000}">
      <text>
        <r>
          <rPr>
            <sz val="9"/>
            <color indexed="81"/>
            <rFont val="Tahoma"/>
            <family val="2"/>
          </rPr>
          <t xml:space="preserve">Management guided revenue between $49 billion and $51 billion on 7/21/15
</t>
        </r>
      </text>
    </comment>
    <comment ref="AH11" authorId="0" shapeId="0" xr:uid="{00000000-0006-0000-0000-000003000000}">
      <text>
        <r>
          <rPr>
            <sz val="9"/>
            <color indexed="81"/>
            <rFont val="Tahoma"/>
            <family val="2"/>
          </rPr>
          <t>Management guided revenue between $75.5B amd $77.5B on 10/27/2015.</t>
        </r>
      </text>
    </comment>
    <comment ref="AI11" authorId="1" shapeId="0" xr:uid="{00000000-0006-0000-0000-000004000000}">
      <text>
        <r>
          <rPr>
            <sz val="9"/>
            <color indexed="81"/>
            <rFont val="Tahoma"/>
            <family val="2"/>
          </rPr>
          <t>Management guided revenue between $50.0B amd $53.0B on 1/26/2015.</t>
        </r>
      </text>
    </comment>
    <comment ref="AJ11" authorId="1" shapeId="0" xr:uid="{00000000-0006-0000-0000-000005000000}">
      <text>
        <r>
          <rPr>
            <sz val="9"/>
            <color indexed="81"/>
            <rFont val="Tahoma"/>
            <family val="2"/>
          </rPr>
          <t>Management guided revenue between $41B and $43B on 4/26/2016.</t>
        </r>
      </text>
    </comment>
    <comment ref="AK11" authorId="1" shapeId="0" xr:uid="{00000000-0006-0000-0000-000006000000}">
      <text>
        <r>
          <rPr>
            <sz val="9"/>
            <color indexed="81"/>
            <rFont val="Tahoma"/>
            <family val="2"/>
          </rPr>
          <t>Management guided revenue between $45.5B and $47.5B on 7/26/2016.</t>
        </r>
      </text>
    </comment>
    <comment ref="AM11" authorId="1" shapeId="0" xr:uid="{00000000-0006-0000-0000-000007000000}">
      <text>
        <r>
          <rPr>
            <sz val="9"/>
            <color indexed="81"/>
            <rFont val="Tahoma"/>
            <family val="2"/>
          </rPr>
          <t>Management guided revenue between $76B and $78B on 10/25/2016.</t>
        </r>
      </text>
    </comment>
    <comment ref="AN11" authorId="1" shapeId="0" xr:uid="{00000000-0006-0000-0000-000008000000}">
      <text>
        <r>
          <rPr>
            <sz val="9"/>
            <color indexed="81"/>
            <rFont val="Tahoma"/>
            <family val="2"/>
          </rPr>
          <t>Management guided revenue between $51.5B and $53.5B on 1/31/2017.</t>
        </r>
      </text>
    </comment>
    <comment ref="AO11" authorId="1" shapeId="0" xr:uid="{00000000-0006-0000-0000-000009000000}">
      <text>
        <r>
          <rPr>
            <sz val="9"/>
            <color indexed="81"/>
            <rFont val="Tahoma"/>
            <family val="2"/>
          </rPr>
          <t>Management guided revenue between $43.5B and $45.5B on 5/2/2017.</t>
        </r>
        <r>
          <rPr>
            <sz val="9"/>
            <color indexed="81"/>
            <rFont val="Tahoma"/>
            <family val="2"/>
          </rPr>
          <t xml:space="preserve">
</t>
        </r>
      </text>
    </comment>
    <comment ref="AF13" authorId="0" shapeId="0" xr:uid="{00000000-0006-0000-0000-00000A000000}">
      <text>
        <r>
          <rPr>
            <sz val="9"/>
            <color indexed="81"/>
            <rFont val="Tahoma"/>
            <family val="2"/>
          </rPr>
          <t xml:space="preserve">Management guided gross margin between 38.5 percent and 39.5 percent on 7/21/15
</t>
        </r>
      </text>
    </comment>
    <comment ref="AH13" authorId="0" shapeId="0" xr:uid="{00000000-0006-0000-0000-00000B000000}">
      <text>
        <r>
          <rPr>
            <sz val="9"/>
            <color indexed="81"/>
            <rFont val="Tahoma"/>
            <family val="2"/>
          </rPr>
          <t>Management guided gross margin between 39% and 40% on 10/27/2015.</t>
        </r>
      </text>
    </comment>
    <comment ref="AI13" authorId="1" shapeId="0" xr:uid="{00000000-0006-0000-0000-00000C000000}">
      <text>
        <r>
          <rPr>
            <sz val="9"/>
            <color indexed="81"/>
            <rFont val="Tahoma"/>
            <family val="2"/>
          </rPr>
          <t>Management guided gross margin between 39% and 39.5% on 1/26/2015.</t>
        </r>
      </text>
    </comment>
    <comment ref="AJ13" authorId="1" shapeId="0" xr:uid="{00000000-0006-0000-0000-00000D000000}">
      <text>
        <r>
          <rPr>
            <sz val="9"/>
            <color indexed="81"/>
            <rFont val="Tahoma"/>
            <family val="2"/>
          </rPr>
          <t xml:space="preserve">Management guided gross margin between 37.5% and 38% on 4/26/2016.
</t>
        </r>
      </text>
    </comment>
    <comment ref="AK13" authorId="1" shapeId="0" xr:uid="{00000000-0006-0000-0000-00000E000000}">
      <text>
        <r>
          <rPr>
            <sz val="9"/>
            <color indexed="81"/>
            <rFont val="Tahoma"/>
            <family val="2"/>
          </rPr>
          <t>Management guided gross margin between 37.5% and 38% on 7/26/2016.</t>
        </r>
      </text>
    </comment>
    <comment ref="AM13" authorId="1" shapeId="0" xr:uid="{00000000-0006-0000-0000-00000F000000}">
      <text>
        <r>
          <rPr>
            <sz val="9"/>
            <color indexed="81"/>
            <rFont val="Tahoma"/>
            <family val="2"/>
          </rPr>
          <t>Management guided gross margin between 38% and 38.5% on 10/25/2016.</t>
        </r>
      </text>
    </comment>
    <comment ref="AN13" authorId="1" shapeId="0" xr:uid="{00000000-0006-0000-0000-000010000000}">
      <text>
        <r>
          <rPr>
            <sz val="9"/>
            <color indexed="81"/>
            <rFont val="Tahoma"/>
            <family val="2"/>
          </rPr>
          <t>Management guided gross margin between 38% and 39% on 1/31/2017.</t>
        </r>
      </text>
    </comment>
    <comment ref="AO13" authorId="1" shapeId="0" xr:uid="{00000000-0006-0000-0000-000011000000}">
      <text>
        <r>
          <rPr>
            <sz val="9"/>
            <color indexed="81"/>
            <rFont val="Tahoma"/>
            <family val="2"/>
          </rPr>
          <t>Management guided gross margin between 37.5% and 38.5% on 5/2/2017.</t>
        </r>
      </text>
    </comment>
    <comment ref="AF16" authorId="0" shapeId="0" xr:uid="{00000000-0006-0000-0000-000012000000}">
      <text>
        <r>
          <rPr>
            <sz val="9"/>
            <color indexed="81"/>
            <rFont val="Tahoma"/>
            <family val="2"/>
          </rPr>
          <t>Management guided operating expenses between $5.85 billion and $5.95 billion on 7/21/2015.</t>
        </r>
      </text>
    </comment>
    <comment ref="AH16" authorId="0" shapeId="0" xr:uid="{00000000-0006-0000-0000-000013000000}">
      <text>
        <r>
          <rPr>
            <sz val="9"/>
            <color indexed="81"/>
            <rFont val="Tahoma"/>
            <family val="2"/>
          </rPr>
          <t>Management guided operating expenses between $6.3B and $6.4B on 10/27/2015.</t>
        </r>
      </text>
    </comment>
    <comment ref="AI16" authorId="1" shapeId="0" xr:uid="{00000000-0006-0000-0000-000014000000}">
      <text>
        <r>
          <rPr>
            <sz val="9"/>
            <color indexed="81"/>
            <rFont val="Tahoma"/>
            <family val="2"/>
          </rPr>
          <t>Management guided operating expenses between $6.0B and $6.1B on 1/26/2016.</t>
        </r>
      </text>
    </comment>
    <comment ref="AJ16" authorId="1" shapeId="0" xr:uid="{00000000-0006-0000-0000-000015000000}">
      <text>
        <r>
          <rPr>
            <sz val="9"/>
            <color indexed="81"/>
            <rFont val="Tahoma"/>
            <family val="2"/>
          </rPr>
          <t>Management guided operating expenses between $6.0B and $6.1B on 4/26/2016.</t>
        </r>
      </text>
    </comment>
    <comment ref="AK16" authorId="1" shapeId="0" xr:uid="{00000000-0006-0000-0000-000016000000}">
      <text>
        <r>
          <rPr>
            <sz val="9"/>
            <color indexed="81"/>
            <rFont val="Tahoma"/>
            <family val="2"/>
          </rPr>
          <t>Management guided operating expenses between $6.05B and $6.15B on 7/26/2016.</t>
        </r>
      </text>
    </comment>
    <comment ref="AM16" authorId="1" shapeId="0" xr:uid="{00000000-0006-0000-0000-000017000000}">
      <text>
        <r>
          <rPr>
            <sz val="9"/>
            <color indexed="81"/>
            <rFont val="Tahoma"/>
            <family val="2"/>
          </rPr>
          <t>Management guided operating expenses between $6.9B and $7B on 10/25/2016.</t>
        </r>
      </text>
    </comment>
    <comment ref="AN16" authorId="1" shapeId="0" xr:uid="{00000000-0006-0000-0000-000018000000}">
      <text>
        <r>
          <rPr>
            <sz val="9"/>
            <color indexed="81"/>
            <rFont val="Tahoma"/>
            <family val="2"/>
          </rPr>
          <t>Management guided operating expenses between $6.5B and $6.6B on 1/31/2017.</t>
        </r>
      </text>
    </comment>
    <comment ref="AO16" authorId="1" shapeId="0" xr:uid="{00000000-0006-0000-0000-000019000000}">
      <text>
        <r>
          <rPr>
            <sz val="9"/>
            <color indexed="81"/>
            <rFont val="Tahoma"/>
            <family val="2"/>
          </rPr>
          <t>Management guided operating expenses between $6.6B and $6.7B on 5/2/2017.</t>
        </r>
      </text>
    </comment>
    <comment ref="AE17" authorId="0" shapeId="0" xr:uid="{00000000-0006-0000-0000-00001A000000}">
      <text>
        <r>
          <rPr>
            <sz val="9"/>
            <color indexed="81"/>
            <rFont val="Tahoma"/>
            <family val="2"/>
          </rPr>
          <t>management guided operating expenses between $5.65 billion and $5.75 billion
(source: 2Q15 earnings call)</t>
        </r>
      </text>
    </comment>
    <comment ref="AE18" authorId="0" shapeId="0" xr:uid="{00000000-0006-0000-0000-00001B000000}">
      <text>
        <r>
          <rPr>
            <sz val="9"/>
            <color indexed="81"/>
            <rFont val="Tahoma"/>
            <family val="2"/>
          </rPr>
          <t>Management guided other income/(expense) of $350 million 
(source: 2Q15 earnings call)</t>
        </r>
      </text>
    </comment>
    <comment ref="AF18" authorId="0" shapeId="0" xr:uid="{00000000-0006-0000-0000-00001C000000}">
      <text>
        <r>
          <rPr>
            <sz val="9"/>
            <color indexed="81"/>
            <rFont val="Tahoma"/>
            <family val="2"/>
          </rPr>
          <t xml:space="preserve">Management guided other income/(expense) of $400 million on 7/21/15
</t>
        </r>
      </text>
    </comment>
    <comment ref="AH18" authorId="0" shapeId="0" xr:uid="{00000000-0006-0000-0000-00001D000000}">
      <text>
        <r>
          <rPr>
            <sz val="9"/>
            <color indexed="81"/>
            <rFont val="Tahoma"/>
            <family val="2"/>
          </rPr>
          <t>Management guided other income of $400M on 10/27/2015.</t>
        </r>
      </text>
    </comment>
    <comment ref="AI18" authorId="1" shapeId="0" xr:uid="{00000000-0006-0000-0000-00001E000000}">
      <text>
        <r>
          <rPr>
            <sz val="9"/>
            <color indexed="81"/>
            <rFont val="Tahoma"/>
            <family val="2"/>
          </rPr>
          <t>Management guided other income of $325M on 1/26/2016.</t>
        </r>
      </text>
    </comment>
    <comment ref="AJ18" authorId="1" shapeId="0" xr:uid="{00000000-0006-0000-0000-00001F000000}">
      <text>
        <r>
          <rPr>
            <sz val="9"/>
            <color indexed="81"/>
            <rFont val="Tahoma"/>
            <family val="2"/>
          </rPr>
          <t>Management guided other income of $300M on 4/26/2016.</t>
        </r>
      </text>
    </comment>
    <comment ref="AK18" authorId="1" shapeId="0" xr:uid="{00000000-0006-0000-0000-000020000000}">
      <text>
        <r>
          <rPr>
            <sz val="9"/>
            <color indexed="81"/>
            <rFont val="Tahoma"/>
            <family val="2"/>
          </rPr>
          <t>Management guided other income of $350M on 7/26/2016.</t>
        </r>
      </text>
    </comment>
    <comment ref="AM18" authorId="1" shapeId="0" xr:uid="{00000000-0006-0000-0000-000021000000}">
      <text>
        <r>
          <rPr>
            <sz val="9"/>
            <color indexed="81"/>
            <rFont val="Tahoma"/>
            <family val="2"/>
          </rPr>
          <t>Management guided other income of $400M on 7/26/2016.</t>
        </r>
      </text>
    </comment>
    <comment ref="AN18" authorId="1" shapeId="0" xr:uid="{00000000-0006-0000-0000-000022000000}">
      <text>
        <r>
          <rPr>
            <sz val="9"/>
            <color indexed="81"/>
            <rFont val="Tahoma"/>
            <family val="2"/>
          </rPr>
          <t>Management guided other income of $400M on 1/31/2017.</t>
        </r>
      </text>
    </comment>
    <comment ref="AO18" authorId="1" shapeId="0" xr:uid="{00000000-0006-0000-0000-000023000000}">
      <text>
        <r>
          <rPr>
            <sz val="9"/>
            <color indexed="81"/>
            <rFont val="Tahoma"/>
            <family val="2"/>
          </rPr>
          <t>Management guided other income of $450M on 5/2/2017.</t>
        </r>
      </text>
    </comment>
    <comment ref="AF20" authorId="0" shapeId="0" xr:uid="{00000000-0006-0000-0000-000024000000}">
      <text>
        <r>
          <rPr>
            <sz val="9"/>
            <color indexed="81"/>
            <rFont val="Tahoma"/>
            <family val="2"/>
          </rPr>
          <t xml:space="preserve">Management guided tax rate of 26.3 percent on 7/21/15
</t>
        </r>
      </text>
    </comment>
    <comment ref="AH20" authorId="0" shapeId="0" xr:uid="{00000000-0006-0000-0000-000025000000}">
      <text>
        <r>
          <rPr>
            <sz val="9"/>
            <color indexed="81"/>
            <rFont val="Tahoma"/>
            <family val="2"/>
          </rPr>
          <t>Management guided the tax rate to 26.2% on 10/27/2015.</t>
        </r>
      </text>
    </comment>
    <comment ref="AI20" authorId="1" shapeId="0" xr:uid="{00000000-0006-0000-0000-000026000000}">
      <text>
        <r>
          <rPr>
            <sz val="9"/>
            <color indexed="81"/>
            <rFont val="Tahoma"/>
            <family val="2"/>
          </rPr>
          <t>Management guided the tax rate to 25.5% on 1/26/2016.</t>
        </r>
      </text>
    </comment>
    <comment ref="AJ20" authorId="1" shapeId="0" xr:uid="{00000000-0006-0000-0000-000027000000}">
      <text>
        <r>
          <rPr>
            <sz val="9"/>
            <color indexed="81"/>
            <rFont val="Tahoma"/>
            <family val="2"/>
          </rPr>
          <t>Management guided the tax rate to 25.5% on 4/26/2016.</t>
        </r>
      </text>
    </comment>
    <comment ref="AK20" authorId="1" shapeId="0" xr:uid="{00000000-0006-0000-0000-000028000000}">
      <text>
        <r>
          <rPr>
            <sz val="9"/>
            <color indexed="81"/>
            <rFont val="Tahoma"/>
            <family val="2"/>
          </rPr>
          <t>Management guided the tax rate to 25.5% on 7/26/2016.</t>
        </r>
      </text>
    </comment>
    <comment ref="AM20" authorId="1" shapeId="0" xr:uid="{00000000-0006-0000-0000-000029000000}">
      <text>
        <r>
          <rPr>
            <sz val="9"/>
            <color indexed="81"/>
            <rFont val="Tahoma"/>
            <family val="2"/>
          </rPr>
          <t>Management guided the tax rate to 26% on 10/25/2016.</t>
        </r>
      </text>
    </comment>
    <comment ref="AN20" authorId="1" shapeId="0" xr:uid="{00000000-0006-0000-0000-00002A000000}">
      <text>
        <r>
          <rPr>
            <sz val="9"/>
            <color indexed="81"/>
            <rFont val="Tahoma"/>
            <family val="2"/>
          </rPr>
          <t>Management guided the tax rate to 26% on 1/31/2017.</t>
        </r>
      </text>
    </comment>
    <comment ref="AO20" authorId="1" shapeId="0" xr:uid="{00000000-0006-0000-0000-00002B000000}">
      <text>
        <r>
          <rPr>
            <sz val="9"/>
            <color indexed="81"/>
            <rFont val="Tahoma"/>
            <family val="2"/>
          </rPr>
          <t>Management guided the tax rate to 25.5% on 5/2/2017.</t>
        </r>
      </text>
    </comment>
    <comment ref="Y25" authorId="1" shapeId="0" xr:uid="{00000000-0006-0000-0000-00002C000000}">
      <text>
        <r>
          <rPr>
            <sz val="9"/>
            <color indexed="81"/>
            <rFont val="Tahoma"/>
            <family val="2"/>
          </rPr>
          <t>Note: per share values not adjusted for stock splits prior to June 2014</t>
        </r>
      </text>
    </comment>
    <comment ref="B46" authorId="1" shapeId="0" xr:uid="{00000000-0006-0000-0000-00002D000000}">
      <text>
        <r>
          <rPr>
            <sz val="9"/>
            <color indexed="81"/>
            <rFont val="Tahoma"/>
            <family val="2"/>
          </rPr>
          <t>Product history does not show all refresh dates. Focus is on new generation launches and price changes.</t>
        </r>
      </text>
    </comment>
    <comment ref="B60" authorId="1" shapeId="0" xr:uid="{00000000-0006-0000-0000-00002E000000}">
      <text>
        <r>
          <rPr>
            <sz val="9"/>
            <color indexed="81"/>
            <rFont val="Tahoma"/>
            <family val="2"/>
          </rPr>
          <t>Product history does not show all refresh dates. Focus is on new generation launches and price changes.</t>
        </r>
      </text>
    </comment>
    <comment ref="B74" authorId="1" shapeId="0" xr:uid="{00000000-0006-0000-0000-00002F000000}">
      <text>
        <r>
          <rPr>
            <sz val="9"/>
            <color indexed="81"/>
            <rFont val="Tahoma"/>
            <family val="2"/>
          </rPr>
          <t>Product history does not show all refresh dates. Focus is on new generation launches and price changes.</t>
        </r>
      </text>
    </comment>
    <comment ref="B86" authorId="1" shapeId="0" xr:uid="{00000000-0006-0000-0000-000030000000}">
      <text>
        <r>
          <rPr>
            <sz val="9"/>
            <color indexed="81"/>
            <rFont val="Tahoma"/>
            <family val="2"/>
          </rPr>
          <t>Product history does not show all refresh dates. Focus is on new generation launches and price changes.</t>
        </r>
      </text>
    </comment>
    <comment ref="B91" authorId="1" shapeId="0" xr:uid="{00000000-0006-0000-0000-000031000000}">
      <text>
        <r>
          <rPr>
            <sz val="9"/>
            <color indexed="81"/>
            <rFont val="Tahoma"/>
            <family val="2"/>
          </rPr>
          <t>The company does not break iWatch results out, Therefore the values in all of these rows (including historic results) represent our estimates).</t>
        </r>
      </text>
    </comment>
    <comment ref="B97" authorId="1" shapeId="0" xr:uid="{00000000-0006-0000-0000-000032000000}">
      <text>
        <r>
          <rPr>
            <sz val="9"/>
            <color indexed="81"/>
            <rFont val="Tahoma"/>
            <family val="2"/>
          </rPr>
          <t>Includes sales of Apple TV, Apple Watch, Beats products, iPod and Apple-branded and third-party accessories</t>
        </r>
      </text>
    </comment>
    <comment ref="B101" authorId="1" shapeId="0" xr:uid="{00000000-0006-0000-0000-000033000000}">
      <text>
        <r>
          <rPr>
            <sz val="9"/>
            <color indexed="81"/>
            <rFont val="Tahoma"/>
            <family val="2"/>
          </rPr>
          <t>Product history does not show all refresh dates. Focus is on new generation launches and price changes.</t>
        </r>
      </text>
    </comment>
    <comment ref="B106" authorId="1" shapeId="0" xr:uid="{00000000-0006-0000-0000-000034000000}">
      <text>
        <r>
          <rPr>
            <sz val="9"/>
            <color indexed="81"/>
            <rFont val="Tahoma"/>
            <family val="2"/>
          </rPr>
          <t>Includes revenue from Internet Services, AppleCare, Apple Pay, licensing and other services</t>
        </r>
      </text>
    </comment>
    <comment ref="B114" authorId="1" shapeId="0" xr:uid="{00000000-0006-0000-0000-000035000000}">
      <text>
        <r>
          <rPr>
            <sz val="9"/>
            <color indexed="81"/>
            <rFont val="Tahoma"/>
            <family val="2"/>
          </rPr>
          <t>Strength in the U.S. Dollar will bring revenue and gross margin down, so it is an important metric to watch when forecasting. In addition, management typically gives the expected impact from fx changes in their guidance.</t>
        </r>
      </text>
    </comment>
    <comment ref="AF119" authorId="0" shapeId="0" xr:uid="{00000000-0006-0000-0000-000036000000}">
      <text>
        <r>
          <rPr>
            <sz val="9"/>
            <color indexed="81"/>
            <rFont val="Tahoma"/>
            <family val="2"/>
          </rPr>
          <t>Management guided gross margin between 38.5 percent and 39.5 percent on 7/21/15</t>
        </r>
      </text>
    </comment>
    <comment ref="AH119" authorId="1" shapeId="0" xr:uid="{00000000-0006-0000-0000-000037000000}">
      <text>
        <r>
          <rPr>
            <sz val="9"/>
            <color indexed="81"/>
            <rFont val="Tahoma"/>
            <family val="2"/>
          </rPr>
          <t xml:space="preserve">Management guided gross margin to 39.5%
</t>
        </r>
      </text>
    </comment>
    <comment ref="AJ119" authorId="1" shapeId="0" xr:uid="{00000000-0006-0000-0000-000038000000}">
      <text>
        <r>
          <rPr>
            <sz val="9"/>
            <color indexed="81"/>
            <rFont val="Tahoma"/>
            <family val="2"/>
          </rPr>
          <t>Management guided gross margin between 37.5% and 38% on  4/26/2016.</t>
        </r>
      </text>
    </comment>
    <comment ref="AK119" authorId="1" shapeId="0" xr:uid="{00000000-0006-0000-0000-000039000000}">
      <text>
        <r>
          <rPr>
            <sz val="9"/>
            <color indexed="81"/>
            <rFont val="Tahoma"/>
            <family val="2"/>
          </rPr>
          <t>Management guided gross margin between 37.5% and 38% on  7/26/2016.</t>
        </r>
      </text>
    </comment>
    <comment ref="AM119" authorId="1" shapeId="0" xr:uid="{00000000-0006-0000-0000-00003A000000}">
      <text>
        <r>
          <rPr>
            <sz val="9"/>
            <color indexed="81"/>
            <rFont val="Tahoma"/>
            <family val="2"/>
          </rPr>
          <t>Management guided gross margin between 38% and 38.5% on  10/25/2016.</t>
        </r>
      </text>
    </comment>
    <comment ref="AN119" authorId="1" shapeId="0" xr:uid="{00000000-0006-0000-0000-00003B000000}">
      <text>
        <r>
          <rPr>
            <sz val="9"/>
            <color indexed="81"/>
            <rFont val="Tahoma"/>
            <family val="2"/>
          </rPr>
          <t>Management guided gross margin between 38% and 39% on  1/31/2017.</t>
        </r>
      </text>
    </comment>
    <comment ref="AO119" authorId="1" shapeId="0" xr:uid="{00000000-0006-0000-0000-00003C000000}">
      <text>
        <r>
          <rPr>
            <sz val="9"/>
            <color indexed="81"/>
            <rFont val="Tahoma"/>
            <family val="2"/>
          </rPr>
          <t>Management guided gross margin between 37.5% and 38.5% on  5/2/2017.</t>
        </r>
      </text>
    </comment>
    <comment ref="AF122" authorId="0" shapeId="0" xr:uid="{00000000-0006-0000-0000-00003D000000}">
      <text>
        <r>
          <rPr>
            <sz val="9"/>
            <color indexed="81"/>
            <rFont val="Tahoma"/>
            <family val="2"/>
          </rPr>
          <t>Management guided tax rate of 26.3 percent on 7/21/15</t>
        </r>
      </text>
    </comment>
    <comment ref="AH122" authorId="0" shapeId="0" xr:uid="{00000000-0006-0000-0000-00003E000000}">
      <text>
        <r>
          <rPr>
            <sz val="9"/>
            <color indexed="81"/>
            <rFont val="Tahoma"/>
            <family val="2"/>
          </rPr>
          <t>Management guided the tax rate to 26.2% on 10/27/2015.</t>
        </r>
      </text>
    </comment>
    <comment ref="AJ122" authorId="1" shapeId="0" xr:uid="{00000000-0006-0000-0000-00003F000000}">
      <text>
        <r>
          <rPr>
            <sz val="9"/>
            <color indexed="81"/>
            <rFont val="Tahoma"/>
            <family val="2"/>
          </rPr>
          <t>Management guided the tax rate to 25.5% on 4/26/2016.</t>
        </r>
      </text>
    </comment>
    <comment ref="AK122" authorId="1" shapeId="0" xr:uid="{00000000-0006-0000-0000-000040000000}">
      <text>
        <r>
          <rPr>
            <sz val="9"/>
            <color indexed="81"/>
            <rFont val="Tahoma"/>
            <family val="2"/>
          </rPr>
          <t>Management guided the tax rate to 25.5% on 7/26/2016.</t>
        </r>
      </text>
    </comment>
    <comment ref="AM122" authorId="1" shapeId="0" xr:uid="{00000000-0006-0000-0000-000041000000}">
      <text>
        <r>
          <rPr>
            <sz val="9"/>
            <color indexed="81"/>
            <rFont val="Tahoma"/>
            <family val="2"/>
          </rPr>
          <t>Management guided the tax rate to 26% on 10/25/2016.</t>
        </r>
      </text>
    </comment>
    <comment ref="AN122" authorId="1" shapeId="0" xr:uid="{00000000-0006-0000-0000-000042000000}">
      <text>
        <r>
          <rPr>
            <sz val="9"/>
            <color indexed="81"/>
            <rFont val="Tahoma"/>
            <family val="2"/>
          </rPr>
          <t>Management guided the tax rate to 26% on 1/31/2017.</t>
        </r>
      </text>
    </comment>
    <comment ref="AO122" authorId="1" shapeId="0" xr:uid="{00000000-0006-0000-0000-000043000000}">
      <text>
        <r>
          <rPr>
            <sz val="9"/>
            <color indexed="81"/>
            <rFont val="Tahoma"/>
            <family val="2"/>
          </rPr>
          <t>Management guided the tax rate to 25.5% on 5/2/2017.</t>
        </r>
      </text>
    </comment>
    <comment ref="B128" authorId="0" shapeId="0" xr:uid="{00000000-0006-0000-0000-000044000000}">
      <text>
        <r>
          <rPr>
            <sz val="9"/>
            <color indexed="81"/>
            <rFont val="Tahoma"/>
            <family val="2"/>
          </rPr>
          <t xml:space="preserve">Excludes ASR which is calculated in the general change in shares.
</t>
        </r>
      </text>
    </comment>
  </commentList>
</comments>
</file>

<file path=xl/sharedStrings.xml><?xml version="1.0" encoding="utf-8"?>
<sst xmlns="http://schemas.openxmlformats.org/spreadsheetml/2006/main" count="408" uniqueCount="297">
  <si>
    <t>FY 2013</t>
  </si>
  <si>
    <t>Gross Profit</t>
  </si>
  <si>
    <t xml:space="preserve">Operating Income </t>
  </si>
  <si>
    <t xml:space="preserve">Income before income taxes </t>
  </si>
  <si>
    <t>Basic shares outstanding</t>
  </si>
  <si>
    <t xml:space="preserve">Diluted shares outstanding </t>
  </si>
  <si>
    <t>FY 2014</t>
  </si>
  <si>
    <t>Selling, general and administrative</t>
  </si>
  <si>
    <t>Research and development</t>
  </si>
  <si>
    <t>Effective tax rate</t>
  </si>
  <si>
    <t>(Dollars in millions, except per share data)</t>
  </si>
  <si>
    <t xml:space="preserve"> -   </t>
  </si>
  <si>
    <t>F1Q14</t>
  </si>
  <si>
    <t>F2Q14</t>
  </si>
  <si>
    <t>F3Q14</t>
  </si>
  <si>
    <t>F4Q14</t>
  </si>
  <si>
    <t>Revenue growth rate (year over year)</t>
  </si>
  <si>
    <t>Revenue growth rate (quarter over quarter)</t>
  </si>
  <si>
    <t>Multiple Valuation</t>
  </si>
  <si>
    <t>SG&amp;A to sales</t>
  </si>
  <si>
    <t>R&amp;D to sales</t>
  </si>
  <si>
    <t xml:space="preserve"> </t>
  </si>
  <si>
    <t>Gross margin percentage (GAAP)</t>
  </si>
  <si>
    <t>Operating margin (GAAP)</t>
  </si>
  <si>
    <t>F3Q17E</t>
  </si>
  <si>
    <t>F4Q17E</t>
  </si>
  <si>
    <t>F1Q18E</t>
  </si>
  <si>
    <t>F2Q18E</t>
  </si>
  <si>
    <t>F3Q18E</t>
  </si>
  <si>
    <t>F4Q18E</t>
  </si>
  <si>
    <t>Share repurchase assumptions: average price</t>
  </si>
  <si>
    <t>Share repurchase: amount in the period ($M)</t>
  </si>
  <si>
    <t>Diluted share impact (convertible retirement)</t>
  </si>
  <si>
    <t>Net income to revenue</t>
  </si>
  <si>
    <t>P/E used for valuation</t>
  </si>
  <si>
    <t>Apple Inc Income Statement</t>
  </si>
  <si>
    <t>Net sales</t>
  </si>
  <si>
    <t>Cost of sales</t>
  </si>
  <si>
    <t>Provisions for income tax</t>
  </si>
  <si>
    <t>Sept-14</t>
  </si>
  <si>
    <t>June-14</t>
  </si>
  <si>
    <t>Mar-14</t>
  </si>
  <si>
    <t>Dec-13</t>
  </si>
  <si>
    <t>Sept-13</t>
  </si>
  <si>
    <t>Dec-14</t>
  </si>
  <si>
    <t>Mar-15</t>
  </si>
  <si>
    <t>June-15</t>
  </si>
  <si>
    <t>Sept-15</t>
  </si>
  <si>
    <t>Dec-16</t>
  </si>
  <si>
    <t>Dec-15</t>
  </si>
  <si>
    <t>Mar-16</t>
  </si>
  <si>
    <t>June-16</t>
  </si>
  <si>
    <t>Sept-16</t>
  </si>
  <si>
    <t>Mar-17</t>
  </si>
  <si>
    <t>June-17</t>
  </si>
  <si>
    <t>Sept-17</t>
  </si>
  <si>
    <t>Dec-17</t>
  </si>
  <si>
    <t>Mar-18</t>
  </si>
  <si>
    <t>June-18</t>
  </si>
  <si>
    <t>Sept-18</t>
  </si>
  <si>
    <t>Dec-10</t>
  </si>
  <si>
    <t>Dec-09</t>
  </si>
  <si>
    <t>Mar-10</t>
  </si>
  <si>
    <t>June-10</t>
  </si>
  <si>
    <t>Sept-10</t>
  </si>
  <si>
    <t>F1Q10</t>
  </si>
  <si>
    <t>F2Q10</t>
  </si>
  <si>
    <t>F3Q10</t>
  </si>
  <si>
    <t>F4Q10</t>
  </si>
  <si>
    <t>FY 2010</t>
  </si>
  <si>
    <t>Mar-11</t>
  </si>
  <si>
    <t>June-11</t>
  </si>
  <si>
    <t>Sept-11</t>
  </si>
  <si>
    <t>F1Q11</t>
  </si>
  <si>
    <t>F2Q11</t>
  </si>
  <si>
    <t>F3Q11</t>
  </si>
  <si>
    <t>F4Q11</t>
  </si>
  <si>
    <t>FY 2011</t>
  </si>
  <si>
    <t>Dec-11</t>
  </si>
  <si>
    <t>Mar-12</t>
  </si>
  <si>
    <t>June-12</t>
  </si>
  <si>
    <t>Sept-12</t>
  </si>
  <si>
    <t>F1Q12</t>
  </si>
  <si>
    <t>F2Q12</t>
  </si>
  <si>
    <t>F3Q12</t>
  </si>
  <si>
    <t>F4Q12</t>
  </si>
  <si>
    <t>FY 2012</t>
  </si>
  <si>
    <t>Dec-12</t>
  </si>
  <si>
    <t>Mar-13</t>
  </si>
  <si>
    <t>June-13</t>
  </si>
  <si>
    <t>F1Q13</t>
  </si>
  <si>
    <t>F2Q13</t>
  </si>
  <si>
    <t>F3Q13</t>
  </si>
  <si>
    <t>F4Q13</t>
  </si>
  <si>
    <t>Dividends per share</t>
  </si>
  <si>
    <t>Total sales by geography</t>
  </si>
  <si>
    <t>Total sales by product</t>
  </si>
  <si>
    <t>Americas net sales ($M)</t>
  </si>
  <si>
    <t>Japan net sales  ($M)</t>
  </si>
  <si>
    <t>Retail net sales  ($M)</t>
  </si>
  <si>
    <t>Other segments net sales  ($M)</t>
  </si>
  <si>
    <t>iPod units sold (thousands of units)</t>
  </si>
  <si>
    <t>iPhone units sold (thousands of units)</t>
  </si>
  <si>
    <t>iPad units sold (thousands of units)</t>
  </si>
  <si>
    <t>Rest of Asia Pacific ($M)</t>
  </si>
  <si>
    <t>iWatch units sold (thousands of units)</t>
  </si>
  <si>
    <t>Adjusted cash per share</t>
  </si>
  <si>
    <t xml:space="preserve">Net income </t>
  </si>
  <si>
    <t xml:space="preserve">Basic EPS </t>
  </si>
  <si>
    <t xml:space="preserve">Diluted EPS </t>
  </si>
  <si>
    <t>F1Q15</t>
  </si>
  <si>
    <t>Greater China sales  ($M)</t>
  </si>
  <si>
    <t>Accessories/other growth rate</t>
  </si>
  <si>
    <t>P/E 3-month high</t>
  </si>
  <si>
    <t>P/E 3-month low</t>
  </si>
  <si>
    <t>F2Q15</t>
  </si>
  <si>
    <t>F3Q15</t>
  </si>
  <si>
    <t>F4Q15</t>
  </si>
  <si>
    <t>FY 2017E</t>
  </si>
  <si>
    <t>FY 2018E</t>
  </si>
  <si>
    <t>P/E 3-month average (a)</t>
  </si>
  <si>
    <t>(a) Multiples are calculated excluding the value of net cash and are based on the 3-month average daily share price compared to the consensus EPS estimates for the next twelve month period. For Apple, we adjust the net cash per share to approximate the tax implications of repatriating cash balances that are held in foreign countries.</t>
  </si>
  <si>
    <t>Implied P/E 12-month target value</t>
  </si>
  <si>
    <t>Total operating expenses</t>
  </si>
  <si>
    <t>Change in basic shares  (excluding repurchases)</t>
  </si>
  <si>
    <t>Change in diluted shares  (excluding repurchases)</t>
  </si>
  <si>
    <t>FY 2015</t>
  </si>
  <si>
    <t>F1Q16</t>
  </si>
  <si>
    <t>Europe net sales  ($M)</t>
  </si>
  <si>
    <t>By obtaining this model you are deemed to have read and agreed to our Terms of Use. Visit our website for details: https://www.gutenbergresearch.com/terms-of-use.html</t>
  </si>
  <si>
    <t>GR</t>
  </si>
  <si>
    <t>F2Q16</t>
  </si>
  <si>
    <t>F3Q16</t>
  </si>
  <si>
    <t>Sales by Geography</t>
  </si>
  <si>
    <t>Estimates by Product - iPhone</t>
  </si>
  <si>
    <t>Estimates by Product - iPad</t>
  </si>
  <si>
    <t>iPhone and related products and service revenue ($M)</t>
  </si>
  <si>
    <t>iPad and related products and services revenue ($M)</t>
  </si>
  <si>
    <t>iPod revenue ($M)</t>
  </si>
  <si>
    <t>iWatch revenue ($M)</t>
  </si>
  <si>
    <t>Other music related products &amp; services revenue ($M)</t>
  </si>
  <si>
    <t>Peripherals and other hardware revenue ($M)</t>
  </si>
  <si>
    <t>Software, services and other sales revenue ($M)</t>
  </si>
  <si>
    <t>iPhone Average Selling Price (in dollars)</t>
  </si>
  <si>
    <t>iPad Average Selling Price (in dollars)</t>
  </si>
  <si>
    <t>Estimates by Product - iPod</t>
  </si>
  <si>
    <t>Total Mac revenue ($M)</t>
  </si>
  <si>
    <t>iPod Average Selling Price (in dollars)</t>
  </si>
  <si>
    <t>iWatch Average Selling Price (in dollars)</t>
  </si>
  <si>
    <t>Estimates by Product - iWatch (refer to comment)</t>
  </si>
  <si>
    <t>Ratio Analysis</t>
  </si>
  <si>
    <t>Services revenue ($M)</t>
  </si>
  <si>
    <t>Shares repurchased (in millions)</t>
  </si>
  <si>
    <t>F4Q16</t>
  </si>
  <si>
    <t>FY 2016</t>
  </si>
  <si>
    <t>F1Q17</t>
  </si>
  <si>
    <t>iPad</t>
  </si>
  <si>
    <t>iWatch</t>
  </si>
  <si>
    <t>iWatch launched April-2014</t>
  </si>
  <si>
    <t>Apple AirPods</t>
  </si>
  <si>
    <t>MacBook Pro</t>
  </si>
  <si>
    <t>iMac</t>
  </si>
  <si>
    <t>iMac launched Oct-2009 ($1199, $1499, $1699, $1999)</t>
  </si>
  <si>
    <t>MacBook Air</t>
  </si>
  <si>
    <t>MacBook</t>
  </si>
  <si>
    <t>iPod Touch</t>
  </si>
  <si>
    <t>iPod Classic</t>
  </si>
  <si>
    <t>iPod Shuffle</t>
  </si>
  <si>
    <t>iPod Nano</t>
  </si>
  <si>
    <t xml:space="preserve">3rd Gen Launched Sept-2010 ($299 &amp; $399). </t>
  </si>
  <si>
    <t>5th Gen Launched Sept-2009 ($149 &amp; $179).</t>
  </si>
  <si>
    <t>Refresh Oct-2010 ($999, $1199, $1299 &amp; $1599)</t>
  </si>
  <si>
    <t>4th Gen launched Sept-2010 ($229, $299, &amp; $399)</t>
  </si>
  <si>
    <t>4th Gen launched Sept-2010 ($49)</t>
  </si>
  <si>
    <t>6th Gen launch Sept-2010 ($149 &amp; $179)</t>
  </si>
  <si>
    <t>Mac Pro</t>
  </si>
  <si>
    <t>Refresh July-2010 ($2499 &amp; $3499)</t>
  </si>
  <si>
    <t>Mac Mini &amp; Mini Server</t>
  </si>
  <si>
    <t xml:space="preserve">Refresh June 2010  ($699, $999) </t>
  </si>
  <si>
    <t>iPhone 3</t>
  </si>
  <si>
    <t>iPhone 4</t>
  </si>
  <si>
    <t>3GS launched June-2009 ($599 &amp; $699)</t>
  </si>
  <si>
    <t>iPhone 4 launched June-2010 ($599 &amp; $699)</t>
  </si>
  <si>
    <t>Refresh Oct-2009 ($999)</t>
  </si>
  <si>
    <t>Refresh May-2010 ($999)</t>
  </si>
  <si>
    <t>Refresh April-2010 ($1199, $1799, $1999, $2199, $2299)</t>
  </si>
  <si>
    <t>iPad launched January-2010 ($499, $599, $699 3G wifi +$130)</t>
  </si>
  <si>
    <t>Refresh May-2011 ($1199, $1499, $1699, $1999)</t>
  </si>
  <si>
    <t>Refresh June-2011 ($999, $1199, $1399, &amp; $1599)</t>
  </si>
  <si>
    <t>Refresh July 2011 ($599, $799, $999)</t>
  </si>
  <si>
    <t>iPhone 4S launched Oct-2011 ($649, $749, &amp; $849)</t>
  </si>
  <si>
    <t>Refresh Oct-2011</t>
  </si>
  <si>
    <t>Refresh Feb-2011 ($1199, $1499, $1799, $2199, $2499)</t>
  </si>
  <si>
    <t>iPad 2</t>
  </si>
  <si>
    <t>iPad 2nd Gen launched March 2011 ($499, $599, $699)</t>
  </si>
  <si>
    <t>iPad 3</t>
  </si>
  <si>
    <t>iPad 3rd Gen launched March-2012 ($499, $599, $699)</t>
  </si>
  <si>
    <t>Refresh June-2012 ($999, $1099, $1199, $1499)</t>
  </si>
  <si>
    <t>Refresh inc 3rd Gen Retina launch June-2012 ($1199, $1499, $1799, $2199, $2799)</t>
  </si>
  <si>
    <t>Refresh July-2012 ($2499, $3499)</t>
  </si>
  <si>
    <t>iPhone 5</t>
  </si>
  <si>
    <t>iPhone 5 launched Sept-2012 ($649, $749, $849)</t>
  </si>
  <si>
    <t>iPod Nano 7th Gen Launched Sept-2012 ($149)</t>
  </si>
  <si>
    <t>iPod Touch 5th Gen Launched Sept-2012 ($299, $399)</t>
  </si>
  <si>
    <t>iPad 4</t>
  </si>
  <si>
    <t>iPad 4th Gen launched Oct-2012 ($499, $599, $699 + $130 for LTE)</t>
  </si>
  <si>
    <t>iPad Mini launched Oct-2012 ($329, $429, $529, + $130 for LTE</t>
  </si>
  <si>
    <t>iPhone 5C launched Sept-2013 ($549, $649)</t>
  </si>
  <si>
    <t xml:space="preserve">iPhone 5C </t>
  </si>
  <si>
    <t>iPhone 5S</t>
  </si>
  <si>
    <t>iPhone 5S launched Sept-2013 ($649, $749, $849)</t>
  </si>
  <si>
    <t>iPad Air</t>
  </si>
  <si>
    <t>iPad Air launched Oct-2013 ($499, $599, $699, $799 + $130 for LTE)</t>
  </si>
  <si>
    <t>iPad Mini</t>
  </si>
  <si>
    <t>Refresh Oct-2013 ($1299, $1499, $1799, $1999, $2599)</t>
  </si>
  <si>
    <t>Refresh July-2014 ($1499, $1799, $1999, $2499)</t>
  </si>
  <si>
    <t>iPhone 6 &amp; 6+</t>
  </si>
  <si>
    <t>iPad Mini 2 launched Oct-2013 ($399, $499, $599, $699 + $130/LTE)</t>
  </si>
  <si>
    <t>Refresh March-2015 ($1299, $1499, $1799, $1999, $2499)</t>
  </si>
  <si>
    <t>iPod Touch 6th Gen Launched July-2015 ($199, $249, $299, $399)</t>
  </si>
  <si>
    <t>Mini 3 launched Oct-2014 ($499, $599, $699 + $130/LTE)</t>
  </si>
  <si>
    <t>iPad Pro</t>
  </si>
  <si>
    <t>iPhone 5C refresh March-2014</t>
  </si>
  <si>
    <t>iPhone 7 &amp; 7+</t>
  </si>
  <si>
    <t>Refresh June-2013</t>
  </si>
  <si>
    <t>Refresh  April-2014.</t>
  </si>
  <si>
    <t>Refresh March-2015 ($999, $1199)</t>
  </si>
  <si>
    <t>MacBook ($1299, $1599)</t>
  </si>
  <si>
    <t>Refresh Dec-2012.</t>
  </si>
  <si>
    <t>Refresh Sept-2013.</t>
  </si>
  <si>
    <t>Refresh October-2014.</t>
  </si>
  <si>
    <t>iMac refresh with Retina 5k Display May-2015 ($1099, $1299, $1499, $1799, $1999, $2299)</t>
  </si>
  <si>
    <t>4th Gen w/Touchbar launched Oct-2016 ($1299, $1499, $1799, $1999, $2399, $2799)</t>
  </si>
  <si>
    <t>Refresh December-2013 ($2999, $3999)</t>
  </si>
  <si>
    <t>Mac Mini refresh Oct-2014 ($499, $699, $699).</t>
  </si>
  <si>
    <t>iPhone 6/6+ launched Sept-2014 ($649, $749, $849, $949)</t>
  </si>
  <si>
    <t>iPad Pro launched Nov-2015 ($599, $699, $799 + $130/LTE)</t>
  </si>
  <si>
    <t>iPad Air 2 launched Oct-2014 ($399, $499 + $130/LTE)</t>
  </si>
  <si>
    <t>iPad Mini 4 launched Sept-2015 ($399, $499 + $130/LTE)</t>
  </si>
  <si>
    <t>iPhone 6S/6S+ launched Sept-2015 ($649, $749, $849, $949)</t>
  </si>
  <si>
    <t>iPhone 7/7+ launched Sept-2016 ($649, $749, $849, $769, $869, $969)</t>
  </si>
  <si>
    <t>Apple TV</t>
  </si>
  <si>
    <t>Apple TV 3rd Gen Launched March-2012 ($99 dropped to $69 in March-2015)</t>
  </si>
  <si>
    <t>Apple TV 2nd Gen Launched Sept-2010 ($99)</t>
  </si>
  <si>
    <t>Apple TV 4th Gen Launched October-2015 ($149, $199)</t>
  </si>
  <si>
    <t>iWatch Series 1 &amp; 2 launched April-2015 ($269 to $1499</t>
  </si>
  <si>
    <t>Apple AirPods Launched Dec-2016 ($159)</t>
  </si>
  <si>
    <t>iPhone SE launched March-2016 ($399, $449)</t>
  </si>
  <si>
    <t>MacBook Air 2nd Gen</t>
  </si>
  <si>
    <t xml:space="preserve">Other Important Data Points </t>
  </si>
  <si>
    <t>Trade Weighted U.S. Dollar Index</t>
  </si>
  <si>
    <t>Repatriation tax estimate per share</t>
  </si>
  <si>
    <t xml:space="preserve">Net cash &amp; investments per share </t>
  </si>
  <si>
    <t>Dividend growth rate (YoY)</t>
  </si>
  <si>
    <t>Percent change in Dollar Index (YoY)</t>
  </si>
  <si>
    <t>Total other income/(expense)</t>
  </si>
  <si>
    <t>Share Count Analysis</t>
  </si>
  <si>
    <t>Segment &amp; Product Data</t>
  </si>
  <si>
    <t>iPhone unit growth rate (QoQ)</t>
  </si>
  <si>
    <t>iPhone 8</t>
  </si>
  <si>
    <t>iPad unit growth rate  (YoY)</t>
  </si>
  <si>
    <t>iPad unit growth rate  (QoQ)</t>
  </si>
  <si>
    <t>Mac unit growth rate  (YoY)</t>
  </si>
  <si>
    <t>Mac unit growth rate (QoQ)</t>
  </si>
  <si>
    <t>iPod unit growth rate (QoQ)</t>
  </si>
  <si>
    <t>iWatch unit growth rate (QoQ)</t>
  </si>
  <si>
    <t>iWatch unit growth rate  (YoY)</t>
  </si>
  <si>
    <t>Purple cells = Company guidance (updated 5/2/2017)</t>
  </si>
  <si>
    <t>F2Q17</t>
  </si>
  <si>
    <t>Services growth rate (QoQ)</t>
  </si>
  <si>
    <t>Services growth rate (YoY)</t>
  </si>
  <si>
    <t>Services Revenue</t>
  </si>
  <si>
    <t>Check: iWatch + Other Products = Reported Other Products Revenue</t>
  </si>
  <si>
    <t>Total Other Products Revenue</t>
  </si>
  <si>
    <t>Other Products revenue ($M, ex iWatch)</t>
  </si>
  <si>
    <t>iPhone unit growth rate  (YoY)</t>
  </si>
  <si>
    <t>iPhone Release Map</t>
  </si>
  <si>
    <t>iPhone 8S</t>
  </si>
  <si>
    <t>iPad Release Map</t>
  </si>
  <si>
    <t>Mac Release Map</t>
  </si>
  <si>
    <t>iPod Release Map</t>
  </si>
  <si>
    <t>Other Products Release Map</t>
  </si>
  <si>
    <t>Mean monthly return</t>
  </si>
  <si>
    <t xml:space="preserve">Standard deviation </t>
  </si>
  <si>
    <t>Implied upper bound</t>
  </si>
  <si>
    <t>Implied Lower bound</t>
  </si>
  <si>
    <t>Implied target value</t>
  </si>
  <si>
    <t>Risk Estimation Summary (g)</t>
  </si>
  <si>
    <t xml:space="preserve">Implied target price band </t>
  </si>
  <si>
    <t>Orange cells = Consensus estimates (Updated 5/30/2017)</t>
  </si>
  <si>
    <r>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
    </r>
    <r>
      <rPr>
        <b/>
        <sz val="11"/>
        <color theme="4" tint="-0.499984740745262"/>
        <rFont val="Calibri"/>
        <family val="2"/>
        <scheme val="minor"/>
      </rPr>
      <t xml:space="preserve">The mean &amp; standard deviation in this section were last updated on 5/30/2017. </t>
    </r>
  </si>
  <si>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the Terms of Use link for important details.  The Multiple valuation is kept constant at certain points during each quarter to isolate the impact from changes in earnings estimates.   </t>
    </r>
    <r>
      <rPr>
        <b/>
        <sz val="11"/>
        <color theme="3"/>
        <rFont val="Calibri"/>
        <family val="2"/>
        <scheme val="minor"/>
      </rPr>
      <t xml:space="preserve">The multiple  in this section was last updated on 5/30/2017. </t>
    </r>
  </si>
  <si>
    <t>6th Gen Launched Sept-2009 ($249, discontinued Sept-2014</t>
  </si>
  <si>
    <t>Mac Average Selling Price (in dollars)</t>
  </si>
  <si>
    <t>Estimates by Product - Mac</t>
  </si>
  <si>
    <t>Total Mac (thousands of units)</t>
  </si>
  <si>
    <t>Blue cells = Primary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</si>
</sst>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x"/>
    <numFmt numFmtId="169" formatCode="0.0_)\%;\(0.0\)\%;0.0_)\%;@_)_%"/>
    <numFmt numFmtId="170" formatCode="#,##0.0_)_%;\(#,##0.0\)_%;0.0_)_%;@_)_%"/>
    <numFmt numFmtId="171" formatCode="#,##0.0_);\(#,##0.0\);#,##0.0_);@_)"/>
    <numFmt numFmtId="172" formatCode="&quot;$&quot;_(#,##0.00_);&quot;$&quot;\(#,##0.00\);&quot;$&quot;_(0.00_);@_)"/>
    <numFmt numFmtId="173" formatCode="#,##0.00_);\(#,##0.00\);0.00_);@_)"/>
    <numFmt numFmtId="174" formatCode="\€_(#,##0.00_);\€\(#,##0.00\);\€_(0.00_);@_)"/>
    <numFmt numFmtId="175" formatCode="#,##0_)\x;\(#,##0\)\x;0_)\x;@_)_x"/>
    <numFmt numFmtId="176" formatCode="#,##0_)_x;\(#,##0\)_x;0_)_x;@_)_x"/>
    <numFmt numFmtId="177" formatCode="* #,##0.00_);\(#,##0.00\)"/>
    <numFmt numFmtId="178" formatCode="&quot;$&quot;#,##0;\-&quot;$&quot;#,##0"/>
    <numFmt numFmtId="179" formatCode="#,##0;\-#,##0;&quot;-&quot;"/>
    <numFmt numFmtId="180" formatCode="0.000000"/>
    <numFmt numFmtId="181" formatCode="_(* #,##0,,_);_(* \(#,##0,,\);_(* &quot;-&quot;_)"/>
    <numFmt numFmtId="182" formatCode="_(* #,##0_);[Red]_(* \(#,##0\);_(* &quot;&quot;&quot;&quot;&quot;&quot;&quot;&quot;\ \-\ &quot;&quot;&quot;&quot;&quot;&quot;&quot;&quot;_);_(@_)"/>
    <numFmt numFmtId="183" formatCode="&quot;£&quot;#,##0;[Red]\-&quot;£&quot;#,##0"/>
    <numFmt numFmtId="184" formatCode="_(* #,##0,_);[Red]_(* \(#,##0,\);_(* &quot;&quot;&quot;&quot;&quot;&quot;&quot;&quot;\ \-\ &quot;&quot;&quot;&quot;&quot;&quot;&quot;&quot;_);_(@_)"/>
    <numFmt numFmtId="185" formatCode="0.00_);[Red]\(0.00\)"/>
    <numFmt numFmtId="186" formatCode="0%;\(0%\);;"/>
    <numFmt numFmtId="187" formatCode="&quot;£&quot;#,##0.00;[Red]\-&quot;£&quot;#,##0.00"/>
    <numFmt numFmtId="188" formatCode="_(* #,##0.000_);_(* \(#,##0.000\);_(* &quot;-&quot;_);_(@_)"/>
    <numFmt numFmtId="189" formatCode="0%;\(0%\);&quot;-&quot;"/>
    <numFmt numFmtId="190" formatCode="_-&quot;£&quot;* #,##0_-;\-&quot;£&quot;* #,##0_-;_-&quot;£&quot;* &quot;-&quot;_-;_-@_-"/>
    <numFmt numFmtId="191" formatCode="_(&quot;$&quot;* #,##0,_);_(&quot;$&quot;* \(#,##0,\);_(&quot;$&quot;* &quot;-&quot;_);_(@_)"/>
    <numFmt numFmtId="192" formatCode="#,##0\ ;\(#,##0.0\)"/>
    <numFmt numFmtId="193" formatCode="0.0"/>
    <numFmt numFmtId="194" formatCode="#,##0.00;\-#,##0.00;&quot;-&quot;"/>
    <numFmt numFmtId="195" formatCode="_._.* \(#,##0\)_%;_._.* #,##0_)_%;_._.* 0_)_%;_._.@_)_%"/>
    <numFmt numFmtId="196" formatCode="_._.&quot;$&quot;* \(#,##0\)_%;_._.&quot;$&quot;* #,##0_)_%;_._.&quot;$&quot;* 0_)_%;_._.@_)_%"/>
    <numFmt numFmtId="197" formatCode="&quot;$&quot;0.00_)"/>
    <numFmt numFmtId="198" formatCode="&quot;SFr.&quot;\ #,##0.00;&quot;SFr.&quot;\ \-#,##0.00"/>
    <numFmt numFmtId="199" formatCode="#,##0;\(#,##0\)"/>
    <numFmt numFmtId="200" formatCode="_([$€-2]* #,##0.00_);_([$€-2]* \(#,##0.00\);_([$€-2]* &quot;-&quot;??_)"/>
    <numFmt numFmtId="201" formatCode="_-* #,##0\ _D_M_-;\-* #,##0\ _D_M_-;_-* &quot;-&quot;\ _D_M_-;_-@_-"/>
    <numFmt numFmtId="202" formatCode="_-* #,##0.00\ _D_M_-;\-* #,##0.00\ _D_M_-;_-* &quot;-&quot;??\ _D_M_-;_-@_-"/>
    <numFmt numFmtId="203" formatCode="_-* #,##0\ &quot;DM&quot;_-;\-* #,##0\ &quot;DM&quot;_-;_-* &quot;-&quot;\ &quot;DM&quot;_-;_-@_-"/>
    <numFmt numFmtId="204" formatCode="_-* #,##0.00\ &quot;DM&quot;_-;\-* #,##0.00\ &quot;DM&quot;_-;_-* &quot;-&quot;??\ &quot;DM&quot;_-;_-@_-"/>
    <numFmt numFmtId="205" formatCode="#,##0.0_);\(#,##0.0\)"/>
    <numFmt numFmtId="206" formatCode="#,##0.0\ ;\(#,##0.0\)"/>
    <numFmt numFmtId="207" formatCode="0%;\(0%\)"/>
    <numFmt numFmtId="208" formatCode="&quot;SFr.&quot;#,##0;[Red]&quot;SFr.&quot;\-#,##0"/>
    <numFmt numFmtId="209" formatCode="#,##0.0000000000;\-#,##0.0000000000"/>
    <numFmt numFmtId="210" formatCode="#,##0.0;\-#,##0.0"/>
    <numFmt numFmtId="211" formatCode="#,##0.000;\-#,##0.000"/>
    <numFmt numFmtId="212" formatCode="#,##0.0000;\-#,##0.0000"/>
    <numFmt numFmtId="213" formatCode="#,##0.00000;\-#,##0.00000"/>
    <numFmt numFmtId="214" formatCode="#,##0.000000;\-#,##0.000000"/>
    <numFmt numFmtId="215" formatCode="#,##0.0000000;\-#,##0.0000000"/>
    <numFmt numFmtId="216" formatCode="#,##0.00000000;\-#,##0.00000000"/>
    <numFmt numFmtId="217" formatCode="#,##0.000000000;\-#,##0.000000000"/>
    <numFmt numFmtId="218" formatCode="#,##0___);\(#,##0.00\)"/>
    <numFmt numFmtId="219" formatCode="#,##0&quot;%&quot;"/>
    <numFmt numFmtId="220" formatCode="#,##0_);[Red]\(#,##0\);&quot;-&quot;"/>
    <numFmt numFmtId="221" formatCode="_-&quot;£&quot;* #,##0.00_-;\-&quot;£&quot;* #,##0.00_-;_-&quot;£&quot;* &quot;-&quot;??_-;_-@_-"/>
    <numFmt numFmtId="222" formatCode="*-"/>
    <numFmt numFmtId="223" formatCode="#,##0;[Red]\(#,##0\)"/>
    <numFmt numFmtId="224" formatCode="_-&quot;$&quot;* #,##0_-;\-&quot;$&quot;* #,##0_-;_-&quot;$&quot;* &quot;-&quot;_-;_-@_-"/>
    <numFmt numFmtId="225" formatCode="_-&quot;$&quot;* #,##0.00_-;\-&quot;$&quot;* #,##0.00_-;_-&quot;$&quot;* &quot;-&quot;??_-;_-@_-"/>
    <numFmt numFmtId="226" formatCode="0\x"/>
  </numFmts>
  <fonts count="74"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b/>
      <sz val="11"/>
      <color theme="9" tint="-0.499984740745262"/>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sz val="11"/>
      <color theme="1" tint="0.14999847407452621"/>
      <name val="Calibri"/>
      <family val="2"/>
      <scheme val="minor"/>
    </font>
    <font>
      <b/>
      <u val="singleAccounting"/>
      <sz val="11"/>
      <color theme="1" tint="0.14999847407452621"/>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1"/>
      <color theme="2"/>
      <name val="Calibri"/>
      <family val="2"/>
      <scheme val="minor"/>
    </font>
    <font>
      <i/>
      <sz val="11"/>
      <color rgb="FFFF0000"/>
      <name val="Calibri"/>
      <family val="2"/>
      <scheme val="minor"/>
    </font>
    <font>
      <b/>
      <sz val="11"/>
      <color theme="4" tint="-0.499984740745262"/>
      <name val="Calibri"/>
      <family val="2"/>
      <scheme val="minor"/>
    </font>
  </fonts>
  <fills count="3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499984740745262"/>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lignment vertical="top"/>
    </xf>
    <xf numFmtId="0" fontId="15" fillId="0" borderId="0"/>
    <xf numFmtId="43" fontId="15"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4" borderId="0" applyNumberFormat="0" applyFont="0" applyAlignment="0" applyProtection="0"/>
    <xf numFmtId="175" fontId="10" fillId="0" borderId="0" applyFont="0" applyFill="0" applyBorder="0" applyAlignment="0" applyProtection="0"/>
    <xf numFmtId="176" fontId="10" fillId="0" borderId="0" applyFont="0" applyFill="0" applyBorder="0" applyProtection="0">
      <alignment horizontal="right"/>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3" fillId="0" borderId="15" applyNumberFormat="0" applyFill="0" applyAlignment="0" applyProtection="0"/>
    <xf numFmtId="0" fontId="24" fillId="0" borderId="16" applyNumberFormat="0" applyFill="0" applyProtection="0">
      <alignment horizontal="center"/>
    </xf>
    <xf numFmtId="0" fontId="24" fillId="0" borderId="0" applyNumberFormat="0" applyFill="0" applyBorder="0" applyProtection="0">
      <alignment horizontal="left"/>
    </xf>
    <xf numFmtId="0" fontId="25" fillId="0" borderId="0" applyNumberFormat="0" applyFill="0" applyBorder="0" applyProtection="0">
      <alignment horizontal="centerContinuous"/>
    </xf>
    <xf numFmtId="0" fontId="26" fillId="0" borderId="0" applyNumberFormat="0" applyFill="0" applyBorder="0" applyAlignment="0" applyProtection="0"/>
    <xf numFmtId="0" fontId="27" fillId="0" borderId="0"/>
    <xf numFmtId="177" fontId="28" fillId="0" borderId="0">
      <alignment horizontal="center"/>
    </xf>
    <xf numFmtId="37" fontId="29" fillId="0" borderId="0"/>
    <xf numFmtId="37" fontId="30" fillId="0" borderId="0"/>
    <xf numFmtId="178" fontId="31"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31"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31"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31"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31" fillId="0" borderId="2" applyAlignment="0" applyProtection="0"/>
    <xf numFmtId="178" fontId="31" fillId="0" borderId="2" applyAlignment="0" applyProtection="0"/>
    <xf numFmtId="178" fontId="31" fillId="0" borderId="2" applyAlignment="0" applyProtection="0"/>
    <xf numFmtId="178" fontId="31" fillId="0" borderId="2" applyAlignment="0" applyProtection="0"/>
    <xf numFmtId="178" fontId="1" fillId="0" borderId="0" applyAlignment="0" applyProtection="0"/>
    <xf numFmtId="179" fontId="32" fillId="0" borderId="0" applyFill="0" applyBorder="0" applyAlignment="0"/>
    <xf numFmtId="180" fontId="10" fillId="0" borderId="0" applyFill="0" applyBorder="0" applyAlignment="0"/>
    <xf numFmtId="181" fontId="10" fillId="0" borderId="0" applyFill="0" applyBorder="0" applyAlignment="0"/>
    <xf numFmtId="164" fontId="10" fillId="0" borderId="0" applyFill="0" applyBorder="0" applyAlignment="0"/>
    <xf numFmtId="182" fontId="10" fillId="0" borderId="0" applyFill="0" applyBorder="0" applyAlignment="0"/>
    <xf numFmtId="183" fontId="10" fillId="0" borderId="0" applyFill="0" applyBorder="0" applyAlignment="0"/>
    <xf numFmtId="184" fontId="10" fillId="0" borderId="0" applyFill="0" applyBorder="0" applyAlignment="0"/>
    <xf numFmtId="185" fontId="10" fillId="0" borderId="0" applyFill="0" applyBorder="0" applyAlignment="0"/>
    <xf numFmtId="186" fontId="10" fillId="0" borderId="0" applyFill="0" applyBorder="0" applyAlignment="0"/>
    <xf numFmtId="187" fontId="10" fillId="0" borderId="0" applyFill="0" applyBorder="0" applyAlignment="0"/>
    <xf numFmtId="179" fontId="32"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0" fontId="33" fillId="0" borderId="0" applyFill="0" applyBorder="0" applyProtection="0">
      <alignment horizontal="center"/>
      <protection locked="0"/>
    </xf>
    <xf numFmtId="0" fontId="34"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2" fontId="34" fillId="0" borderId="7"/>
    <xf numFmtId="193" fontId="1" fillId="0" borderId="0"/>
    <xf numFmtId="0" fontId="27" fillId="0" borderId="7"/>
    <xf numFmtId="193" fontId="1" fillId="0" borderId="0"/>
    <xf numFmtId="179" fontId="10" fillId="0" borderId="0" applyFont="0" applyFill="0" applyBorder="0" applyAlignment="0" applyProtection="0"/>
    <xf numFmtId="188" fontId="10" fillId="0" borderId="0" applyFont="0" applyFill="0" applyBorder="0" applyAlignment="0" applyProtection="0"/>
    <xf numFmtId="43" fontId="10" fillId="0" borderId="0" applyFont="0" applyFill="0" applyBorder="0" applyAlignment="0" applyProtection="0">
      <alignment wrapText="1"/>
    </xf>
    <xf numFmtId="43" fontId="1" fillId="0" borderId="0" applyFont="0" applyFill="0" applyBorder="0" applyAlignment="0" applyProtection="0"/>
    <xf numFmtId="43" fontId="10" fillId="0" borderId="0" applyFont="0" applyFill="0" applyBorder="0" applyAlignment="0" applyProtection="0">
      <alignment wrapText="1"/>
    </xf>
    <xf numFmtId="43" fontId="10" fillId="0" borderId="0" applyFont="0" applyFill="0" applyBorder="0" applyAlignment="0" applyProtection="0">
      <alignment wrapText="1"/>
    </xf>
    <xf numFmtId="43" fontId="10"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35" fillId="0" borderId="0" applyFont="0" applyFill="0" applyBorder="0" applyAlignment="0" applyProtection="0"/>
    <xf numFmtId="4" fontId="1" fillId="0" borderId="0" applyFont="0" applyFill="0" applyBorder="0" applyAlignment="0" applyProtection="0"/>
    <xf numFmtId="4" fontId="27"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4" fontId="10" fillId="0" borderId="0">
      <alignment horizontal="center"/>
    </xf>
    <xf numFmtId="195" fontId="38" fillId="0" borderId="0" applyFill="0" applyBorder="0" applyProtection="0"/>
    <xf numFmtId="196" fontId="39" fillId="0" borderId="0" applyFont="0" applyFill="0" applyBorder="0" applyAlignment="0" applyProtection="0"/>
    <xf numFmtId="197" fontId="40" fillId="0" borderId="17">
      <protection hidden="1"/>
    </xf>
    <xf numFmtId="181" fontId="10" fillId="0" borderId="0" applyFont="0" applyFill="0" applyBorder="0" applyAlignment="0" applyProtection="0"/>
    <xf numFmtId="164" fontId="10" fillId="0" borderId="0" applyFont="0" applyFill="0" applyBorder="0" applyAlignment="0" applyProtection="0"/>
    <xf numFmtId="8" fontId="1" fillId="0" borderId="0" applyFont="0" applyFill="0" applyBorder="0" applyAlignment="0" applyProtection="0"/>
    <xf numFmtId="44" fontId="10" fillId="0" borderId="0" applyFont="0" applyFill="0" applyBorder="0" applyAlignment="0" applyProtection="0"/>
    <xf numFmtId="0" fontId="36" fillId="0" borderId="0" applyNumberFormat="0" applyFill="0" applyBorder="0" applyAlignment="0" applyProtection="0"/>
    <xf numFmtId="1" fontId="28" fillId="0" borderId="0"/>
    <xf numFmtId="14" fontId="41" fillId="0" borderId="0">
      <alignment horizontal="center"/>
    </xf>
    <xf numFmtId="14" fontId="32" fillId="0" borderId="0" applyFill="0" applyBorder="0" applyAlignment="0"/>
    <xf numFmtId="15" fontId="42" fillId="5" borderId="0" applyNumberFormat="0" applyFont="0" applyFill="0" applyBorder="0" applyAlignment="0">
      <alignment horizontal="center" wrapText="1"/>
    </xf>
    <xf numFmtId="0" fontId="32" fillId="0" borderId="14" applyNumberFormat="0" applyFill="0" applyBorder="0" applyAlignment="0" applyProtection="0"/>
    <xf numFmtId="198" fontId="34" fillId="0" borderId="0" applyFont="0" applyFill="0" applyBorder="0" applyAlignment="0" applyProtection="0"/>
    <xf numFmtId="199" fontId="39" fillId="0" borderId="0" applyFont="0" applyFill="0" applyBorder="0" applyAlignment="0" applyProtection="0"/>
    <xf numFmtId="179" fontId="43" fillId="0" borderId="0" applyFill="0" applyBorder="0" applyAlignment="0"/>
    <xf numFmtId="188" fontId="10" fillId="0" borderId="0" applyFill="0" applyBorder="0" applyAlignment="0"/>
    <xf numFmtId="181" fontId="10" fillId="0" borderId="0" applyFill="0" applyBorder="0" applyAlignment="0"/>
    <xf numFmtId="164" fontId="10" fillId="0" borderId="0" applyFill="0" applyBorder="0" applyAlignment="0"/>
    <xf numFmtId="179" fontId="43"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197" fontId="40" fillId="0" borderId="17">
      <protection hidden="1"/>
    </xf>
    <xf numFmtId="200" fontId="10" fillId="0" borderId="0" applyFont="0" applyFill="0" applyBorder="0" applyAlignment="0" applyProtection="0"/>
    <xf numFmtId="38" fontId="44" fillId="5" borderId="0" applyNumberFormat="0" applyBorder="0" applyAlignment="0" applyProtection="0"/>
    <xf numFmtId="0" fontId="45" fillId="0" borderId="18"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46" fillId="6" borderId="17">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4" fillId="7" borderId="14" applyNumberFormat="0" applyBorder="0" applyAlignment="0" applyProtection="0"/>
    <xf numFmtId="179" fontId="50" fillId="0" borderId="0" applyFill="0" applyBorder="0" applyAlignment="0"/>
    <xf numFmtId="188" fontId="10" fillId="0" borderId="0" applyFill="0" applyBorder="0" applyAlignment="0"/>
    <xf numFmtId="181" fontId="10" fillId="0" borderId="0" applyFill="0" applyBorder="0" applyAlignment="0"/>
    <xf numFmtId="164" fontId="10" fillId="0" borderId="0" applyFill="0" applyBorder="0" applyAlignment="0"/>
    <xf numFmtId="179" fontId="50"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201" fontId="10" fillId="0" borderId="0" applyFont="0" applyFill="0" applyBorder="0" applyAlignment="0" applyProtection="0"/>
    <xf numFmtId="202" fontId="10" fillId="0" borderId="0" applyFon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205" fontId="28" fillId="0" borderId="7"/>
    <xf numFmtId="37" fontId="52" fillId="0" borderId="0"/>
    <xf numFmtId="206" fontId="34" fillId="0" borderId="0"/>
    <xf numFmtId="206" fontId="1" fillId="0" borderId="0"/>
    <xf numFmtId="207" fontId="10" fillId="0" borderId="0"/>
    <xf numFmtId="208" fontId="10" fillId="0" borderId="0"/>
    <xf numFmtId="0" fontId="53" fillId="0" borderId="0"/>
    <xf numFmtId="0" fontId="53" fillId="0" borderId="0"/>
    <xf numFmtId="0" fontId="53" fillId="0" borderId="0"/>
    <xf numFmtId="0" fontId="53" fillId="0" borderId="0"/>
    <xf numFmtId="0" fontId="10" fillId="0" borderId="0"/>
    <xf numFmtId="0" fontId="10" fillId="0" borderId="0"/>
    <xf numFmtId="0" fontId="1" fillId="0" borderId="0"/>
    <xf numFmtId="0" fontId="10" fillId="0" borderId="0"/>
    <xf numFmtId="0" fontId="10" fillId="0" borderId="0">
      <alignment wrapText="1"/>
    </xf>
    <xf numFmtId="0" fontId="10" fillId="0" borderId="0"/>
    <xf numFmtId="0" fontId="54" fillId="0" borderId="0"/>
    <xf numFmtId="0" fontId="10" fillId="0" borderId="0"/>
    <xf numFmtId="0" fontId="10" fillId="0" borderId="0"/>
    <xf numFmtId="37" fontId="55" fillId="0" borderId="0"/>
    <xf numFmtId="0" fontId="1" fillId="0" borderId="0"/>
    <xf numFmtId="0" fontId="1" fillId="0" borderId="0"/>
    <xf numFmtId="0" fontId="10" fillId="0" borderId="0">
      <alignment wrapText="1"/>
    </xf>
    <xf numFmtId="0" fontId="10" fillId="0" borderId="0"/>
    <xf numFmtId="37" fontId="55" fillId="0" borderId="0"/>
    <xf numFmtId="0" fontId="10" fillId="0" borderId="0"/>
    <xf numFmtId="37" fontId="55" fillId="0" borderId="0"/>
    <xf numFmtId="0" fontId="1" fillId="0" borderId="0"/>
    <xf numFmtId="0" fontId="35" fillId="0" borderId="0"/>
    <xf numFmtId="37" fontId="1" fillId="0" borderId="0"/>
    <xf numFmtId="0" fontId="1" fillId="0" borderId="0"/>
    <xf numFmtId="37" fontId="1" fillId="0" borderId="0"/>
    <xf numFmtId="0" fontId="10" fillId="0" borderId="0">
      <alignment wrapText="1"/>
    </xf>
    <xf numFmtId="37" fontId="56" fillId="0" borderId="0"/>
    <xf numFmtId="0" fontId="10" fillId="0" borderId="0"/>
    <xf numFmtId="37" fontId="10" fillId="0" borderId="0"/>
    <xf numFmtId="37" fontId="10" fillId="0" borderId="0"/>
    <xf numFmtId="209" fontId="10" fillId="0" borderId="0"/>
    <xf numFmtId="210" fontId="10" fillId="0" borderId="0"/>
    <xf numFmtId="39" fontId="10" fillId="0" borderId="0"/>
    <xf numFmtId="39" fontId="10" fillId="0" borderId="0"/>
    <xf numFmtId="211" fontId="10" fillId="0" borderId="0"/>
    <xf numFmtId="212" fontId="10" fillId="0" borderId="0"/>
    <xf numFmtId="213" fontId="10" fillId="0" borderId="0"/>
    <xf numFmtId="214" fontId="10" fillId="0" borderId="0"/>
    <xf numFmtId="215" fontId="10" fillId="0" borderId="0"/>
    <xf numFmtId="216" fontId="10" fillId="0" borderId="0"/>
    <xf numFmtId="217" fontId="10" fillId="0" borderId="0"/>
    <xf numFmtId="218" fontId="51" fillId="0" borderId="0"/>
    <xf numFmtId="219" fontId="40" fillId="0" borderId="0">
      <protection hidden="1"/>
    </xf>
    <xf numFmtId="186" fontId="10" fillId="0" borderId="0" applyFont="0" applyFill="0" applyBorder="0" applyAlignment="0" applyProtection="0"/>
    <xf numFmtId="187" fontId="10" fillId="0" borderId="0" applyFont="0" applyFill="0" applyBorder="0" applyAlignment="0" applyProtection="0"/>
    <xf numFmtId="207" fontId="10" fillId="0" borderId="0" applyFont="0" applyFill="0" applyBorder="0" applyAlignment="0" applyProtection="0"/>
    <xf numFmtId="208" fontId="10" fillId="0" borderId="0" applyFont="0" applyFill="0" applyBorder="0" applyAlignment="0" applyProtection="0"/>
    <xf numFmtId="10" fontId="10" fillId="0" borderId="0" applyFont="0" applyFill="0" applyBorder="0" applyAlignment="0" applyProtection="0"/>
    <xf numFmtId="9" fontId="57"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1" fillId="0" borderId="19" applyNumberFormat="0" applyBorder="0"/>
    <xf numFmtId="205" fontId="28" fillId="0" borderId="0"/>
    <xf numFmtId="0" fontId="58" fillId="8" borderId="20" applyNumberFormat="0" applyFont="0" applyFill="0" applyAlignment="0">
      <alignment horizontal="center" vertical="center"/>
    </xf>
    <xf numFmtId="179" fontId="59" fillId="0" borderId="0" applyFill="0" applyBorder="0" applyAlignment="0"/>
    <xf numFmtId="188" fontId="10" fillId="0" borderId="0" applyFill="0" applyBorder="0" applyAlignment="0"/>
    <xf numFmtId="181" fontId="10" fillId="0" borderId="0" applyFill="0" applyBorder="0" applyAlignment="0"/>
    <xf numFmtId="164" fontId="10" fillId="0" borderId="0" applyFill="0" applyBorder="0" applyAlignment="0"/>
    <xf numFmtId="179" fontId="59"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37" fontId="55" fillId="0" borderId="21"/>
    <xf numFmtId="0" fontId="60" fillId="0" borderId="0"/>
    <xf numFmtId="0" fontId="34" fillId="0" borderId="0"/>
    <xf numFmtId="0" fontId="51" fillId="0" borderId="0"/>
    <xf numFmtId="37" fontId="61" fillId="0" borderId="17">
      <alignment horizontal="right"/>
      <protection locked="0"/>
    </xf>
    <xf numFmtId="37" fontId="62" fillId="0" borderId="17">
      <alignment horizontal="right"/>
      <protection locked="0"/>
    </xf>
    <xf numFmtId="49" fontId="32" fillId="0" borderId="0" applyFill="0" applyBorder="0" applyAlignment="0"/>
    <xf numFmtId="220" fontId="10" fillId="0" borderId="0" applyFill="0" applyBorder="0" applyAlignment="0"/>
    <xf numFmtId="221" fontId="10" fillId="0" borderId="0" applyFill="0" applyBorder="0" applyAlignment="0"/>
    <xf numFmtId="222" fontId="10" fillId="0" borderId="0" applyFill="0" applyBorder="0" applyAlignment="0"/>
    <xf numFmtId="223" fontId="10" fillId="0" borderId="0" applyFill="0" applyBorder="0" applyAlignment="0"/>
    <xf numFmtId="49" fontId="10" fillId="0" borderId="0"/>
    <xf numFmtId="0" fontId="63" fillId="0" borderId="0" applyFill="0" applyBorder="0" applyProtection="0">
      <alignment horizontal="left" vertical="top"/>
    </xf>
    <xf numFmtId="40" fontId="64"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55" fillId="0" borderId="7"/>
    <xf numFmtId="37" fontId="55" fillId="0" borderId="22"/>
    <xf numFmtId="224" fontId="10" fillId="0" borderId="0" applyFont="0" applyFill="0" applyBorder="0" applyAlignment="0" applyProtection="0"/>
    <xf numFmtId="225" fontId="10" fillId="0" borderId="0" applyFont="0" applyFill="0" applyBorder="0" applyAlignment="0" applyProtection="0"/>
    <xf numFmtId="0" fontId="10" fillId="0" borderId="0"/>
    <xf numFmtId="0" fontId="10" fillId="0" borderId="0"/>
    <xf numFmtId="0" fontId="69" fillId="0" borderId="0" applyNumberFormat="0" applyFill="0" applyBorder="0" applyAlignment="0" applyProtection="0"/>
  </cellStyleXfs>
  <cellXfs count="426">
    <xf numFmtId="0" fontId="0" fillId="0" borderId="0" xfId="0"/>
    <xf numFmtId="164" fontId="0" fillId="0" borderId="0" xfId="1" applyNumberFormat="1" applyFont="1" applyAlignment="1">
      <alignment horizontal="right"/>
    </xf>
    <xf numFmtId="165" fontId="0" fillId="0" borderId="5" xfId="1" applyNumberFormat="1" applyFont="1" applyBorder="1" applyAlignment="1">
      <alignment horizontal="right"/>
    </xf>
    <xf numFmtId="165" fontId="0" fillId="0" borderId="0" xfId="1" applyNumberFormat="1" applyFont="1" applyBorder="1" applyAlignment="1">
      <alignment horizontal="right"/>
    </xf>
    <xf numFmtId="0" fontId="0" fillId="0" borderId="0" xfId="0" applyAlignment="1">
      <alignment horizontal="right"/>
    </xf>
    <xf numFmtId="165" fontId="4" fillId="0" borderId="5" xfId="1" applyNumberFormat="1" applyFont="1" applyBorder="1" applyAlignment="1">
      <alignment horizontal="right"/>
    </xf>
    <xf numFmtId="165" fontId="4" fillId="0" borderId="0" xfId="1" applyNumberFormat="1" applyFont="1" applyBorder="1" applyAlignment="1">
      <alignment horizontal="right"/>
    </xf>
    <xf numFmtId="165" fontId="2" fillId="0" borderId="5" xfId="1" applyNumberFormat="1" applyFont="1" applyBorder="1" applyAlignment="1">
      <alignment horizontal="right"/>
    </xf>
    <xf numFmtId="165" fontId="2" fillId="0" borderId="0" xfId="1" applyNumberFormat="1" applyFont="1" applyBorder="1" applyAlignment="1">
      <alignment horizontal="right"/>
    </xf>
    <xf numFmtId="0" fontId="0" fillId="0" borderId="3" xfId="0" applyFont="1" applyBorder="1"/>
    <xf numFmtId="165" fontId="1" fillId="0" borderId="5" xfId="1" applyNumberFormat="1" applyFont="1" applyBorder="1" applyAlignment="1">
      <alignment horizontal="right"/>
    </xf>
    <xf numFmtId="165" fontId="2" fillId="0" borderId="3" xfId="1" applyNumberFormat="1" applyFont="1" applyBorder="1" applyAlignment="1">
      <alignment horizontal="right"/>
    </xf>
    <xf numFmtId="165" fontId="2" fillId="0" borderId="4" xfId="1" applyNumberFormat="1" applyFont="1" applyBorder="1" applyAlignment="1">
      <alignment horizontal="right"/>
    </xf>
    <xf numFmtId="9" fontId="0" fillId="0" borderId="5" xfId="2" applyFont="1" applyBorder="1" applyAlignment="1">
      <alignment horizontal="right"/>
    </xf>
    <xf numFmtId="43" fontId="2" fillId="0" borderId="0" xfId="1" applyNumberFormat="1" applyFont="1" applyFill="1" applyBorder="1" applyAlignment="1">
      <alignment horizontal="right"/>
    </xf>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8" fillId="0" borderId="5" xfId="2" applyFont="1" applyBorder="1" applyAlignment="1">
      <alignment horizontal="right"/>
    </xf>
    <xf numFmtId="165" fontId="4" fillId="0" borderId="3" xfId="1" applyNumberFormat="1" applyFont="1" applyBorder="1" applyAlignment="1">
      <alignment horizontal="right"/>
    </xf>
    <xf numFmtId="165" fontId="4" fillId="0" borderId="4" xfId="1" applyNumberFormat="1" applyFont="1" applyBorder="1" applyAlignment="1">
      <alignment horizontal="right"/>
    </xf>
    <xf numFmtId="165" fontId="0" fillId="0" borderId="3" xfId="1" applyNumberFormat="1" applyFont="1" applyBorder="1" applyAlignment="1">
      <alignment horizontal="right"/>
    </xf>
    <xf numFmtId="165" fontId="0" fillId="0" borderId="4" xfId="1" applyNumberFormat="1" applyFont="1" applyBorder="1" applyAlignment="1">
      <alignment horizontal="right"/>
    </xf>
    <xf numFmtId="165" fontId="1" fillId="0" borderId="3" xfId="1" applyNumberFormat="1" applyFont="1" applyBorder="1" applyAlignment="1">
      <alignment horizontal="right"/>
    </xf>
    <xf numFmtId="165" fontId="1" fillId="0" borderId="4" xfId="1" applyNumberFormat="1" applyFont="1" applyBorder="1" applyAlignment="1">
      <alignment horizontal="right"/>
    </xf>
    <xf numFmtId="9" fontId="0" fillId="0" borderId="4" xfId="2" applyFont="1" applyBorder="1" applyAlignment="1">
      <alignment horizontal="right"/>
    </xf>
    <xf numFmtId="164" fontId="0" fillId="0" borderId="0" xfId="1" applyNumberFormat="1" applyFont="1" applyFill="1" applyAlignment="1">
      <alignment horizontal="right"/>
    </xf>
    <xf numFmtId="165" fontId="11" fillId="0" borderId="5" xfId="1" applyNumberFormat="1" applyFont="1" applyBorder="1" applyAlignment="1">
      <alignment horizontal="right"/>
    </xf>
    <xf numFmtId="165" fontId="12" fillId="0" borderId="5" xfId="1" applyNumberFormat="1" applyFont="1" applyBorder="1" applyAlignment="1">
      <alignment horizontal="right"/>
    </xf>
    <xf numFmtId="165" fontId="13" fillId="0" borderId="0" xfId="1" applyNumberFormat="1" applyFont="1" applyBorder="1" applyAlignment="1">
      <alignment horizontal="right"/>
    </xf>
    <xf numFmtId="165" fontId="13" fillId="0" borderId="5" xfId="1" applyNumberFormat="1" applyFont="1" applyBorder="1" applyAlignment="1">
      <alignment horizontal="right"/>
    </xf>
    <xf numFmtId="165" fontId="13" fillId="0" borderId="0" xfId="1" applyNumberFormat="1" applyFont="1" applyFill="1" applyBorder="1" applyAlignment="1">
      <alignment horizontal="right"/>
    </xf>
    <xf numFmtId="165" fontId="11" fillId="0" borderId="5" xfId="1" applyNumberFormat="1" applyFont="1" applyFill="1" applyBorder="1" applyAlignment="1">
      <alignment horizontal="right"/>
    </xf>
    <xf numFmtId="43" fontId="13" fillId="0" borderId="0" xfId="1" applyNumberFormat="1" applyFont="1" applyFill="1" applyBorder="1" applyAlignment="1">
      <alignment horizontal="right"/>
    </xf>
    <xf numFmtId="43" fontId="13" fillId="0" borderId="5" xfId="1" applyNumberFormat="1" applyFont="1" applyFill="1" applyBorder="1" applyAlignment="1">
      <alignment horizontal="right"/>
    </xf>
    <xf numFmtId="164" fontId="3" fillId="0" borderId="5" xfId="1" quotePrefix="1" applyNumberFormat="1" applyFont="1" applyBorder="1" applyAlignment="1">
      <alignment horizontal="right"/>
    </xf>
    <xf numFmtId="164" fontId="3" fillId="0" borderId="5" xfId="1" quotePrefix="1" applyNumberFormat="1" applyFont="1" applyFill="1" applyBorder="1" applyAlignment="1">
      <alignment horizontal="right"/>
    </xf>
    <xf numFmtId="166" fontId="0" fillId="0" borderId="0" xfId="2" applyNumberFormat="1" applyFont="1" applyFill="1" applyBorder="1" applyAlignment="1">
      <alignment horizontal="right"/>
    </xf>
    <xf numFmtId="166" fontId="0" fillId="0" borderId="0" xfId="2" applyNumberFormat="1" applyFont="1" applyBorder="1" applyAlignment="1">
      <alignment horizontal="right"/>
    </xf>
    <xf numFmtId="43" fontId="1" fillId="0" borderId="0" xfId="1" quotePrefix="1" applyNumberFormat="1" applyFont="1" applyBorder="1" applyAlignment="1">
      <alignment horizontal="right"/>
    </xf>
    <xf numFmtId="0" fontId="0" fillId="0" borderId="0" xfId="0" applyFont="1"/>
    <xf numFmtId="165" fontId="1" fillId="0" borderId="0" xfId="1" quotePrefix="1" applyNumberFormat="1" applyFont="1" applyBorder="1" applyAlignment="1">
      <alignment horizontal="right"/>
    </xf>
    <xf numFmtId="165" fontId="0" fillId="0" borderId="0" xfId="1" quotePrefix="1" applyNumberFormat="1" applyFont="1" applyBorder="1" applyAlignment="1">
      <alignment horizontal="right"/>
    </xf>
    <xf numFmtId="9" fontId="1" fillId="0" borderId="5" xfId="2" quotePrefix="1" applyFont="1" applyBorder="1" applyAlignment="1">
      <alignment horizontal="right"/>
    </xf>
    <xf numFmtId="9" fontId="1" fillId="0" borderId="0" xfId="2" quotePrefix="1" applyFont="1" applyBorder="1" applyAlignment="1">
      <alignment horizontal="right"/>
    </xf>
    <xf numFmtId="43" fontId="0" fillId="0" borderId="0" xfId="1" quotePrefix="1" applyNumberFormat="1" applyFont="1" applyBorder="1" applyAlignment="1">
      <alignment horizontal="right"/>
    </xf>
    <xf numFmtId="43" fontId="2" fillId="0" borderId="0" xfId="1" quotePrefix="1" applyNumberFormat="1" applyFont="1" applyBorder="1" applyAlignment="1">
      <alignment horizontal="right"/>
    </xf>
    <xf numFmtId="165" fontId="0" fillId="0" borderId="0" xfId="1" applyNumberFormat="1" applyFont="1" applyFill="1" applyBorder="1" applyAlignment="1">
      <alignment horizontal="right"/>
    </xf>
    <xf numFmtId="43" fontId="0" fillId="0" borderId="0" xfId="1" applyFont="1" applyAlignment="1">
      <alignment horizontal="right"/>
    </xf>
    <xf numFmtId="165" fontId="12" fillId="0" borderId="0" xfId="1" applyNumberFormat="1" applyFont="1" applyFill="1" applyBorder="1" applyAlignment="1">
      <alignment horizontal="right"/>
    </xf>
    <xf numFmtId="166" fontId="0" fillId="0" borderId="5" xfId="2" applyNumberFormat="1" applyFont="1" applyBorder="1" applyAlignment="1">
      <alignment horizontal="right"/>
    </xf>
    <xf numFmtId="165" fontId="11" fillId="0" borderId="3" xfId="1" applyNumberFormat="1" applyFont="1" applyFill="1" applyBorder="1" applyAlignment="1">
      <alignment horizontal="right"/>
    </xf>
    <xf numFmtId="165" fontId="11" fillId="0" borderId="4" xfId="1" applyNumberFormat="1" applyFont="1" applyFill="1" applyBorder="1" applyAlignment="1">
      <alignment horizontal="right"/>
    </xf>
    <xf numFmtId="165" fontId="12" fillId="0" borderId="3" xfId="1" applyNumberFormat="1" applyFont="1" applyFill="1" applyBorder="1" applyAlignment="1">
      <alignment horizontal="right"/>
    </xf>
    <xf numFmtId="165" fontId="12" fillId="0" borderId="4" xfId="1" applyNumberFormat="1" applyFont="1" applyFill="1" applyBorder="1" applyAlignment="1">
      <alignment horizontal="right"/>
    </xf>
    <xf numFmtId="165" fontId="13" fillId="0" borderId="3" xfId="1" applyNumberFormat="1" applyFont="1" applyFill="1" applyBorder="1" applyAlignment="1">
      <alignment horizontal="right"/>
    </xf>
    <xf numFmtId="165" fontId="13" fillId="0" borderId="4" xfId="1" applyNumberFormat="1" applyFont="1" applyFill="1" applyBorder="1" applyAlignment="1">
      <alignment horizontal="right"/>
    </xf>
    <xf numFmtId="0" fontId="0" fillId="0" borderId="0" xfId="0" applyFont="1" applyFill="1"/>
    <xf numFmtId="43" fontId="2" fillId="0" borderId="0" xfId="1" quotePrefix="1" applyNumberFormat="1" applyFont="1" applyFill="1" applyBorder="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168" fontId="0" fillId="0" borderId="0" xfId="2" applyNumberFormat="1" applyFont="1" applyBorder="1" applyAlignment="1">
      <alignment horizontal="right"/>
    </xf>
    <xf numFmtId="168" fontId="0" fillId="0" borderId="0" xfId="1" applyNumberFormat="1" applyFont="1" applyBorder="1" applyAlignment="1">
      <alignment horizontal="right"/>
    </xf>
    <xf numFmtId="164" fontId="2" fillId="0" borderId="3" xfId="1" quotePrefix="1" applyNumberFormat="1" applyFont="1" applyFill="1" applyBorder="1" applyAlignment="1">
      <alignment horizontal="right"/>
    </xf>
    <xf numFmtId="43" fontId="1" fillId="0" borderId="3" xfId="1" quotePrefix="1" applyNumberFormat="1" applyFont="1" applyBorder="1" applyAlignment="1">
      <alignment horizontal="right"/>
    </xf>
    <xf numFmtId="7" fontId="2" fillId="0" borderId="3" xfId="1" applyNumberFormat="1" applyFont="1" applyBorder="1" applyAlignment="1">
      <alignment horizontal="right"/>
    </xf>
    <xf numFmtId="7" fontId="2" fillId="0" borderId="0" xfId="1" applyNumberFormat="1" applyFont="1" applyBorder="1" applyAlignment="1">
      <alignment horizontal="right"/>
    </xf>
    <xf numFmtId="0" fontId="0" fillId="0" borderId="0" xfId="0" applyFill="1"/>
    <xf numFmtId="43" fontId="0" fillId="0" borderId="0" xfId="1" applyFont="1" applyFill="1"/>
    <xf numFmtId="165" fontId="0" fillId="0" borderId="0" xfId="0" applyNumberFormat="1" applyFill="1"/>
    <xf numFmtId="43" fontId="0" fillId="0" borderId="0" xfId="1" applyFont="1" applyFill="1" applyAlignment="1">
      <alignment horizontal="right"/>
    </xf>
    <xf numFmtId="165" fontId="1" fillId="0" borderId="5" xfId="1" quotePrefix="1" applyNumberFormat="1" applyFont="1" applyBorder="1" applyAlignment="1">
      <alignment horizontal="right"/>
    </xf>
    <xf numFmtId="165" fontId="2" fillId="0" borderId="5" xfId="1" quotePrefix="1" applyNumberFormat="1" applyFont="1" applyBorder="1" applyAlignment="1">
      <alignment horizontal="right"/>
    </xf>
    <xf numFmtId="165" fontId="2" fillId="0" borderId="0" xfId="1" quotePrefix="1" applyNumberFormat="1" applyFont="1" applyBorder="1" applyAlignment="1">
      <alignment horizontal="right"/>
    </xf>
    <xf numFmtId="165" fontId="0" fillId="0" borderId="5" xfId="1" quotePrefix="1" applyNumberFormat="1" applyFont="1" applyBorder="1" applyAlignment="1">
      <alignment horizontal="right"/>
    </xf>
    <xf numFmtId="166" fontId="0" fillId="0" borderId="0" xfId="2" quotePrefix="1" applyNumberFormat="1" applyFont="1" applyBorder="1" applyAlignment="1">
      <alignment horizontal="right"/>
    </xf>
    <xf numFmtId="166" fontId="0" fillId="0" borderId="5" xfId="2" quotePrefix="1" applyNumberFormat="1" applyFont="1" applyBorder="1" applyAlignment="1">
      <alignment horizontal="right"/>
    </xf>
    <xf numFmtId="166" fontId="0" fillId="0" borderId="5" xfId="2" quotePrefix="1" applyNumberFormat="1" applyFont="1" applyFill="1" applyBorder="1" applyAlignment="1">
      <alignment horizontal="right"/>
    </xf>
    <xf numFmtId="166" fontId="0" fillId="0" borderId="0" xfId="2" applyNumberFormat="1" applyFont="1"/>
    <xf numFmtId="164" fontId="14" fillId="0" borderId="0" xfId="1" applyNumberFormat="1" applyFont="1" applyAlignment="1">
      <alignment horizontal="right"/>
    </xf>
    <xf numFmtId="165" fontId="0" fillId="0" borderId="0" xfId="1" quotePrefix="1" applyNumberFormat="1" applyFont="1" applyFill="1" applyBorder="1" applyAlignment="1">
      <alignment horizontal="right"/>
    </xf>
    <xf numFmtId="43" fontId="11" fillId="0" borderId="0" xfId="1" applyNumberFormat="1" applyFont="1" applyFill="1" applyBorder="1" applyAlignment="1">
      <alignment horizontal="right"/>
    </xf>
    <xf numFmtId="165" fontId="5" fillId="0" borderId="7" xfId="1" applyNumberFormat="1" applyFont="1" applyFill="1" applyBorder="1" applyAlignment="1">
      <alignment horizontal="right"/>
    </xf>
    <xf numFmtId="165" fontId="8" fillId="0" borderId="7" xfId="1" applyNumberFormat="1" applyFont="1" applyFill="1" applyBorder="1" applyAlignment="1">
      <alignment horizontal="right"/>
    </xf>
    <xf numFmtId="165" fontId="6" fillId="0" borderId="7" xfId="1" applyNumberFormat="1" applyFont="1" applyFill="1" applyBorder="1" applyAlignment="1">
      <alignment horizontal="right"/>
    </xf>
    <xf numFmtId="9" fontId="8" fillId="0" borderId="8" xfId="2" applyFont="1" applyFill="1" applyBorder="1" applyAlignment="1">
      <alignment horizontal="right"/>
    </xf>
    <xf numFmtId="0" fontId="14" fillId="0" borderId="0" xfId="0" applyFont="1"/>
    <xf numFmtId="43" fontId="0" fillId="0" borderId="0" xfId="1" applyFont="1" applyBorder="1" applyAlignment="1">
      <alignment horizontal="right"/>
    </xf>
    <xf numFmtId="165" fontId="0" fillId="0" borderId="5" xfId="1"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applyFont="1" applyBorder="1"/>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43" fontId="2" fillId="0" borderId="4" xfId="1" applyNumberFormat="1" applyFont="1" applyFill="1" applyBorder="1" applyAlignment="1">
      <alignment horizontal="right"/>
    </xf>
    <xf numFmtId="43" fontId="2" fillId="0" borderId="5" xfId="1" applyNumberFormat="1" applyFont="1" applyFill="1" applyBorder="1" applyAlignment="1">
      <alignment horizontal="right"/>
    </xf>
    <xf numFmtId="43" fontId="2" fillId="0" borderId="6" xfId="1" applyNumberFormat="1" applyFont="1" applyFill="1" applyBorder="1" applyAlignment="1">
      <alignment horizontal="right"/>
    </xf>
    <xf numFmtId="43" fontId="1" fillId="0" borderId="0" xfId="1" applyNumberFormat="1" applyFont="1" applyFill="1" applyBorder="1" applyAlignment="1">
      <alignment horizontal="right"/>
    </xf>
    <xf numFmtId="43" fontId="1" fillId="0" borderId="4" xfId="1" quotePrefix="1" applyNumberFormat="1" applyFont="1" applyBorder="1" applyAlignment="1">
      <alignment horizontal="right"/>
    </xf>
    <xf numFmtId="166" fontId="0" fillId="0" borderId="0" xfId="2" applyNumberFormat="1" applyFont="1" applyAlignment="1">
      <alignment horizontal="right"/>
    </xf>
    <xf numFmtId="0" fontId="0" fillId="0" borderId="3" xfId="0" applyFont="1" applyFill="1" applyBorder="1"/>
    <xf numFmtId="165" fontId="1" fillId="0" borderId="0" xfId="1" quotePrefix="1" applyNumberFormat="1" applyFont="1" applyFill="1" applyBorder="1" applyAlignment="1">
      <alignment horizontal="right"/>
    </xf>
    <xf numFmtId="165" fontId="12" fillId="0" borderId="5" xfId="1" applyNumberFormat="1" applyFont="1" applyFill="1" applyBorder="1" applyAlignment="1">
      <alignment horizontal="right"/>
    </xf>
    <xf numFmtId="9" fontId="0" fillId="0" borderId="7" xfId="2" applyFont="1" applyBorder="1" applyAlignment="1">
      <alignment horizontal="right"/>
    </xf>
    <xf numFmtId="167" fontId="0" fillId="0" borderId="7" xfId="1" quotePrefix="1" applyNumberFormat="1" applyFont="1" applyBorder="1" applyAlignment="1">
      <alignment horizontal="right"/>
    </xf>
    <xf numFmtId="9" fontId="0" fillId="0" borderId="8" xfId="2" applyFont="1" applyBorder="1" applyAlignment="1">
      <alignment horizontal="right"/>
    </xf>
    <xf numFmtId="165" fontId="13" fillId="0" borderId="5" xfId="1" applyNumberFormat="1" applyFont="1" applyFill="1" applyBorder="1" applyAlignment="1">
      <alignment horizontal="right"/>
    </xf>
    <xf numFmtId="164" fontId="17" fillId="2" borderId="2" xfId="1" quotePrefix="1" applyNumberFormat="1" applyFont="1" applyFill="1" applyBorder="1" applyAlignment="1">
      <alignment horizontal="right"/>
    </xf>
    <xf numFmtId="164" fontId="19" fillId="2" borderId="0" xfId="1" quotePrefix="1" applyNumberFormat="1" applyFont="1" applyFill="1" applyBorder="1" applyAlignment="1">
      <alignment horizontal="right"/>
    </xf>
    <xf numFmtId="165" fontId="0" fillId="0" borderId="5" xfId="1" quotePrefix="1" applyNumberFormat="1" applyFont="1" applyFill="1" applyBorder="1" applyAlignment="1">
      <alignment horizontal="right"/>
    </xf>
    <xf numFmtId="166" fontId="0" fillId="0" borderId="0" xfId="2" quotePrefix="1" applyNumberFormat="1" applyFont="1" applyFill="1" applyBorder="1" applyAlignment="1">
      <alignment horizontal="right"/>
    </xf>
    <xf numFmtId="166" fontId="0" fillId="0" borderId="5" xfId="2" applyNumberFormat="1" applyFont="1" applyFill="1" applyBorder="1" applyAlignment="1">
      <alignment horizontal="right"/>
    </xf>
    <xf numFmtId="9" fontId="0" fillId="0" borderId="5" xfId="2" applyFont="1" applyFill="1" applyBorder="1" applyAlignment="1">
      <alignment horizontal="right"/>
    </xf>
    <xf numFmtId="9" fontId="8" fillId="0" borderId="5" xfId="2" applyFont="1" applyFill="1" applyBorder="1" applyAlignment="1">
      <alignment horizontal="right"/>
    </xf>
    <xf numFmtId="0" fontId="0" fillId="0" borderId="0" xfId="0" applyFill="1" applyAlignment="1">
      <alignment horizontal="right"/>
    </xf>
    <xf numFmtId="0" fontId="0" fillId="0" borderId="0" xfId="0" applyBorder="1"/>
    <xf numFmtId="10" fontId="0" fillId="0" borderId="5" xfId="2" applyNumberFormat="1" applyFont="1" applyFill="1" applyBorder="1" applyAlignment="1">
      <alignment horizontal="right"/>
    </xf>
    <xf numFmtId="9" fontId="0" fillId="0" borderId="0" xfId="2" applyFont="1" applyFill="1" applyBorder="1" applyAlignment="1">
      <alignment horizontal="right"/>
    </xf>
    <xf numFmtId="165" fontId="1" fillId="0" borderId="5" xfId="1" applyNumberFormat="1" applyFont="1" applyFill="1" applyBorder="1" applyAlignment="1">
      <alignment horizontal="right"/>
    </xf>
    <xf numFmtId="165" fontId="1" fillId="0" borderId="0" xfId="1" applyNumberFormat="1" applyFont="1" applyBorder="1" applyAlignment="1">
      <alignment horizontal="right"/>
    </xf>
    <xf numFmtId="9" fontId="8" fillId="0" borderId="0" xfId="2" applyFont="1" applyBorder="1" applyAlignment="1">
      <alignment horizontal="right"/>
    </xf>
    <xf numFmtId="165" fontId="11" fillId="0" borderId="0" xfId="1" applyNumberFormat="1" applyFont="1" applyFill="1" applyBorder="1" applyAlignment="1">
      <alignment horizontal="right"/>
    </xf>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0" fontId="0" fillId="0" borderId="0" xfId="0"/>
    <xf numFmtId="0" fontId="2" fillId="0" borderId="0" xfId="0" applyFont="1"/>
    <xf numFmtId="164" fontId="65" fillId="3" borderId="2" xfId="1" quotePrefix="1" applyNumberFormat="1" applyFont="1" applyFill="1" applyBorder="1" applyAlignment="1">
      <alignment horizontal="right"/>
    </xf>
    <xf numFmtId="164" fontId="65" fillId="3" borderId="11" xfId="1" quotePrefix="1" applyNumberFormat="1" applyFont="1" applyFill="1" applyBorder="1" applyAlignment="1">
      <alignment horizontal="right"/>
    </xf>
    <xf numFmtId="164" fontId="66" fillId="3" borderId="0" xfId="1" quotePrefix="1" applyNumberFormat="1" applyFont="1" applyFill="1" applyBorder="1" applyAlignment="1">
      <alignment horizontal="right"/>
    </xf>
    <xf numFmtId="164" fontId="66" fillId="3" borderId="4" xfId="1" quotePrefix="1" applyNumberFormat="1" applyFont="1" applyFill="1" applyBorder="1" applyAlignment="1">
      <alignment horizontal="right"/>
    </xf>
    <xf numFmtId="164" fontId="11" fillId="0" borderId="0" xfId="1" applyNumberFormat="1" applyFont="1" applyAlignment="1">
      <alignment horizontal="right"/>
    </xf>
    <xf numFmtId="165" fontId="0" fillId="10" borderId="0" xfId="1" quotePrefix="1" applyNumberFormat="1" applyFont="1" applyFill="1" applyBorder="1" applyAlignment="1">
      <alignment horizontal="right"/>
    </xf>
    <xf numFmtId="166" fontId="0" fillId="10" borderId="0" xfId="2" applyNumberFormat="1" applyFont="1" applyFill="1" applyBorder="1" applyAlignment="1">
      <alignment horizontal="right"/>
    </xf>
    <xf numFmtId="9" fontId="0" fillId="10" borderId="0" xfId="2" applyNumberFormat="1" applyFont="1" applyFill="1" applyBorder="1" applyAlignment="1">
      <alignment horizontal="right"/>
    </xf>
    <xf numFmtId="164" fontId="0" fillId="0" borderId="0" xfId="1" applyNumberFormat="1" applyFont="1" applyFill="1" applyBorder="1" applyAlignment="1">
      <alignment horizontal="right"/>
    </xf>
    <xf numFmtId="165" fontId="0" fillId="10" borderId="0" xfId="1" applyNumberFormat="1" applyFont="1" applyFill="1" applyBorder="1" applyAlignment="1">
      <alignment horizontal="right"/>
    </xf>
    <xf numFmtId="43" fontId="0" fillId="0" borderId="0" xfId="1" applyFont="1" applyFill="1" applyAlignment="1">
      <alignment horizontal="left"/>
    </xf>
    <xf numFmtId="165" fontId="0" fillId="0" borderId="0" xfId="1" applyNumberFormat="1" applyFont="1" applyAlignment="1">
      <alignment horizontal="right"/>
    </xf>
    <xf numFmtId="165" fontId="0" fillId="0" borderId="0" xfId="1" applyNumberFormat="1" applyFont="1" applyFill="1" applyAlignment="1">
      <alignment horizontal="right"/>
    </xf>
    <xf numFmtId="7" fontId="2" fillId="0" borderId="4" xfId="1" applyNumberFormat="1" applyFont="1" applyBorder="1" applyAlignment="1">
      <alignment horizontal="right"/>
    </xf>
    <xf numFmtId="0" fontId="0" fillId="0" borderId="0" xfId="0" applyFill="1" applyBorder="1"/>
    <xf numFmtId="226" fontId="0" fillId="0" borderId="4" xfId="2" applyNumberFormat="1" applyFont="1" applyFill="1" applyBorder="1" applyAlignment="1">
      <alignment horizontal="right"/>
    </xf>
    <xf numFmtId="226" fontId="0" fillId="0" borderId="4" xfId="1" applyNumberFormat="1" applyFont="1" applyFill="1" applyBorder="1" applyAlignment="1">
      <alignment horizontal="right"/>
    </xf>
    <xf numFmtId="226" fontId="0" fillId="10" borderId="4" xfId="1" applyNumberFormat="1" applyFont="1" applyFill="1" applyBorder="1" applyAlignment="1">
      <alignment horizontal="right"/>
    </xf>
    <xf numFmtId="9" fontId="0" fillId="0" borderId="0" xfId="2" applyNumberFormat="1" applyFont="1" applyAlignment="1">
      <alignment horizontal="right"/>
    </xf>
    <xf numFmtId="0" fontId="68" fillId="0" borderId="0" xfId="0" applyFont="1"/>
    <xf numFmtId="0" fontId="69" fillId="0" borderId="0" xfId="329" applyAlignment="1">
      <alignment horizontal="right"/>
    </xf>
    <xf numFmtId="10" fontId="0" fillId="0" borderId="0" xfId="2" applyNumberFormat="1" applyFont="1" applyFill="1" applyBorder="1" applyAlignment="1">
      <alignment horizontal="right"/>
    </xf>
    <xf numFmtId="165" fontId="2" fillId="0" borderId="30" xfId="1" quotePrefix="1" applyNumberFormat="1" applyFont="1" applyBorder="1" applyAlignment="1">
      <alignment horizontal="right"/>
    </xf>
    <xf numFmtId="165" fontId="2" fillId="0" borderId="29" xfId="1" quotePrefix="1" applyNumberFormat="1" applyFont="1" applyBorder="1" applyAlignment="1">
      <alignment horizontal="right"/>
    </xf>
    <xf numFmtId="165" fontId="4" fillId="0" borderId="0" xfId="1" quotePrefix="1" applyNumberFormat="1" applyFont="1" applyBorder="1" applyAlignment="1">
      <alignment horizontal="right"/>
    </xf>
    <xf numFmtId="165" fontId="4" fillId="0" borderId="5" xfId="1" quotePrefix="1" applyNumberFormat="1" applyFont="1" applyBorder="1" applyAlignment="1">
      <alignment horizontal="right"/>
    </xf>
    <xf numFmtId="165" fontId="4" fillId="0" borderId="0" xfId="1" quotePrefix="1" applyNumberFormat="1" applyFont="1" applyFill="1" applyBorder="1" applyAlignment="1">
      <alignment horizontal="right"/>
    </xf>
    <xf numFmtId="165" fontId="0" fillId="0" borderId="30" xfId="1" quotePrefix="1" applyNumberFormat="1" applyFont="1" applyBorder="1" applyAlignment="1">
      <alignment horizontal="right"/>
    </xf>
    <xf numFmtId="165" fontId="0" fillId="0" borderId="29" xfId="1" quotePrefix="1" applyNumberFormat="1" applyFont="1" applyBorder="1" applyAlignment="1">
      <alignment horizontal="right"/>
    </xf>
    <xf numFmtId="165" fontId="0" fillId="0" borderId="30" xfId="1" quotePrefix="1" applyNumberFormat="1" applyFont="1" applyFill="1" applyBorder="1" applyAlignment="1">
      <alignment horizontal="right"/>
    </xf>
    <xf numFmtId="165" fontId="0" fillId="10" borderId="30" xfId="1" quotePrefix="1" applyNumberFormat="1" applyFont="1" applyFill="1" applyBorder="1" applyAlignment="1">
      <alignment horizontal="right"/>
    </xf>
    <xf numFmtId="165" fontId="0" fillId="0" borderId="29" xfId="1" quotePrefix="1" applyNumberFormat="1" applyFont="1" applyFill="1" applyBorder="1" applyAlignment="1">
      <alignment horizontal="right"/>
    </xf>
    <xf numFmtId="165" fontId="0" fillId="0" borderId="31" xfId="1" quotePrefix="1" applyNumberFormat="1" applyFont="1" applyBorder="1" applyAlignment="1">
      <alignment horizontal="right"/>
    </xf>
    <xf numFmtId="165" fontId="0" fillId="0" borderId="32" xfId="1" quotePrefix="1" applyNumberFormat="1" applyFont="1" applyBorder="1" applyAlignment="1">
      <alignment horizontal="right"/>
    </xf>
    <xf numFmtId="165" fontId="0" fillId="0" borderId="31" xfId="1" quotePrefix="1" applyNumberFormat="1" applyFont="1" applyFill="1" applyBorder="1" applyAlignment="1">
      <alignment horizontal="right"/>
    </xf>
    <xf numFmtId="165" fontId="0" fillId="0" borderId="32" xfId="1" quotePrefix="1" applyNumberFormat="1" applyFont="1" applyFill="1" applyBorder="1" applyAlignment="1">
      <alignment horizontal="right"/>
    </xf>
    <xf numFmtId="9" fontId="1" fillId="0" borderId="0" xfId="1" quotePrefix="1" applyNumberFormat="1" applyFont="1" applyBorder="1" applyAlignment="1">
      <alignment horizontal="right"/>
    </xf>
    <xf numFmtId="9" fontId="1" fillId="0" borderId="5" xfId="1" quotePrefix="1" applyNumberFormat="1" applyFont="1" applyBorder="1" applyAlignment="1">
      <alignment horizontal="right"/>
    </xf>
    <xf numFmtId="9" fontId="1" fillId="10" borderId="0" xfId="1" quotePrefix="1" applyNumberFormat="1" applyFont="1" applyFill="1" applyBorder="1" applyAlignment="1">
      <alignment horizontal="right"/>
    </xf>
    <xf numFmtId="164" fontId="3" fillId="0" borderId="31" xfId="1" quotePrefix="1" applyNumberFormat="1" applyFont="1" applyBorder="1" applyAlignment="1">
      <alignment horizontal="right"/>
    </xf>
    <xf numFmtId="164" fontId="3" fillId="0" borderId="32" xfId="1" quotePrefix="1" applyNumberFormat="1" applyFont="1" applyBorder="1" applyAlignment="1">
      <alignment horizontal="right"/>
    </xf>
    <xf numFmtId="164" fontId="3" fillId="0" borderId="31" xfId="1" quotePrefix="1" applyNumberFormat="1" applyFont="1" applyFill="1" applyBorder="1" applyAlignment="1">
      <alignment horizontal="right"/>
    </xf>
    <xf numFmtId="164" fontId="3" fillId="0" borderId="32" xfId="1" quotePrefix="1" applyNumberFormat="1" applyFont="1" applyFill="1" applyBorder="1" applyAlignment="1">
      <alignment horizontal="right"/>
    </xf>
    <xf numFmtId="166" fontId="0" fillId="0" borderId="31" xfId="2" applyNumberFormat="1" applyFont="1" applyFill="1" applyBorder="1" applyAlignment="1">
      <alignment horizontal="right"/>
    </xf>
    <xf numFmtId="9" fontId="0" fillId="0" borderId="32" xfId="2" applyFont="1" applyFill="1" applyBorder="1" applyAlignment="1">
      <alignment horizontal="right"/>
    </xf>
    <xf numFmtId="0" fontId="70" fillId="0" borderId="12" xfId="0" applyFont="1" applyFill="1" applyBorder="1" applyAlignment="1">
      <alignment horizontal="left"/>
    </xf>
    <xf numFmtId="0" fontId="70" fillId="0" borderId="13" xfId="0" applyFont="1" applyFill="1" applyBorder="1" applyAlignment="1">
      <alignment horizontal="left"/>
    </xf>
    <xf numFmtId="165" fontId="70" fillId="0" borderId="30" xfId="1" quotePrefix="1" applyNumberFormat="1" applyFont="1" applyFill="1" applyBorder="1" applyAlignment="1">
      <alignment horizontal="right"/>
    </xf>
    <xf numFmtId="165" fontId="70" fillId="0" borderId="29" xfId="1" quotePrefix="1" applyNumberFormat="1" applyFont="1" applyFill="1" applyBorder="1" applyAlignment="1">
      <alignment horizontal="right"/>
    </xf>
    <xf numFmtId="5" fontId="2" fillId="0" borderId="11" xfId="1" applyNumberFormat="1" applyFont="1" applyBorder="1" applyAlignment="1">
      <alignment horizontal="right"/>
    </xf>
    <xf numFmtId="164" fontId="0" fillId="0" borderId="5" xfId="1" applyNumberFormat="1" applyFont="1" applyFill="1" applyBorder="1" applyAlignment="1">
      <alignment horizontal="right"/>
    </xf>
    <xf numFmtId="20" fontId="0" fillId="0" borderId="0" xfId="1" applyNumberFormat="1" applyFont="1" applyFill="1" applyAlignment="1">
      <alignment horizontal="right"/>
    </xf>
    <xf numFmtId="43" fontId="4" fillId="10" borderId="4" xfId="1" quotePrefix="1" applyNumberFormat="1" applyFont="1" applyFill="1" applyBorder="1" applyAlignment="1">
      <alignment horizontal="right"/>
    </xf>
    <xf numFmtId="167" fontId="0" fillId="0" borderId="0" xfId="1" applyNumberFormat="1" applyFont="1" applyBorder="1" applyAlignment="1">
      <alignment horizontal="right"/>
    </xf>
    <xf numFmtId="165" fontId="11" fillId="11" borderId="0" xfId="1" applyNumberFormat="1" applyFont="1" applyFill="1" applyBorder="1" applyAlignment="1">
      <alignment horizontal="right"/>
    </xf>
    <xf numFmtId="165" fontId="1" fillId="0" borderId="0" xfId="1" quotePrefix="1" applyNumberFormat="1" applyFont="1" applyBorder="1" applyAlignment="1">
      <alignment horizontal="left"/>
    </xf>
    <xf numFmtId="165" fontId="1" fillId="10" borderId="0" xfId="1" quotePrefix="1" applyNumberFormat="1" applyFont="1" applyFill="1" applyBorder="1" applyAlignment="1">
      <alignment horizontal="left"/>
    </xf>
    <xf numFmtId="165" fontId="0" fillId="0" borderId="0" xfId="1" quotePrefix="1" applyNumberFormat="1" applyFont="1" applyBorder="1" applyAlignment="1">
      <alignment horizontal="left"/>
    </xf>
    <xf numFmtId="165" fontId="0" fillId="13" borderId="0" xfId="1" quotePrefix="1" applyNumberFormat="1" applyFont="1" applyFill="1" applyBorder="1" applyAlignment="1">
      <alignment horizontal="left"/>
    </xf>
    <xf numFmtId="165" fontId="1" fillId="13" borderId="0" xfId="1" quotePrefix="1" applyNumberFormat="1" applyFont="1" applyFill="1" applyBorder="1" applyAlignment="1">
      <alignment horizontal="left"/>
    </xf>
    <xf numFmtId="165" fontId="0" fillId="12" borderId="0" xfId="1" quotePrefix="1" applyNumberFormat="1" applyFont="1" applyFill="1" applyBorder="1" applyAlignment="1">
      <alignment horizontal="left"/>
    </xf>
    <xf numFmtId="165" fontId="0" fillId="10" borderId="0" xfId="1" quotePrefix="1" applyNumberFormat="1" applyFont="1" applyFill="1" applyBorder="1" applyAlignment="1">
      <alignment horizontal="left"/>
    </xf>
    <xf numFmtId="165" fontId="0" fillId="0" borderId="0" xfId="1" quotePrefix="1" applyNumberFormat="1" applyFont="1" applyFill="1" applyBorder="1" applyAlignment="1">
      <alignment horizontal="left"/>
    </xf>
    <xf numFmtId="0" fontId="0" fillId="0" borderId="0" xfId="0" applyFont="1" applyFill="1" applyAlignment="1">
      <alignment horizontal="left"/>
    </xf>
    <xf numFmtId="165" fontId="1" fillId="0" borderId="30" xfId="1" quotePrefix="1" applyNumberFormat="1" applyFont="1" applyBorder="1" applyAlignment="1">
      <alignment horizontal="left"/>
    </xf>
    <xf numFmtId="165" fontId="0" fillId="14" borderId="0" xfId="1" quotePrefix="1" applyNumberFormat="1" applyFont="1" applyFill="1" applyBorder="1" applyAlignment="1">
      <alignment horizontal="left"/>
    </xf>
    <xf numFmtId="165" fontId="1" fillId="14" borderId="0" xfId="1" quotePrefix="1" applyNumberFormat="1" applyFont="1" applyFill="1" applyBorder="1" applyAlignment="1">
      <alignment horizontal="left"/>
    </xf>
    <xf numFmtId="165" fontId="1" fillId="0" borderId="4" xfId="1" quotePrefix="1" applyNumberFormat="1" applyFont="1" applyBorder="1" applyAlignment="1">
      <alignment horizontal="left"/>
    </xf>
    <xf numFmtId="165" fontId="0" fillId="0" borderId="4" xfId="1" quotePrefix="1" applyNumberFormat="1" applyFont="1" applyFill="1" applyBorder="1" applyAlignment="1">
      <alignment horizontal="left"/>
    </xf>
    <xf numFmtId="165" fontId="1" fillId="0" borderId="13" xfId="1" quotePrefix="1" applyNumberFormat="1" applyFont="1" applyBorder="1" applyAlignment="1">
      <alignment horizontal="left"/>
    </xf>
    <xf numFmtId="165" fontId="1" fillId="0" borderId="31" xfId="1" quotePrefix="1" applyNumberFormat="1" applyFont="1" applyBorder="1" applyAlignment="1">
      <alignment horizontal="left"/>
    </xf>
    <xf numFmtId="165" fontId="71" fillId="0" borderId="0" xfId="1" quotePrefix="1" applyNumberFormat="1" applyFont="1" applyFill="1" applyBorder="1" applyAlignment="1">
      <alignment horizontal="left"/>
    </xf>
    <xf numFmtId="165" fontId="69" fillId="0" borderId="0" xfId="329" quotePrefix="1" applyNumberFormat="1" applyBorder="1" applyAlignment="1">
      <alignment horizontal="left"/>
    </xf>
    <xf numFmtId="165" fontId="1" fillId="0" borderId="0" xfId="1" quotePrefix="1" applyNumberFormat="1" applyFont="1" applyFill="1" applyBorder="1" applyAlignment="1">
      <alignment horizontal="left"/>
    </xf>
    <xf numFmtId="165" fontId="1" fillId="12" borderId="0" xfId="1" quotePrefix="1" applyNumberFormat="1" applyFont="1" applyFill="1" applyBorder="1" applyAlignment="1">
      <alignment horizontal="left"/>
    </xf>
    <xf numFmtId="165" fontId="0" fillId="15" borderId="0" xfId="1" quotePrefix="1" applyNumberFormat="1" applyFont="1" applyFill="1" applyBorder="1" applyAlignment="1">
      <alignment horizontal="left"/>
    </xf>
    <xf numFmtId="165" fontId="1" fillId="15" borderId="0" xfId="1" quotePrefix="1" applyNumberFormat="1" applyFont="1" applyFill="1" applyBorder="1" applyAlignment="1">
      <alignment horizontal="left"/>
    </xf>
    <xf numFmtId="165" fontId="0" fillId="16" borderId="0" xfId="1" quotePrefix="1" applyNumberFormat="1" applyFont="1" applyFill="1" applyBorder="1" applyAlignment="1">
      <alignment horizontal="left"/>
    </xf>
    <xf numFmtId="165" fontId="1" fillId="16" borderId="0" xfId="1" quotePrefix="1" applyNumberFormat="1" applyFont="1" applyFill="1" applyBorder="1" applyAlignment="1">
      <alignment horizontal="left"/>
    </xf>
    <xf numFmtId="165" fontId="0" fillId="17" borderId="0" xfId="1" quotePrefix="1" applyNumberFormat="1" applyFont="1" applyFill="1" applyBorder="1" applyAlignment="1">
      <alignment horizontal="left"/>
    </xf>
    <xf numFmtId="165" fontId="1" fillId="17" borderId="0" xfId="1" quotePrefix="1" applyNumberFormat="1" applyFont="1" applyFill="1" applyBorder="1" applyAlignment="1">
      <alignment horizontal="left"/>
    </xf>
    <xf numFmtId="165" fontId="0" fillId="20" borderId="30" xfId="1" quotePrefix="1" applyNumberFormat="1" applyFont="1" applyFill="1" applyBorder="1" applyAlignment="1">
      <alignment horizontal="left"/>
    </xf>
    <xf numFmtId="165" fontId="1" fillId="20" borderId="30" xfId="1" quotePrefix="1" applyNumberFormat="1" applyFont="1" applyFill="1" applyBorder="1" applyAlignment="1">
      <alignment horizontal="left"/>
    </xf>
    <xf numFmtId="165" fontId="0" fillId="21" borderId="30" xfId="1" quotePrefix="1" applyNumberFormat="1" applyFont="1" applyFill="1" applyBorder="1" applyAlignment="1">
      <alignment horizontal="left"/>
    </xf>
    <xf numFmtId="165" fontId="0" fillId="20" borderId="0" xfId="1" quotePrefix="1" applyNumberFormat="1" applyFont="1" applyFill="1" applyBorder="1" applyAlignment="1">
      <alignment horizontal="left"/>
    </xf>
    <xf numFmtId="165" fontId="1" fillId="20" borderId="0" xfId="1" quotePrefix="1" applyNumberFormat="1" applyFont="1" applyFill="1" applyBorder="1" applyAlignment="1">
      <alignment horizontal="left"/>
    </xf>
    <xf numFmtId="165" fontId="0" fillId="21" borderId="0" xfId="1" quotePrefix="1" applyNumberFormat="1" applyFont="1" applyFill="1" applyBorder="1" applyAlignment="1">
      <alignment horizontal="left"/>
    </xf>
    <xf numFmtId="165" fontId="1" fillId="21" borderId="0" xfId="1" quotePrefix="1" applyNumberFormat="1" applyFont="1" applyFill="1" applyBorder="1" applyAlignment="1">
      <alignment horizontal="left"/>
    </xf>
    <xf numFmtId="165" fontId="0" fillId="22" borderId="0" xfId="1" quotePrefix="1" applyNumberFormat="1" applyFont="1" applyFill="1" applyBorder="1" applyAlignment="1">
      <alignment horizontal="left"/>
    </xf>
    <xf numFmtId="165" fontId="11" fillId="18" borderId="0" xfId="1" quotePrefix="1" applyNumberFormat="1" applyFont="1" applyFill="1" applyBorder="1" applyAlignment="1">
      <alignment horizontal="left"/>
    </xf>
    <xf numFmtId="165" fontId="1" fillId="22" borderId="0" xfId="1" quotePrefix="1" applyNumberFormat="1" applyFont="1" applyFill="1" applyBorder="1" applyAlignment="1">
      <alignment horizontal="left"/>
    </xf>
    <xf numFmtId="165" fontId="0" fillId="3" borderId="0" xfId="1" quotePrefix="1" applyNumberFormat="1" applyFont="1" applyFill="1" applyBorder="1" applyAlignment="1">
      <alignment horizontal="left"/>
    </xf>
    <xf numFmtId="165" fontId="1" fillId="3" borderId="0" xfId="1" quotePrefix="1" applyNumberFormat="1" applyFont="1" applyFill="1" applyBorder="1" applyAlignment="1">
      <alignment horizontal="left"/>
    </xf>
    <xf numFmtId="165" fontId="71" fillId="23" borderId="0" xfId="1" quotePrefix="1" applyNumberFormat="1" applyFont="1" applyFill="1" applyBorder="1" applyAlignment="1">
      <alignment horizontal="left"/>
    </xf>
    <xf numFmtId="165" fontId="71" fillId="24" borderId="0" xfId="1" quotePrefix="1" applyNumberFormat="1" applyFont="1" applyFill="1" applyBorder="1" applyAlignment="1">
      <alignment horizontal="left"/>
    </xf>
    <xf numFmtId="165" fontId="71" fillId="25" borderId="0" xfId="1" quotePrefix="1" applyNumberFormat="1" applyFont="1" applyFill="1" applyBorder="1" applyAlignment="1">
      <alignment horizontal="left"/>
    </xf>
    <xf numFmtId="165" fontId="11" fillId="25" borderId="0" xfId="1" quotePrefix="1" applyNumberFormat="1" applyFont="1" applyFill="1" applyBorder="1" applyAlignment="1">
      <alignment horizontal="left"/>
    </xf>
    <xf numFmtId="165" fontId="0" fillId="26" borderId="0" xfId="1" quotePrefix="1" applyNumberFormat="1" applyFont="1" applyFill="1" applyBorder="1" applyAlignment="1">
      <alignment horizontal="left"/>
    </xf>
    <xf numFmtId="165" fontId="1" fillId="26" borderId="0" xfId="1" quotePrefix="1" applyNumberFormat="1" applyFont="1" applyFill="1" applyBorder="1" applyAlignment="1">
      <alignment horizontal="left"/>
    </xf>
    <xf numFmtId="165" fontId="0" fillId="27" borderId="0" xfId="1" quotePrefix="1" applyNumberFormat="1" applyFont="1" applyFill="1" applyBorder="1" applyAlignment="1">
      <alignment horizontal="left"/>
    </xf>
    <xf numFmtId="165" fontId="1" fillId="27" borderId="0" xfId="1" quotePrefix="1" applyNumberFormat="1" applyFont="1" applyFill="1" applyBorder="1" applyAlignment="1">
      <alignment horizontal="left"/>
    </xf>
    <xf numFmtId="165" fontId="11" fillId="19" borderId="0" xfId="1" quotePrefix="1" applyNumberFormat="1" applyFont="1" applyFill="1" applyBorder="1" applyAlignment="1">
      <alignment horizontal="left"/>
    </xf>
    <xf numFmtId="165" fontId="11" fillId="28" borderId="0" xfId="1" quotePrefix="1" applyNumberFormat="1" applyFont="1" applyFill="1" applyBorder="1" applyAlignment="1">
      <alignment horizontal="left"/>
    </xf>
    <xf numFmtId="165" fontId="71" fillId="28" borderId="0" xfId="1" quotePrefix="1" applyNumberFormat="1" applyFont="1" applyFill="1" applyBorder="1" applyAlignment="1">
      <alignment horizontal="left"/>
    </xf>
    <xf numFmtId="165" fontId="11" fillId="23" borderId="0" xfId="1" quotePrefix="1" applyNumberFormat="1" applyFont="1" applyFill="1" applyBorder="1" applyAlignment="1">
      <alignment horizontal="left"/>
    </xf>
    <xf numFmtId="165" fontId="0" fillId="19" borderId="0" xfId="1" quotePrefix="1" applyNumberFormat="1" applyFont="1" applyFill="1" applyBorder="1" applyAlignment="1">
      <alignment horizontal="left"/>
    </xf>
    <xf numFmtId="165" fontId="1" fillId="19" borderId="0" xfId="1" quotePrefix="1" applyNumberFormat="1" applyFont="1" applyFill="1" applyBorder="1" applyAlignment="1">
      <alignment horizontal="left"/>
    </xf>
    <xf numFmtId="165" fontId="0" fillId="11" borderId="0" xfId="1" quotePrefix="1" applyNumberFormat="1" applyFont="1" applyFill="1" applyBorder="1" applyAlignment="1">
      <alignment horizontal="left"/>
    </xf>
    <xf numFmtId="165" fontId="1" fillId="11" borderId="0" xfId="1" quotePrefix="1" applyNumberFormat="1" applyFont="1" applyFill="1" applyBorder="1" applyAlignment="1">
      <alignment horizontal="left"/>
    </xf>
    <xf numFmtId="165" fontId="0" fillId="18" borderId="0" xfId="1" quotePrefix="1" applyNumberFormat="1" applyFont="1" applyFill="1" applyBorder="1" applyAlignment="1">
      <alignment horizontal="left"/>
    </xf>
    <xf numFmtId="165" fontId="1" fillId="18" borderId="0" xfId="1" quotePrefix="1" applyNumberFormat="1" applyFont="1" applyFill="1" applyBorder="1" applyAlignment="1">
      <alignment horizontal="left"/>
    </xf>
    <xf numFmtId="165" fontId="1" fillId="28" borderId="0" xfId="1" quotePrefix="1" applyNumberFormat="1" applyFont="1" applyFill="1" applyBorder="1" applyAlignment="1">
      <alignment horizontal="left"/>
    </xf>
    <xf numFmtId="165" fontId="71" fillId="29" borderId="0" xfId="1" quotePrefix="1" applyNumberFormat="1" applyFont="1" applyFill="1" applyBorder="1" applyAlignment="1">
      <alignment horizontal="left"/>
    </xf>
    <xf numFmtId="165" fontId="0" fillId="28" borderId="0" xfId="1" quotePrefix="1" applyNumberFormat="1" applyFont="1" applyFill="1" applyBorder="1" applyAlignment="1">
      <alignment horizontal="left"/>
    </xf>
    <xf numFmtId="0" fontId="0" fillId="19" borderId="0" xfId="0" applyFill="1" applyBorder="1"/>
    <xf numFmtId="165" fontId="71" fillId="30" borderId="0" xfId="1" quotePrefix="1" applyNumberFormat="1" applyFont="1" applyFill="1" applyBorder="1" applyAlignment="1">
      <alignment horizontal="left"/>
    </xf>
    <xf numFmtId="165" fontId="0" fillId="32" borderId="0" xfId="1" quotePrefix="1" applyNumberFormat="1" applyFont="1" applyFill="1" applyBorder="1" applyAlignment="1">
      <alignment horizontal="left"/>
    </xf>
    <xf numFmtId="165" fontId="0" fillId="33" borderId="0" xfId="1" quotePrefix="1" applyNumberFormat="1" applyFont="1" applyFill="1" applyBorder="1" applyAlignment="1">
      <alignment horizontal="left"/>
    </xf>
    <xf numFmtId="165" fontId="1" fillId="33" borderId="0" xfId="1" quotePrefix="1" applyNumberFormat="1" applyFont="1" applyFill="1" applyBorder="1" applyAlignment="1">
      <alignment horizontal="left"/>
    </xf>
    <xf numFmtId="165" fontId="0" fillId="34" borderId="0" xfId="1" quotePrefix="1" applyNumberFormat="1" applyFont="1" applyFill="1" applyBorder="1" applyAlignment="1">
      <alignment horizontal="left"/>
    </xf>
    <xf numFmtId="165" fontId="1" fillId="34" borderId="0" xfId="1" quotePrefix="1" applyNumberFormat="1" applyFont="1" applyFill="1" applyBorder="1" applyAlignment="1">
      <alignment horizontal="left"/>
    </xf>
    <xf numFmtId="165" fontId="0" fillId="12" borderId="0" xfId="1" quotePrefix="1" applyNumberFormat="1" applyFont="1" applyFill="1" applyBorder="1" applyAlignment="1">
      <alignment horizontal="right"/>
    </xf>
    <xf numFmtId="165" fontId="0" fillId="35" borderId="0" xfId="1" quotePrefix="1" applyNumberFormat="1" applyFont="1" applyFill="1" applyBorder="1" applyAlignment="1">
      <alignment horizontal="left"/>
    </xf>
    <xf numFmtId="165" fontId="71" fillId="36" borderId="0" xfId="1" quotePrefix="1" applyNumberFormat="1" applyFont="1" applyFill="1" applyBorder="1" applyAlignment="1">
      <alignment horizontal="left"/>
    </xf>
    <xf numFmtId="165" fontId="71" fillId="33" borderId="0" xfId="1" quotePrefix="1" applyNumberFormat="1" applyFont="1" applyFill="1" applyBorder="1" applyAlignment="1">
      <alignment horizontal="left"/>
    </xf>
    <xf numFmtId="165" fontId="11" fillId="33" borderId="0" xfId="1" quotePrefix="1" applyNumberFormat="1" applyFont="1" applyFill="1" applyBorder="1" applyAlignment="1">
      <alignment horizontal="left"/>
    </xf>
    <xf numFmtId="165" fontId="0" fillId="9" borderId="0" xfId="1" quotePrefix="1" applyNumberFormat="1" applyFont="1" applyFill="1" applyBorder="1" applyAlignment="1">
      <alignment horizontal="left"/>
    </xf>
    <xf numFmtId="165" fontId="71" fillId="37" borderId="0" xfId="1" quotePrefix="1" applyNumberFormat="1" applyFont="1" applyFill="1" applyBorder="1" applyAlignment="1">
      <alignment horizontal="left"/>
    </xf>
    <xf numFmtId="165" fontId="0" fillId="28" borderId="30" xfId="1" quotePrefix="1" applyNumberFormat="1" applyFont="1" applyFill="1" applyBorder="1" applyAlignment="1">
      <alignment horizontal="left"/>
    </xf>
    <xf numFmtId="165" fontId="1" fillId="28" borderId="30" xfId="1" quotePrefix="1" applyNumberFormat="1" applyFont="1" applyFill="1" applyBorder="1" applyAlignment="1">
      <alignment horizontal="left"/>
    </xf>
    <xf numFmtId="165" fontId="1" fillId="21" borderId="30" xfId="1" quotePrefix="1" applyNumberFormat="1" applyFont="1" applyFill="1" applyBorder="1" applyAlignment="1">
      <alignment horizontal="left"/>
    </xf>
    <xf numFmtId="0" fontId="2" fillId="0" borderId="26" xfId="0" applyFont="1" applyBorder="1" applyAlignment="1">
      <alignment horizontal="left"/>
    </xf>
    <xf numFmtId="165" fontId="69" fillId="0" borderId="31" xfId="329" quotePrefix="1" applyNumberFormat="1" applyBorder="1" applyAlignment="1">
      <alignment horizontal="left"/>
    </xf>
    <xf numFmtId="165" fontId="0" fillId="0" borderId="31" xfId="1" quotePrefix="1" applyNumberFormat="1" applyFont="1" applyBorder="1" applyAlignment="1">
      <alignment horizontal="left"/>
    </xf>
    <xf numFmtId="0" fontId="0" fillId="0" borderId="31" xfId="0" applyBorder="1"/>
    <xf numFmtId="165" fontId="1" fillId="0" borderId="26" xfId="1" quotePrefix="1" applyNumberFormat="1" applyFont="1" applyBorder="1" applyAlignment="1">
      <alignment horizontal="left"/>
    </xf>
    <xf numFmtId="165" fontId="0" fillId="11" borderId="30" xfId="1" quotePrefix="1" applyNumberFormat="1" applyFont="1" applyFill="1" applyBorder="1" applyAlignment="1">
      <alignment horizontal="left"/>
    </xf>
    <xf numFmtId="165" fontId="1" fillId="11" borderId="30" xfId="1" quotePrefix="1" applyNumberFormat="1" applyFont="1" applyFill="1" applyBorder="1" applyAlignment="1">
      <alignment horizontal="left"/>
    </xf>
    <xf numFmtId="165" fontId="71" fillId="0" borderId="31" xfId="1" quotePrefix="1" applyNumberFormat="1" applyFont="1" applyFill="1" applyBorder="1" applyAlignment="1">
      <alignment horizontal="left"/>
    </xf>
    <xf numFmtId="165" fontId="1" fillId="0" borderId="31" xfId="1" quotePrefix="1" applyNumberFormat="1" applyFont="1" applyFill="1" applyBorder="1" applyAlignment="1">
      <alignment horizontal="left"/>
    </xf>
    <xf numFmtId="165" fontId="1" fillId="0" borderId="26" xfId="1" quotePrefix="1" applyNumberFormat="1" applyFont="1" applyFill="1" applyBorder="1" applyAlignment="1">
      <alignment horizontal="left"/>
    </xf>
    <xf numFmtId="165" fontId="0" fillId="0" borderId="31" xfId="1" quotePrefix="1" applyNumberFormat="1" applyFont="1" applyFill="1" applyBorder="1" applyAlignment="1">
      <alignment horizontal="left"/>
    </xf>
    <xf numFmtId="165" fontId="0" fillId="0" borderId="26" xfId="1" quotePrefix="1" applyNumberFormat="1" applyFont="1" applyFill="1" applyBorder="1" applyAlignment="1">
      <alignment horizontal="left"/>
    </xf>
    <xf numFmtId="165" fontId="71" fillId="25" borderId="0" xfId="1" quotePrefix="1" applyNumberFormat="1" applyFont="1" applyFill="1" applyBorder="1" applyAlignment="1">
      <alignment horizontal="right"/>
    </xf>
    <xf numFmtId="165" fontId="2" fillId="0" borderId="31" xfId="1" quotePrefix="1" applyNumberFormat="1" applyFont="1" applyBorder="1" applyAlignment="1">
      <alignment horizontal="right"/>
    </xf>
    <xf numFmtId="165" fontId="2" fillId="0" borderId="32" xfId="1" quotePrefix="1" applyNumberFormat="1" applyFont="1" applyBorder="1" applyAlignment="1">
      <alignment horizontal="right"/>
    </xf>
    <xf numFmtId="9" fontId="2" fillId="0" borderId="31" xfId="2" quotePrefix="1" applyFont="1" applyBorder="1" applyAlignment="1">
      <alignment horizontal="right"/>
    </xf>
    <xf numFmtId="0" fontId="2" fillId="0" borderId="0" xfId="0" applyFont="1" applyBorder="1"/>
    <xf numFmtId="9" fontId="0" fillId="0" borderId="0" xfId="2" applyFont="1" applyBorder="1"/>
    <xf numFmtId="164" fontId="11" fillId="0" borderId="0" xfId="1" applyNumberFormat="1" applyFont="1" applyFill="1" applyAlignment="1">
      <alignment horizontal="right"/>
    </xf>
    <xf numFmtId="167" fontId="0" fillId="0" borderId="0" xfId="1" applyNumberFormat="1" applyFont="1" applyAlignment="1">
      <alignment horizontal="right"/>
    </xf>
    <xf numFmtId="0" fontId="0" fillId="0" borderId="7" xfId="0" applyFont="1" applyFill="1" applyBorder="1" applyAlignment="1">
      <alignment horizontal="left"/>
    </xf>
    <xf numFmtId="43" fontId="2" fillId="0" borderId="7" xfId="1" applyNumberFormat="1" applyFont="1" applyFill="1" applyBorder="1" applyAlignment="1">
      <alignment horizontal="right"/>
    </xf>
    <xf numFmtId="43" fontId="1" fillId="0" borderId="7" xfId="1" applyNumberFormat="1" applyFont="1" applyFill="1" applyBorder="1" applyAlignment="1">
      <alignment horizontal="right"/>
    </xf>
    <xf numFmtId="43" fontId="1" fillId="0" borderId="5" xfId="1" applyNumberFormat="1" applyFont="1" applyFill="1" applyBorder="1" applyAlignment="1">
      <alignment horizontal="right"/>
    </xf>
    <xf numFmtId="43" fontId="11" fillId="0" borderId="5" xfId="1" applyNumberFormat="1" applyFont="1" applyFill="1" applyBorder="1" applyAlignment="1">
      <alignment horizontal="right"/>
    </xf>
    <xf numFmtId="43" fontId="11" fillId="0" borderId="3" xfId="1" applyNumberFormat="1" applyFont="1" applyFill="1" applyBorder="1" applyAlignment="1">
      <alignment horizontal="right"/>
    </xf>
    <xf numFmtId="43" fontId="7" fillId="0" borderId="7" xfId="1" applyNumberFormat="1" applyFont="1" applyFill="1" applyBorder="1" applyAlignment="1">
      <alignment horizontal="right"/>
    </xf>
    <xf numFmtId="43" fontId="2" fillId="0" borderId="10" xfId="1" applyNumberFormat="1" applyFont="1" applyFill="1" applyBorder="1" applyAlignment="1">
      <alignment horizontal="right"/>
    </xf>
    <xf numFmtId="43" fontId="1" fillId="0" borderId="10" xfId="1" applyNumberFormat="1" applyFont="1" applyFill="1" applyBorder="1" applyAlignment="1">
      <alignment horizontal="right"/>
    </xf>
    <xf numFmtId="43" fontId="1" fillId="0" borderId="6" xfId="1" applyNumberFormat="1" applyFont="1" applyFill="1" applyBorder="1" applyAlignment="1">
      <alignment horizontal="right"/>
    </xf>
    <xf numFmtId="9" fontId="1" fillId="0" borderId="6" xfId="2" applyFont="1" applyFill="1" applyBorder="1" applyAlignment="1">
      <alignment horizontal="right"/>
    </xf>
    <xf numFmtId="9" fontId="1" fillId="0" borderId="7" xfId="2" applyFont="1" applyFill="1" applyBorder="1" applyAlignment="1">
      <alignment horizontal="right"/>
    </xf>
    <xf numFmtId="9" fontId="1" fillId="0" borderId="10" xfId="2" applyFont="1" applyFill="1" applyBorder="1" applyAlignment="1">
      <alignment horizontal="right"/>
    </xf>
    <xf numFmtId="9" fontId="1" fillId="10" borderId="7" xfId="2" applyFont="1" applyFill="1" applyBorder="1" applyAlignment="1">
      <alignment horizontal="right"/>
    </xf>
    <xf numFmtId="9" fontId="1" fillId="10" borderId="10" xfId="2" applyFont="1" applyFill="1" applyBorder="1" applyAlignment="1">
      <alignment horizontal="right"/>
    </xf>
    <xf numFmtId="9" fontId="1" fillId="10" borderId="6" xfId="2" applyFont="1" applyFill="1" applyBorder="1" applyAlignment="1">
      <alignment horizontal="right"/>
    </xf>
    <xf numFmtId="9" fontId="1" fillId="0" borderId="7" xfId="2" applyNumberFormat="1" applyFont="1" applyFill="1" applyBorder="1" applyAlignment="1">
      <alignment horizontal="right"/>
    </xf>
    <xf numFmtId="165" fontId="1" fillId="22" borderId="3" xfId="1" applyNumberFormat="1" applyFont="1" applyFill="1" applyBorder="1" applyAlignment="1">
      <alignment horizontal="right"/>
    </xf>
    <xf numFmtId="165" fontId="1" fillId="22" borderId="0" xfId="1" applyNumberFormat="1" applyFont="1" applyFill="1" applyBorder="1" applyAlignment="1">
      <alignment horizontal="right"/>
    </xf>
    <xf numFmtId="165" fontId="1" fillId="22" borderId="4" xfId="1" applyNumberFormat="1" applyFont="1" applyFill="1" applyBorder="1" applyAlignment="1">
      <alignment horizontal="right"/>
    </xf>
    <xf numFmtId="165" fontId="1" fillId="22" borderId="5" xfId="1" applyNumberFormat="1" applyFont="1" applyFill="1" applyBorder="1" applyAlignment="1">
      <alignment horizontal="right"/>
    </xf>
    <xf numFmtId="43" fontId="2" fillId="22" borderId="3" xfId="1" applyNumberFormat="1" applyFont="1" applyFill="1" applyBorder="1" applyAlignment="1">
      <alignment horizontal="right"/>
    </xf>
    <xf numFmtId="43" fontId="2" fillId="22" borderId="0" xfId="1" applyNumberFormat="1" applyFont="1" applyFill="1" applyBorder="1" applyAlignment="1">
      <alignment horizontal="right"/>
    </xf>
    <xf numFmtId="43" fontId="2" fillId="22" borderId="4" xfId="1" applyNumberFormat="1" applyFont="1" applyFill="1" applyBorder="1" applyAlignment="1">
      <alignment horizontal="right"/>
    </xf>
    <xf numFmtId="43" fontId="2" fillId="22" borderId="5" xfId="1" applyNumberFormat="1" applyFont="1" applyFill="1" applyBorder="1" applyAlignment="1">
      <alignment horizontal="right"/>
    </xf>
    <xf numFmtId="43" fontId="1" fillId="22" borderId="0" xfId="1" applyNumberFormat="1" applyFont="1" applyFill="1" applyBorder="1" applyAlignment="1">
      <alignment horizontal="right"/>
    </xf>
    <xf numFmtId="43" fontId="1" fillId="22" borderId="5" xfId="1" applyNumberFormat="1" applyFont="1" applyFill="1" applyBorder="1" applyAlignment="1">
      <alignment horizontal="right"/>
    </xf>
    <xf numFmtId="0" fontId="0" fillId="0" borderId="12" xfId="0" applyFont="1" applyFill="1" applyBorder="1" applyAlignment="1">
      <alignment horizontal="left"/>
    </xf>
    <xf numFmtId="165" fontId="72" fillId="0" borderId="30" xfId="1" quotePrefix="1" applyNumberFormat="1" applyFont="1" applyFill="1" applyBorder="1" applyAlignment="1">
      <alignment horizontal="right"/>
    </xf>
    <xf numFmtId="165" fontId="72" fillId="0" borderId="29" xfId="1" quotePrefix="1" applyNumberFormat="1" applyFont="1" applyFill="1" applyBorder="1" applyAlignment="1">
      <alignment horizontal="right"/>
    </xf>
    <xf numFmtId="167" fontId="0" fillId="0" borderId="0" xfId="1" applyNumberFormat="1" applyFont="1" applyFill="1"/>
    <xf numFmtId="9" fontId="0" fillId="0" borderId="0" xfId="2" quotePrefix="1" applyNumberFormat="1" applyFont="1" applyBorder="1" applyAlignment="1">
      <alignment horizontal="right"/>
    </xf>
    <xf numFmtId="9" fontId="0" fillId="0" borderId="5" xfId="2" quotePrefix="1" applyNumberFormat="1" applyFont="1" applyBorder="1" applyAlignment="1">
      <alignment horizontal="right"/>
    </xf>
    <xf numFmtId="9" fontId="0" fillId="0" borderId="0" xfId="2" quotePrefix="1" applyNumberFormat="1" applyFont="1" applyFill="1" applyBorder="1" applyAlignment="1">
      <alignment horizontal="right"/>
    </xf>
    <xf numFmtId="9" fontId="0" fillId="0" borderId="5" xfId="2" quotePrefix="1" applyNumberFormat="1" applyFont="1" applyFill="1" applyBorder="1" applyAlignment="1">
      <alignment horizontal="right"/>
    </xf>
    <xf numFmtId="9" fontId="0" fillId="10" borderId="0" xfId="2" quotePrefix="1" applyNumberFormat="1" applyFont="1" applyFill="1" applyBorder="1" applyAlignment="1">
      <alignment horizontal="right"/>
    </xf>
    <xf numFmtId="9" fontId="0" fillId="0" borderId="0" xfId="2" quotePrefix="1" applyFont="1" applyBorder="1" applyAlignment="1">
      <alignment horizontal="right"/>
    </xf>
    <xf numFmtId="9" fontId="0" fillId="0" borderId="5" xfId="2" quotePrefix="1" applyFont="1" applyBorder="1" applyAlignment="1">
      <alignment horizontal="right"/>
    </xf>
    <xf numFmtId="9" fontId="0" fillId="0" borderId="0" xfId="2" quotePrefix="1" applyFont="1" applyFill="1" applyBorder="1" applyAlignment="1">
      <alignment horizontal="right"/>
    </xf>
    <xf numFmtId="9" fontId="0" fillId="10" borderId="0" xfId="2" quotePrefix="1" applyFont="1" applyFill="1" applyBorder="1" applyAlignment="1">
      <alignment horizontal="right"/>
    </xf>
    <xf numFmtId="0" fontId="11" fillId="0" borderId="0" xfId="0" applyFont="1" applyFill="1" applyAlignment="1">
      <alignment horizontal="left"/>
    </xf>
    <xf numFmtId="165" fontId="11" fillId="9" borderId="0" xfId="1" applyNumberFormat="1" applyFont="1" applyFill="1" applyBorder="1" applyAlignment="1">
      <alignment horizontal="right"/>
    </xf>
    <xf numFmtId="166" fontId="0" fillId="0" borderId="0" xfId="2" applyNumberFormat="1" applyFont="1" applyFill="1"/>
    <xf numFmtId="166" fontId="2" fillId="0" borderId="0" xfId="2" quotePrefix="1" applyNumberFormat="1" applyFont="1" applyFill="1" applyBorder="1" applyAlignment="1">
      <alignment horizontal="right"/>
    </xf>
    <xf numFmtId="166" fontId="2" fillId="0" borderId="5" xfId="2" quotePrefix="1" applyNumberFormat="1" applyFont="1" applyFill="1" applyBorder="1" applyAlignment="1">
      <alignment horizontal="right"/>
    </xf>
    <xf numFmtId="0" fontId="2" fillId="0" borderId="0" xfId="0" applyFont="1" applyFill="1"/>
    <xf numFmtId="165" fontId="2" fillId="0" borderId="0"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0" fontId="2" fillId="0" borderId="13" xfId="0" applyFont="1" applyFill="1" applyBorder="1" applyAlignment="1">
      <alignment horizontal="left"/>
    </xf>
    <xf numFmtId="165" fontId="0" fillId="0" borderId="30" xfId="1" quotePrefix="1" applyNumberFormat="1" applyFont="1" applyFill="1" applyBorder="1" applyAlignment="1">
      <alignment horizontal="left"/>
    </xf>
    <xf numFmtId="165" fontId="0" fillId="3" borderId="30" xfId="1" quotePrefix="1" applyNumberFormat="1" applyFont="1" applyFill="1" applyBorder="1" applyAlignment="1">
      <alignment horizontal="left"/>
    </xf>
    <xf numFmtId="165" fontId="0" fillId="10" borderId="30" xfId="1" quotePrefix="1" applyNumberFormat="1" applyFont="1" applyFill="1" applyBorder="1" applyAlignment="1">
      <alignment horizontal="left"/>
    </xf>
    <xf numFmtId="165" fontId="0" fillId="0" borderId="13" xfId="1" quotePrefix="1" applyNumberFormat="1" applyFont="1" applyFill="1" applyBorder="1" applyAlignment="1">
      <alignment horizontal="left"/>
    </xf>
    <xf numFmtId="165" fontId="1" fillId="0" borderId="30" xfId="1" quotePrefix="1" applyNumberFormat="1" applyFont="1" applyFill="1" applyBorder="1" applyAlignment="1">
      <alignment horizontal="left"/>
    </xf>
    <xf numFmtId="165" fontId="69" fillId="0" borderId="30" xfId="329" quotePrefix="1" applyNumberFormat="1" applyFill="1" applyBorder="1" applyAlignment="1">
      <alignment horizontal="left"/>
    </xf>
    <xf numFmtId="0" fontId="0" fillId="0" borderId="30" xfId="0" applyFill="1" applyBorder="1"/>
    <xf numFmtId="165" fontId="0" fillId="31" borderId="30" xfId="1" quotePrefix="1" applyNumberFormat="1" applyFont="1" applyFill="1" applyBorder="1" applyAlignment="1">
      <alignment horizontal="left"/>
    </xf>
    <xf numFmtId="165" fontId="1" fillId="31" borderId="30" xfId="1" quotePrefix="1" applyNumberFormat="1" applyFont="1" applyFill="1" applyBorder="1" applyAlignment="1">
      <alignment horizontal="left"/>
    </xf>
    <xf numFmtId="165" fontId="1" fillId="0" borderId="13" xfId="1" quotePrefix="1" applyNumberFormat="1" applyFont="1" applyFill="1" applyBorder="1" applyAlignment="1">
      <alignment horizontal="left"/>
    </xf>
    <xf numFmtId="165" fontId="11" fillId="21" borderId="30" xfId="1" quotePrefix="1" applyNumberFormat="1" applyFont="1" applyFill="1" applyBorder="1" applyAlignment="1">
      <alignment horizontal="left"/>
    </xf>
    <xf numFmtId="165" fontId="71" fillId="21" borderId="30" xfId="1" quotePrefix="1" applyNumberFormat="1" applyFont="1" applyFill="1" applyBorder="1" applyAlignment="1">
      <alignment horizontal="left"/>
    </xf>
    <xf numFmtId="165" fontId="11" fillId="11" borderId="30" xfId="1" quotePrefix="1" applyNumberFormat="1" applyFont="1" applyFill="1" applyBorder="1" applyAlignment="1">
      <alignment horizontal="left"/>
    </xf>
    <xf numFmtId="165" fontId="71" fillId="11" borderId="30" xfId="1" quotePrefix="1" applyNumberFormat="1" applyFont="1" applyFill="1" applyBorder="1" applyAlignment="1">
      <alignment horizontal="left"/>
    </xf>
    <xf numFmtId="165" fontId="11" fillId="9" borderId="5" xfId="1" applyNumberFormat="1" applyFont="1" applyFill="1" applyBorder="1" applyAlignment="1">
      <alignment horizontal="right"/>
    </xf>
    <xf numFmtId="166" fontId="0" fillId="9" borderId="0" xfId="2" applyNumberFormat="1" applyFont="1" applyFill="1" applyBorder="1" applyAlignment="1">
      <alignment horizontal="right"/>
    </xf>
    <xf numFmtId="166" fontId="0" fillId="11" borderId="0" xfId="2" applyNumberFormat="1" applyFont="1" applyFill="1" applyBorder="1" applyAlignment="1">
      <alignment horizontal="right"/>
    </xf>
    <xf numFmtId="165" fontId="12" fillId="11" borderId="0" xfId="1" applyNumberFormat="1" applyFont="1" applyFill="1" applyBorder="1" applyAlignment="1">
      <alignment horizontal="right"/>
    </xf>
    <xf numFmtId="43" fontId="13" fillId="9" borderId="0" xfId="1" applyNumberFormat="1" applyFont="1" applyFill="1" applyBorder="1" applyAlignment="1">
      <alignment horizontal="right"/>
    </xf>
    <xf numFmtId="43" fontId="13" fillId="9" borderId="5" xfId="1" applyNumberFormat="1" applyFont="1" applyFill="1" applyBorder="1" applyAlignment="1">
      <alignment horizontal="right"/>
    </xf>
    <xf numFmtId="5" fontId="2" fillId="0" borderId="24" xfId="1" applyNumberFormat="1" applyFont="1" applyBorder="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12" xfId="0" applyFont="1" applyFill="1" applyBorder="1"/>
    <xf numFmtId="6" fontId="0" fillId="0" borderId="13" xfId="0" applyNumberFormat="1" applyFont="1" applyBorder="1"/>
    <xf numFmtId="0" fontId="2" fillId="0" borderId="1" xfId="0" applyFont="1" applyFill="1" applyBorder="1" applyAlignment="1">
      <alignment horizontal="left"/>
    </xf>
    <xf numFmtId="0" fontId="2" fillId="0" borderId="23"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4" xfId="0" applyFont="1" applyBorder="1" applyAlignment="1">
      <alignment horizontal="left"/>
    </xf>
    <xf numFmtId="0" fontId="9" fillId="0" borderId="3" xfId="0" applyFont="1" applyBorder="1" applyAlignment="1">
      <alignment horizontal="left"/>
    </xf>
    <xf numFmtId="0" fontId="2" fillId="0" borderId="13" xfId="0" applyFont="1" applyBorder="1" applyAlignment="1">
      <alignment horizontal="left"/>
    </xf>
    <xf numFmtId="0" fontId="0" fillId="0" borderId="12" xfId="0" applyFont="1" applyBorder="1" applyAlignment="1">
      <alignment horizontal="left"/>
    </xf>
    <xf numFmtId="0" fontId="9" fillId="0" borderId="25" xfId="0" applyFont="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0" fillId="0" borderId="6" xfId="0" applyFont="1" applyFill="1" applyBorder="1" applyAlignment="1">
      <alignment horizontal="left"/>
    </xf>
    <xf numFmtId="168" fontId="0" fillId="0" borderId="3" xfId="2" applyNumberFormat="1" applyFont="1" applyFill="1" applyBorder="1" applyAlignment="1">
      <alignment horizontal="right"/>
    </xf>
    <xf numFmtId="168" fontId="0" fillId="0" borderId="3" xfId="1" applyNumberFormat="1" applyFont="1" applyFill="1" applyBorder="1" applyAlignment="1">
      <alignment horizontal="right"/>
    </xf>
    <xf numFmtId="43" fontId="1" fillId="0" borderId="3" xfId="1" quotePrefix="1" applyNumberFormat="1" applyFont="1" applyFill="1" applyBorder="1" applyAlignment="1">
      <alignment horizontal="right"/>
    </xf>
    <xf numFmtId="165" fontId="1" fillId="0" borderId="4" xfId="1" quotePrefix="1" applyNumberFormat="1" applyFont="1" applyFill="1" applyBorder="1" applyAlignment="1">
      <alignment horizontal="left"/>
    </xf>
    <xf numFmtId="165" fontId="1" fillId="10" borderId="4" xfId="1" quotePrefix="1" applyNumberFormat="1" applyFont="1" applyFill="1" applyBorder="1" applyAlignment="1">
      <alignment horizontal="left"/>
    </xf>
    <xf numFmtId="165" fontId="12" fillId="10" borderId="0" xfId="1" applyNumberFormat="1" applyFont="1" applyFill="1" applyBorder="1" applyAlignment="1">
      <alignment horizontal="right"/>
    </xf>
    <xf numFmtId="10" fontId="0" fillId="10" borderId="11" xfId="1" applyNumberFormat="1" applyFont="1" applyFill="1" applyBorder="1" applyAlignment="1">
      <alignment horizontal="right"/>
    </xf>
    <xf numFmtId="10" fontId="0" fillId="10" borderId="4" xfId="2" applyNumberFormat="1" applyFont="1" applyFill="1" applyBorder="1" applyAlignment="1">
      <alignment horizontal="right"/>
    </xf>
    <xf numFmtId="10" fontId="0" fillId="0" borderId="0" xfId="2" applyNumberFormat="1" applyFont="1" applyAlignment="1">
      <alignment horizontal="right"/>
    </xf>
    <xf numFmtId="0" fontId="2" fillId="0" borderId="3" xfId="0" applyFont="1" applyBorder="1" applyAlignment="1">
      <alignment horizontal="left"/>
    </xf>
    <xf numFmtId="0" fontId="2" fillId="0" borderId="4" xfId="0" applyFont="1" applyBorder="1" applyAlignment="1">
      <alignment horizontal="left"/>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10" borderId="1" xfId="0" applyFont="1" applyFill="1" applyBorder="1" applyAlignment="1">
      <alignment horizontal="left"/>
    </xf>
    <xf numFmtId="0" fontId="0" fillId="10"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9" borderId="6" xfId="0" applyFont="1" applyFill="1" applyBorder="1" applyAlignment="1">
      <alignment horizontal="left"/>
    </xf>
    <xf numFmtId="0" fontId="0" fillId="9" borderId="10" xfId="0" applyFont="1" applyFill="1" applyBorder="1" applyAlignment="1">
      <alignment horizontal="left"/>
    </xf>
    <xf numFmtId="0" fontId="16" fillId="2" borderId="1" xfId="0" applyFont="1" applyFill="1" applyBorder="1" applyAlignment="1">
      <alignment horizontal="left"/>
    </xf>
    <xf numFmtId="0" fontId="16" fillId="2" borderId="2" xfId="0" applyFont="1" applyFill="1" applyBorder="1" applyAlignment="1">
      <alignment horizontal="left"/>
    </xf>
    <xf numFmtId="0" fontId="18" fillId="2" borderId="3" xfId="0" applyFont="1" applyFill="1" applyBorder="1" applyAlignment="1">
      <alignment horizontal="left"/>
    </xf>
    <xf numFmtId="0" fontId="18" fillId="2" borderId="0"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0" xfId="0" applyFont="1" applyFill="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166" fontId="0" fillId="0" borderId="3" xfId="2" applyNumberFormat="1" applyFont="1" applyBorder="1" applyAlignment="1">
      <alignment horizontal="left"/>
    </xf>
    <xf numFmtId="166" fontId="0" fillId="0" borderId="4" xfId="2" applyNumberFormat="1"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5" xfId="0" applyFont="1" applyFill="1" applyBorder="1" applyAlignment="1">
      <alignment horizontal="left"/>
    </xf>
    <xf numFmtId="0" fontId="9" fillId="0" borderId="26"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16" fillId="2" borderId="27" xfId="0" applyFont="1" applyFill="1" applyBorder="1" applyAlignment="1">
      <alignment horizontal="left"/>
    </xf>
    <xf numFmtId="0" fontId="16" fillId="2" borderId="28"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16" fillId="2" borderId="11" xfId="0" applyFont="1" applyFill="1" applyBorder="1" applyAlignment="1">
      <alignment horizontal="lef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59A-4CF1-A713-CE2359DDB40C}"/>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29</xdr:row>
      <xdr:rowOff>0</xdr:rowOff>
    </xdr:from>
    <xdr:to>
      <xdr:col>31</xdr:col>
      <xdr:colOff>718343</xdr:colOff>
      <xdr:row>29</xdr:row>
      <xdr:rowOff>0</xdr:rowOff>
    </xdr:to>
    <xdr:graphicFrame macro="">
      <xdr:nvGraphicFramePr>
        <xdr:cNvPr id="5" name="Chart 4">
          <a:extLst>
            <a:ext uri="{FF2B5EF4-FFF2-40B4-BE49-F238E27FC236}">
              <a16:creationId xmlns:a16="http://schemas.microsoft.com/office/drawing/2014/main" id="{0E19D02A-9780-452D-8237-568236118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X166"/>
  <sheetViews>
    <sheetView showGridLines="0" tabSelected="1" zoomScaleNormal="100" workbookViewId="0">
      <selection activeCell="B2" sqref="B2:C2"/>
    </sheetView>
  </sheetViews>
  <sheetFormatPr defaultRowHeight="14.4" outlineLevelRow="1" outlineLevelCol="1" x14ac:dyDescent="0.3"/>
  <cols>
    <col min="1" max="1" width="1.6640625" style="127" customWidth="1"/>
    <col min="2" max="2" width="32.6640625" style="127" customWidth="1"/>
    <col min="3" max="3" width="17.88671875" style="40" customWidth="1"/>
    <col min="4" max="27" width="11.5546875" style="1" hidden="1" customWidth="1" outlineLevel="1"/>
    <col min="28" max="28" width="11.5546875" style="1" customWidth="1" collapsed="1"/>
    <col min="29" max="30" width="11.5546875" style="1" customWidth="1" outlineLevel="1"/>
    <col min="31" max="32" width="11.5546875" style="4" customWidth="1" outlineLevel="1"/>
    <col min="33" max="33" width="11.5546875" style="4" customWidth="1"/>
    <col min="34" max="35" width="11.5546875" style="1" customWidth="1" outlineLevel="1"/>
    <col min="36" max="37" width="11.5546875" style="4" customWidth="1" outlineLevel="1"/>
    <col min="38" max="38" width="11.5546875" style="4" customWidth="1"/>
    <col min="39" max="40" width="11.5546875" style="1" customWidth="1" outlineLevel="1"/>
    <col min="41" max="42" width="11.5546875" style="4" customWidth="1" outlineLevel="1"/>
    <col min="43" max="43" width="11.5546875" style="4" customWidth="1"/>
    <col min="44" max="45" width="11.5546875" style="1" customWidth="1" outlineLevel="1"/>
    <col min="46" max="47" width="11.5546875" style="4" customWidth="1" outlineLevel="1"/>
    <col min="48" max="48" width="11.5546875" style="4" customWidth="1"/>
    <col min="49" max="16384" width="8.88671875" style="127"/>
  </cols>
  <sheetData>
    <row r="1" spans="2:76" ht="9" customHeight="1" x14ac:dyDescent="0.3"/>
    <row r="2" spans="2:76" ht="45" customHeight="1" x14ac:dyDescent="0.3">
      <c r="B2" s="380" t="s">
        <v>129</v>
      </c>
      <c r="C2" s="381"/>
      <c r="AJ2" s="149"/>
    </row>
    <row r="3" spans="2:76" x14ac:dyDescent="0.3">
      <c r="B3" s="382" t="s">
        <v>296</v>
      </c>
      <c r="C3" s="383"/>
      <c r="AC3" s="48"/>
      <c r="AF3" s="140"/>
      <c r="AG3" s="140"/>
    </row>
    <row r="4" spans="2:76" x14ac:dyDescent="0.3">
      <c r="B4" s="384" t="s">
        <v>267</v>
      </c>
      <c r="C4" s="385"/>
      <c r="H4" s="26"/>
      <c r="AC4" s="48"/>
      <c r="AF4" s="140"/>
      <c r="AG4" s="140"/>
      <c r="BX4" s="148" t="s">
        <v>130</v>
      </c>
    </row>
    <row r="5" spans="2:76" x14ac:dyDescent="0.3">
      <c r="B5" s="386" t="s">
        <v>289</v>
      </c>
      <c r="C5" s="387"/>
      <c r="AC5" s="139"/>
      <c r="AD5" s="48"/>
      <c r="AE5" s="48"/>
      <c r="AF5" s="140"/>
      <c r="AG5" s="140"/>
      <c r="AH5" s="140"/>
      <c r="AI5" s="140"/>
      <c r="AJ5" s="140"/>
      <c r="AK5" s="140"/>
      <c r="AL5" s="48"/>
      <c r="AM5" s="48"/>
      <c r="AN5" s="48"/>
      <c r="AO5" s="48"/>
      <c r="AP5" s="48"/>
      <c r="AQ5" s="48"/>
      <c r="AR5" s="48"/>
      <c r="AS5" s="48"/>
      <c r="AT5" s="48"/>
      <c r="AU5" s="48"/>
      <c r="AV5" s="48"/>
    </row>
    <row r="6" spans="2:76" ht="14.4" customHeight="1" x14ac:dyDescent="0.3">
      <c r="B6" s="354" t="s">
        <v>122</v>
      </c>
      <c r="C6" s="178">
        <f>C141</f>
        <v>144.99835185160515</v>
      </c>
      <c r="AC6" s="48"/>
      <c r="AD6" s="48"/>
      <c r="AE6" s="48"/>
      <c r="AF6" s="141"/>
      <c r="AG6" s="141"/>
      <c r="AH6" s="48"/>
      <c r="AI6" s="48"/>
      <c r="AJ6" s="48"/>
      <c r="AK6" s="70"/>
      <c r="AL6" s="180"/>
      <c r="AM6" s="48"/>
      <c r="AN6" s="48"/>
      <c r="AO6" s="48"/>
      <c r="AP6" s="48"/>
      <c r="AQ6" s="48"/>
      <c r="AR6" s="48"/>
      <c r="AS6" s="48"/>
      <c r="AT6" s="48"/>
      <c r="AU6" s="48"/>
      <c r="AV6" s="48"/>
    </row>
    <row r="7" spans="2:76" ht="14.4" customHeight="1" x14ac:dyDescent="0.3">
      <c r="B7" s="355" t="s">
        <v>288</v>
      </c>
      <c r="C7" s="349" t="str">
        <f>TEXT(C150,"$0")&amp;" to "&amp;TEXT(C149,"$0")</f>
        <v>$138 to $164</v>
      </c>
      <c r="D7" s="57"/>
      <c r="I7" s="57"/>
      <c r="N7" s="57"/>
      <c r="S7" s="57"/>
      <c r="X7" s="57"/>
      <c r="AA7" s="102"/>
      <c r="AC7" s="48"/>
      <c r="AD7" s="48"/>
      <c r="AE7" s="147"/>
      <c r="AF7" s="70"/>
      <c r="AG7" s="117"/>
      <c r="AH7" s="48"/>
      <c r="AI7" s="48"/>
      <c r="AJ7" s="48"/>
      <c r="AK7" s="70"/>
      <c r="AL7" s="70"/>
      <c r="AM7" s="48"/>
      <c r="AN7" s="279"/>
      <c r="AO7" s="48"/>
      <c r="AP7" s="48"/>
      <c r="AQ7" s="70"/>
      <c r="AR7" s="70"/>
      <c r="AS7" s="70"/>
      <c r="AT7" s="48"/>
      <c r="AU7" s="48"/>
      <c r="AV7" s="48"/>
    </row>
    <row r="8" spans="2:76" ht="3.75" customHeight="1" x14ac:dyDescent="0.3">
      <c r="C8" s="86"/>
      <c r="D8" s="26"/>
      <c r="E8" s="26"/>
      <c r="F8" s="26"/>
      <c r="G8" s="26"/>
      <c r="H8" s="26"/>
      <c r="I8" s="26"/>
      <c r="J8" s="26"/>
      <c r="K8" s="26"/>
      <c r="L8" s="26"/>
      <c r="M8" s="26"/>
      <c r="N8" s="26"/>
      <c r="O8" s="26"/>
      <c r="P8" s="26"/>
      <c r="Q8" s="26"/>
      <c r="R8" s="26"/>
      <c r="S8" s="26"/>
      <c r="T8" s="26"/>
      <c r="U8" s="26"/>
      <c r="V8" s="26"/>
      <c r="W8" s="26"/>
      <c r="X8" s="26"/>
      <c r="Y8" s="26"/>
      <c r="Z8" s="26"/>
      <c r="AA8" s="26"/>
      <c r="AB8" s="26"/>
      <c r="AC8" s="68"/>
      <c r="AD8" s="68"/>
      <c r="AE8" s="68"/>
      <c r="AF8" s="68"/>
      <c r="AG8" s="69"/>
      <c r="AH8" s="68"/>
      <c r="AI8" s="68"/>
      <c r="AJ8" s="68"/>
      <c r="AK8" s="70"/>
      <c r="AL8" s="70"/>
      <c r="AM8" s="68"/>
      <c r="AN8" s="310"/>
      <c r="AO8" s="68"/>
      <c r="AP8" s="70"/>
      <c r="AQ8" s="70"/>
      <c r="AR8" s="68"/>
      <c r="AS8" s="68"/>
      <c r="AT8" s="68"/>
      <c r="AU8" s="70"/>
      <c r="AV8" s="48"/>
    </row>
    <row r="9" spans="2:76" ht="15.6" x14ac:dyDescent="0.3">
      <c r="B9" s="388" t="s">
        <v>35</v>
      </c>
      <c r="C9" s="389"/>
      <c r="D9" s="110" t="s">
        <v>61</v>
      </c>
      <c r="E9" s="110" t="s">
        <v>62</v>
      </c>
      <c r="F9" s="110" t="s">
        <v>63</v>
      </c>
      <c r="G9" s="110" t="s">
        <v>64</v>
      </c>
      <c r="H9" s="110" t="s">
        <v>64</v>
      </c>
      <c r="I9" s="110" t="s">
        <v>60</v>
      </c>
      <c r="J9" s="110" t="s">
        <v>70</v>
      </c>
      <c r="K9" s="110" t="s">
        <v>71</v>
      </c>
      <c r="L9" s="110" t="s">
        <v>72</v>
      </c>
      <c r="M9" s="110" t="s">
        <v>72</v>
      </c>
      <c r="N9" s="110" t="s">
        <v>78</v>
      </c>
      <c r="O9" s="110" t="s">
        <v>79</v>
      </c>
      <c r="P9" s="110" t="s">
        <v>80</v>
      </c>
      <c r="Q9" s="110" t="s">
        <v>81</v>
      </c>
      <c r="R9" s="110" t="s">
        <v>81</v>
      </c>
      <c r="S9" s="110" t="s">
        <v>87</v>
      </c>
      <c r="T9" s="110" t="s">
        <v>88</v>
      </c>
      <c r="U9" s="110" t="s">
        <v>89</v>
      </c>
      <c r="V9" s="110" t="s">
        <v>43</v>
      </c>
      <c r="W9" s="110" t="s">
        <v>43</v>
      </c>
      <c r="X9" s="110" t="s">
        <v>42</v>
      </c>
      <c r="Y9" s="110" t="s">
        <v>41</v>
      </c>
      <c r="Z9" s="110" t="s">
        <v>40</v>
      </c>
      <c r="AA9" s="110" t="s">
        <v>39</v>
      </c>
      <c r="AB9" s="110" t="s">
        <v>39</v>
      </c>
      <c r="AC9" s="110" t="s">
        <v>44</v>
      </c>
      <c r="AD9" s="110" t="s">
        <v>45</v>
      </c>
      <c r="AE9" s="110" t="s">
        <v>46</v>
      </c>
      <c r="AF9" s="110" t="s">
        <v>47</v>
      </c>
      <c r="AG9" s="110" t="s">
        <v>47</v>
      </c>
      <c r="AH9" s="110" t="s">
        <v>49</v>
      </c>
      <c r="AI9" s="110" t="s">
        <v>50</v>
      </c>
      <c r="AJ9" s="110" t="s">
        <v>51</v>
      </c>
      <c r="AK9" s="110" t="s">
        <v>52</v>
      </c>
      <c r="AL9" s="110" t="s">
        <v>52</v>
      </c>
      <c r="AM9" s="110" t="s">
        <v>48</v>
      </c>
      <c r="AN9" s="110" t="s">
        <v>53</v>
      </c>
      <c r="AO9" s="129" t="s">
        <v>54</v>
      </c>
      <c r="AP9" s="129" t="s">
        <v>55</v>
      </c>
      <c r="AQ9" s="129" t="s">
        <v>55</v>
      </c>
      <c r="AR9" s="129" t="s">
        <v>56</v>
      </c>
      <c r="AS9" s="129" t="s">
        <v>57</v>
      </c>
      <c r="AT9" s="129" t="s">
        <v>58</v>
      </c>
      <c r="AU9" s="129" t="s">
        <v>59</v>
      </c>
      <c r="AV9" s="130" t="s">
        <v>59</v>
      </c>
    </row>
    <row r="10" spans="2:76" ht="16.2" x14ac:dyDescent="0.45">
      <c r="B10" s="390" t="s">
        <v>10</v>
      </c>
      <c r="C10" s="391"/>
      <c r="D10" s="111" t="s">
        <v>65</v>
      </c>
      <c r="E10" s="111" t="s">
        <v>66</v>
      </c>
      <c r="F10" s="111" t="s">
        <v>67</v>
      </c>
      <c r="G10" s="111" t="s">
        <v>68</v>
      </c>
      <c r="H10" s="111" t="s">
        <v>69</v>
      </c>
      <c r="I10" s="111" t="s">
        <v>73</v>
      </c>
      <c r="J10" s="111" t="s">
        <v>74</v>
      </c>
      <c r="K10" s="111" t="s">
        <v>75</v>
      </c>
      <c r="L10" s="111" t="s">
        <v>76</v>
      </c>
      <c r="M10" s="111" t="s">
        <v>77</v>
      </c>
      <c r="N10" s="111" t="s">
        <v>82</v>
      </c>
      <c r="O10" s="111" t="s">
        <v>83</v>
      </c>
      <c r="P10" s="111" t="s">
        <v>84</v>
      </c>
      <c r="Q10" s="111" t="s">
        <v>85</v>
      </c>
      <c r="R10" s="111" t="s">
        <v>86</v>
      </c>
      <c r="S10" s="111" t="s">
        <v>90</v>
      </c>
      <c r="T10" s="111" t="s">
        <v>91</v>
      </c>
      <c r="U10" s="111" t="s">
        <v>92</v>
      </c>
      <c r="V10" s="111" t="s">
        <v>93</v>
      </c>
      <c r="W10" s="111" t="s">
        <v>0</v>
      </c>
      <c r="X10" s="111" t="s">
        <v>12</v>
      </c>
      <c r="Y10" s="111" t="s">
        <v>13</v>
      </c>
      <c r="Z10" s="111" t="s">
        <v>14</v>
      </c>
      <c r="AA10" s="111" t="s">
        <v>15</v>
      </c>
      <c r="AB10" s="111" t="s">
        <v>6</v>
      </c>
      <c r="AC10" s="111" t="s">
        <v>110</v>
      </c>
      <c r="AD10" s="111" t="s">
        <v>115</v>
      </c>
      <c r="AE10" s="111" t="s">
        <v>116</v>
      </c>
      <c r="AF10" s="111" t="s">
        <v>117</v>
      </c>
      <c r="AG10" s="111" t="s">
        <v>126</v>
      </c>
      <c r="AH10" s="111" t="s">
        <v>127</v>
      </c>
      <c r="AI10" s="111" t="s">
        <v>131</v>
      </c>
      <c r="AJ10" s="111" t="s">
        <v>132</v>
      </c>
      <c r="AK10" s="111" t="s">
        <v>153</v>
      </c>
      <c r="AL10" s="111" t="s">
        <v>154</v>
      </c>
      <c r="AM10" s="111" t="s">
        <v>155</v>
      </c>
      <c r="AN10" s="111" t="s">
        <v>268</v>
      </c>
      <c r="AO10" s="131" t="s">
        <v>24</v>
      </c>
      <c r="AP10" s="131" t="s">
        <v>25</v>
      </c>
      <c r="AQ10" s="131" t="s">
        <v>118</v>
      </c>
      <c r="AR10" s="131" t="s">
        <v>26</v>
      </c>
      <c r="AS10" s="131" t="s">
        <v>27</v>
      </c>
      <c r="AT10" s="131" t="s">
        <v>28</v>
      </c>
      <c r="AU10" s="131" t="s">
        <v>29</v>
      </c>
      <c r="AV10" s="132" t="s">
        <v>119</v>
      </c>
    </row>
    <row r="11" spans="2:76" x14ac:dyDescent="0.3">
      <c r="B11" s="392" t="s">
        <v>36</v>
      </c>
      <c r="C11" s="393"/>
      <c r="D11" s="21">
        <v>15683</v>
      </c>
      <c r="E11" s="3">
        <v>13499</v>
      </c>
      <c r="F11" s="3">
        <v>15700</v>
      </c>
      <c r="G11" s="22">
        <v>20343</v>
      </c>
      <c r="H11" s="2">
        <v>65225</v>
      </c>
      <c r="I11" s="21">
        <v>26741</v>
      </c>
      <c r="J11" s="3">
        <v>24667</v>
      </c>
      <c r="K11" s="3">
        <v>28571</v>
      </c>
      <c r="L11" s="22">
        <v>28270</v>
      </c>
      <c r="M11" s="2">
        <v>108249</v>
      </c>
      <c r="N11" s="21">
        <v>46333</v>
      </c>
      <c r="O11" s="3">
        <v>39186</v>
      </c>
      <c r="P11" s="3">
        <v>35023</v>
      </c>
      <c r="Q11" s="22">
        <v>35966</v>
      </c>
      <c r="R11" s="2">
        <v>156508</v>
      </c>
      <c r="S11" s="21">
        <v>54512</v>
      </c>
      <c r="T11" s="3">
        <v>43603</v>
      </c>
      <c r="U11" s="3">
        <v>35323</v>
      </c>
      <c r="V11" s="22">
        <v>37472</v>
      </c>
      <c r="W11" s="2">
        <v>170910</v>
      </c>
      <c r="X11" s="21">
        <v>57594</v>
      </c>
      <c r="Y11" s="3">
        <v>45646</v>
      </c>
      <c r="Z11" s="3">
        <v>37432</v>
      </c>
      <c r="AA11" s="22">
        <v>42123</v>
      </c>
      <c r="AB11" s="2">
        <v>182795</v>
      </c>
      <c r="AC11" s="124">
        <v>74599</v>
      </c>
      <c r="AD11" s="124">
        <f>AD112</f>
        <v>58010</v>
      </c>
      <c r="AE11" s="124">
        <v>49605</v>
      </c>
      <c r="AF11" s="124">
        <v>51501</v>
      </c>
      <c r="AG11" s="32">
        <f>SUM(AC11:AF11)</f>
        <v>233715</v>
      </c>
      <c r="AH11" s="124">
        <v>75872</v>
      </c>
      <c r="AI11" s="124">
        <v>50557</v>
      </c>
      <c r="AJ11" s="124">
        <v>42358</v>
      </c>
      <c r="AK11" s="124">
        <v>46852</v>
      </c>
      <c r="AL11" s="32">
        <f>SUM(AH11:AK11)</f>
        <v>215639</v>
      </c>
      <c r="AM11" s="124">
        <v>78351</v>
      </c>
      <c r="AN11" s="124">
        <v>52896</v>
      </c>
      <c r="AO11" s="183">
        <f>AO112</f>
        <v>44971.999999999993</v>
      </c>
      <c r="AP11" s="321">
        <f>AP112</f>
        <v>50746.999999999993</v>
      </c>
      <c r="AQ11" s="32">
        <f>SUM(AM11:AP11)</f>
        <v>226966</v>
      </c>
      <c r="AR11" s="321">
        <f>AR112</f>
        <v>83945</v>
      </c>
      <c r="AS11" s="321">
        <f>AS112</f>
        <v>60256.000000000007</v>
      </c>
      <c r="AT11" s="124">
        <f>AT112</f>
        <v>51661.195844444446</v>
      </c>
      <c r="AU11" s="124">
        <f>AU112</f>
        <v>54600.804155555554</v>
      </c>
      <c r="AV11" s="343">
        <f>SUM(AR11:AU11)</f>
        <v>250463</v>
      </c>
    </row>
    <row r="12" spans="2:76" ht="17.25" customHeight="1" x14ac:dyDescent="0.45">
      <c r="B12" s="392" t="s">
        <v>37</v>
      </c>
      <c r="C12" s="393"/>
      <c r="D12" s="19">
        <v>9272</v>
      </c>
      <c r="E12" s="6">
        <v>7874</v>
      </c>
      <c r="F12" s="6">
        <v>9564</v>
      </c>
      <c r="G12" s="20">
        <v>12831</v>
      </c>
      <c r="H12" s="5">
        <v>39541</v>
      </c>
      <c r="I12" s="19">
        <v>16443</v>
      </c>
      <c r="J12" s="6">
        <v>14449</v>
      </c>
      <c r="K12" s="6">
        <v>16649</v>
      </c>
      <c r="L12" s="20">
        <v>16890</v>
      </c>
      <c r="M12" s="5">
        <v>64431</v>
      </c>
      <c r="N12" s="19">
        <v>25630</v>
      </c>
      <c r="O12" s="6">
        <v>20622</v>
      </c>
      <c r="P12" s="6">
        <v>20029</v>
      </c>
      <c r="Q12" s="20">
        <v>21565</v>
      </c>
      <c r="R12" s="5">
        <v>87846</v>
      </c>
      <c r="S12" s="19">
        <v>33452</v>
      </c>
      <c r="T12" s="6">
        <v>27254</v>
      </c>
      <c r="U12" s="6">
        <v>22299</v>
      </c>
      <c r="V12" s="20">
        <v>23601</v>
      </c>
      <c r="W12" s="5">
        <v>106606</v>
      </c>
      <c r="X12" s="19">
        <v>35748</v>
      </c>
      <c r="Y12" s="6">
        <v>27699</v>
      </c>
      <c r="Z12" s="6">
        <v>22697</v>
      </c>
      <c r="AA12" s="20">
        <v>26114</v>
      </c>
      <c r="AB12" s="5">
        <v>112258</v>
      </c>
      <c r="AC12" s="49">
        <v>44858</v>
      </c>
      <c r="AD12" s="49">
        <v>34354</v>
      </c>
      <c r="AE12" s="49">
        <v>29924</v>
      </c>
      <c r="AF12" s="49">
        <v>30953</v>
      </c>
      <c r="AG12" s="105">
        <f>SUM(AC12:AF12)</f>
        <v>140089</v>
      </c>
      <c r="AH12" s="49">
        <v>45449</v>
      </c>
      <c r="AI12" s="49">
        <v>30636</v>
      </c>
      <c r="AJ12" s="49">
        <v>26252</v>
      </c>
      <c r="AK12" s="49">
        <v>29039</v>
      </c>
      <c r="AL12" s="105">
        <f>SUM(AH12:AK12)</f>
        <v>131376</v>
      </c>
      <c r="AM12" s="49">
        <v>48175</v>
      </c>
      <c r="AN12" s="49">
        <v>32305</v>
      </c>
      <c r="AO12" s="49">
        <f>-AO11*(AO119-1)</f>
        <v>27797.193199999994</v>
      </c>
      <c r="AP12" s="49">
        <f>-AP11*(AP119-1)</f>
        <v>31295.674899999998</v>
      </c>
      <c r="AQ12" s="105">
        <f>SUM(AM12:AP12)</f>
        <v>139572.86809999999</v>
      </c>
      <c r="AR12" s="49">
        <f>-AR11*(AR119-1)</f>
        <v>51609.385999999999</v>
      </c>
      <c r="AS12" s="49">
        <f>-AS11*(AS119-1)</f>
        <v>36834.4928</v>
      </c>
      <c r="AT12" s="49">
        <f>-AT11*(AT119-1)</f>
        <v>32029.941423555556</v>
      </c>
      <c r="AU12" s="49">
        <f>-AU11*(AU119-1)</f>
        <v>33852.498576444443</v>
      </c>
      <c r="AV12" s="28">
        <f>SUM(AR12:AU12)</f>
        <v>154326.31880000001</v>
      </c>
    </row>
    <row r="13" spans="2:76" x14ac:dyDescent="0.3">
      <c r="B13" s="378" t="s">
        <v>1</v>
      </c>
      <c r="C13" s="379"/>
      <c r="D13" s="11">
        <f t="shared" ref="D13:AV13" si="0">D11-D12</f>
        <v>6411</v>
      </c>
      <c r="E13" s="8">
        <f t="shared" si="0"/>
        <v>5625</v>
      </c>
      <c r="F13" s="8">
        <f t="shared" si="0"/>
        <v>6136</v>
      </c>
      <c r="G13" s="12">
        <f t="shared" si="0"/>
        <v>7512</v>
      </c>
      <c r="H13" s="7">
        <f t="shared" si="0"/>
        <v>25684</v>
      </c>
      <c r="I13" s="11">
        <f t="shared" si="0"/>
        <v>10298</v>
      </c>
      <c r="J13" s="8">
        <f t="shared" si="0"/>
        <v>10218</v>
      </c>
      <c r="K13" s="8">
        <f t="shared" si="0"/>
        <v>11922</v>
      </c>
      <c r="L13" s="12">
        <f t="shared" si="0"/>
        <v>11380</v>
      </c>
      <c r="M13" s="7">
        <f t="shared" si="0"/>
        <v>43818</v>
      </c>
      <c r="N13" s="11">
        <f t="shared" si="0"/>
        <v>20703</v>
      </c>
      <c r="O13" s="8">
        <f t="shared" si="0"/>
        <v>18564</v>
      </c>
      <c r="P13" s="8">
        <f t="shared" si="0"/>
        <v>14994</v>
      </c>
      <c r="Q13" s="12">
        <f t="shared" si="0"/>
        <v>14401</v>
      </c>
      <c r="R13" s="7">
        <f t="shared" si="0"/>
        <v>68662</v>
      </c>
      <c r="S13" s="11">
        <f t="shared" si="0"/>
        <v>21060</v>
      </c>
      <c r="T13" s="8">
        <f t="shared" si="0"/>
        <v>16349</v>
      </c>
      <c r="U13" s="8">
        <f t="shared" si="0"/>
        <v>13024</v>
      </c>
      <c r="V13" s="12">
        <f t="shared" si="0"/>
        <v>13871</v>
      </c>
      <c r="W13" s="7">
        <f t="shared" si="0"/>
        <v>64304</v>
      </c>
      <c r="X13" s="11">
        <f t="shared" si="0"/>
        <v>21846</v>
      </c>
      <c r="Y13" s="8">
        <f t="shared" si="0"/>
        <v>17947</v>
      </c>
      <c r="Z13" s="8">
        <f t="shared" si="0"/>
        <v>14735</v>
      </c>
      <c r="AA13" s="12">
        <f t="shared" si="0"/>
        <v>16009</v>
      </c>
      <c r="AB13" s="7">
        <f t="shared" si="0"/>
        <v>70537</v>
      </c>
      <c r="AC13" s="31">
        <f t="shared" si="0"/>
        <v>29741</v>
      </c>
      <c r="AD13" s="31">
        <f t="shared" si="0"/>
        <v>23656</v>
      </c>
      <c r="AE13" s="31">
        <f t="shared" si="0"/>
        <v>19681</v>
      </c>
      <c r="AF13" s="31">
        <f t="shared" si="0"/>
        <v>20548</v>
      </c>
      <c r="AG13" s="109">
        <f t="shared" si="0"/>
        <v>93626</v>
      </c>
      <c r="AH13" s="31">
        <f t="shared" si="0"/>
        <v>30423</v>
      </c>
      <c r="AI13" s="31">
        <f t="shared" si="0"/>
        <v>19921</v>
      </c>
      <c r="AJ13" s="31">
        <f t="shared" si="0"/>
        <v>16106</v>
      </c>
      <c r="AK13" s="31">
        <f t="shared" si="0"/>
        <v>17813</v>
      </c>
      <c r="AL13" s="109">
        <f t="shared" si="0"/>
        <v>84263</v>
      </c>
      <c r="AM13" s="31">
        <f t="shared" si="0"/>
        <v>30176</v>
      </c>
      <c r="AN13" s="31">
        <f t="shared" si="0"/>
        <v>20591</v>
      </c>
      <c r="AO13" s="31">
        <f t="shared" si="0"/>
        <v>17174.806799999998</v>
      </c>
      <c r="AP13" s="31">
        <f t="shared" si="0"/>
        <v>19451.325099999995</v>
      </c>
      <c r="AQ13" s="109">
        <f t="shared" si="0"/>
        <v>87393.131900000008</v>
      </c>
      <c r="AR13" s="31">
        <f t="shared" si="0"/>
        <v>32335.614000000001</v>
      </c>
      <c r="AS13" s="31">
        <f t="shared" si="0"/>
        <v>23421.507200000007</v>
      </c>
      <c r="AT13" s="31">
        <f t="shared" si="0"/>
        <v>19631.25442088889</v>
      </c>
      <c r="AU13" s="31">
        <f t="shared" si="0"/>
        <v>20748.305579111111</v>
      </c>
      <c r="AV13" s="30">
        <f t="shared" si="0"/>
        <v>96136.681199999992</v>
      </c>
    </row>
    <row r="14" spans="2:76" x14ac:dyDescent="0.3">
      <c r="B14" s="392" t="s">
        <v>8</v>
      </c>
      <c r="C14" s="393"/>
      <c r="D14" s="23">
        <v>398</v>
      </c>
      <c r="E14" s="122">
        <v>426</v>
      </c>
      <c r="F14" s="122">
        <v>464</v>
      </c>
      <c r="G14" s="24">
        <v>494</v>
      </c>
      <c r="H14" s="10">
        <v>1782</v>
      </c>
      <c r="I14" s="23">
        <v>575</v>
      </c>
      <c r="J14" s="122">
        <v>581</v>
      </c>
      <c r="K14" s="122">
        <v>628</v>
      </c>
      <c r="L14" s="24">
        <v>645</v>
      </c>
      <c r="M14" s="10">
        <v>2429</v>
      </c>
      <c r="N14" s="23">
        <v>758</v>
      </c>
      <c r="O14" s="122">
        <v>841</v>
      </c>
      <c r="P14" s="122">
        <v>876</v>
      </c>
      <c r="Q14" s="24">
        <v>906</v>
      </c>
      <c r="R14" s="10">
        <v>3381</v>
      </c>
      <c r="S14" s="23">
        <v>1010</v>
      </c>
      <c r="T14" s="122">
        <v>1119</v>
      </c>
      <c r="U14" s="122">
        <v>1178</v>
      </c>
      <c r="V14" s="24">
        <v>1168</v>
      </c>
      <c r="W14" s="10">
        <v>4475</v>
      </c>
      <c r="X14" s="23">
        <v>1330</v>
      </c>
      <c r="Y14" s="122">
        <v>1422</v>
      </c>
      <c r="Z14" s="122">
        <v>1603</v>
      </c>
      <c r="AA14" s="24">
        <v>1686</v>
      </c>
      <c r="AB14" s="10">
        <v>6041</v>
      </c>
      <c r="AC14" s="51">
        <v>1895</v>
      </c>
      <c r="AD14" s="124">
        <v>1918</v>
      </c>
      <c r="AE14" s="124">
        <v>2034</v>
      </c>
      <c r="AF14" s="52">
        <v>2220</v>
      </c>
      <c r="AG14" s="32">
        <f>SUM(AC14:AF14)</f>
        <v>8067</v>
      </c>
      <c r="AH14" s="51">
        <v>2404</v>
      </c>
      <c r="AI14" s="124">
        <v>2511</v>
      </c>
      <c r="AJ14" s="124">
        <v>2560</v>
      </c>
      <c r="AK14" s="52">
        <v>2570</v>
      </c>
      <c r="AL14" s="32">
        <f>SUM(AH14:AK14)</f>
        <v>10045</v>
      </c>
      <c r="AM14" s="51">
        <v>2871</v>
      </c>
      <c r="AN14" s="124">
        <v>2776</v>
      </c>
      <c r="AO14" s="124">
        <f>AO11*AO124</f>
        <v>2698.3199999999993</v>
      </c>
      <c r="AP14" s="52">
        <f>AP11*AP124</f>
        <v>2791.0849999999996</v>
      </c>
      <c r="AQ14" s="32">
        <f>SUM(AM14:AP14)</f>
        <v>11136.404999999999</v>
      </c>
      <c r="AR14" s="51">
        <f>AR11*AR124</f>
        <v>2938.0750000000003</v>
      </c>
      <c r="AS14" s="124">
        <f>AS11*AS124</f>
        <v>3012.8000000000006</v>
      </c>
      <c r="AT14" s="81">
        <f>AT11*AT124</f>
        <v>3099.6717506666669</v>
      </c>
      <c r="AU14" s="52">
        <f>AU11*AU124</f>
        <v>3276.0482493333329</v>
      </c>
      <c r="AV14" s="27">
        <f>SUM(AR14:AU14)</f>
        <v>12326.595000000001</v>
      </c>
    </row>
    <row r="15" spans="2:76" ht="16.2" x14ac:dyDescent="0.45">
      <c r="B15" s="392" t="s">
        <v>7</v>
      </c>
      <c r="C15" s="393"/>
      <c r="D15" s="19">
        <v>1288</v>
      </c>
      <c r="E15" s="6">
        <v>1220</v>
      </c>
      <c r="F15" s="6">
        <v>1438</v>
      </c>
      <c r="G15" s="20">
        <v>1571</v>
      </c>
      <c r="H15" s="5">
        <v>5517</v>
      </c>
      <c r="I15" s="19">
        <v>1896</v>
      </c>
      <c r="J15" s="6">
        <v>1763</v>
      </c>
      <c r="K15" s="6">
        <v>1915</v>
      </c>
      <c r="L15" s="20">
        <v>2025</v>
      </c>
      <c r="M15" s="5">
        <v>7599</v>
      </c>
      <c r="N15" s="19">
        <v>2605</v>
      </c>
      <c r="O15" s="6">
        <v>2339</v>
      </c>
      <c r="P15" s="6">
        <v>2545</v>
      </c>
      <c r="Q15" s="20">
        <v>2551</v>
      </c>
      <c r="R15" s="5">
        <v>10040</v>
      </c>
      <c r="S15" s="19">
        <v>2840</v>
      </c>
      <c r="T15" s="6">
        <v>2672</v>
      </c>
      <c r="U15" s="6">
        <v>2645</v>
      </c>
      <c r="V15" s="20">
        <v>2673</v>
      </c>
      <c r="W15" s="5">
        <v>10830</v>
      </c>
      <c r="X15" s="19">
        <v>3053</v>
      </c>
      <c r="Y15" s="6">
        <v>2932</v>
      </c>
      <c r="Z15" s="6">
        <v>2850</v>
      </c>
      <c r="AA15" s="20">
        <v>3158</v>
      </c>
      <c r="AB15" s="5">
        <v>11993</v>
      </c>
      <c r="AC15" s="53">
        <v>3600</v>
      </c>
      <c r="AD15" s="49">
        <v>3460</v>
      </c>
      <c r="AE15" s="49">
        <v>3564</v>
      </c>
      <c r="AF15" s="54">
        <v>3705</v>
      </c>
      <c r="AG15" s="105">
        <f>SUM(AC15:AF15)</f>
        <v>14329</v>
      </c>
      <c r="AH15" s="53">
        <v>3848</v>
      </c>
      <c r="AI15" s="49">
        <v>3423</v>
      </c>
      <c r="AJ15" s="49">
        <v>3441</v>
      </c>
      <c r="AK15" s="54">
        <v>3482</v>
      </c>
      <c r="AL15" s="105">
        <f>SUM(AH15:AK15)</f>
        <v>14194</v>
      </c>
      <c r="AM15" s="53">
        <v>3946</v>
      </c>
      <c r="AN15" s="49">
        <v>3718</v>
      </c>
      <c r="AO15" s="49">
        <f>AO11*AO123</f>
        <v>3998.0517936021747</v>
      </c>
      <c r="AP15" s="54">
        <f>AP11*AP123</f>
        <v>4230.2450168698679</v>
      </c>
      <c r="AQ15" s="105">
        <f>SUM(AM15:AP15)</f>
        <v>15892.296810472042</v>
      </c>
      <c r="AR15" s="53">
        <f>AR11*AR123</f>
        <v>4907.4727320717784</v>
      </c>
      <c r="AS15" s="49">
        <f>AS11*AS123</f>
        <v>4648.1907319998927</v>
      </c>
      <c r="AT15" s="49">
        <f>AT11*AT123</f>
        <v>4391.2016467777785</v>
      </c>
      <c r="AU15" s="54">
        <f>AU11*AU123</f>
        <v>4641.068353222222</v>
      </c>
      <c r="AV15" s="28">
        <f>SUM(AR15:AU15)</f>
        <v>18587.93346407167</v>
      </c>
    </row>
    <row r="16" spans="2:76" ht="16.2" x14ac:dyDescent="0.45">
      <c r="B16" s="356" t="s">
        <v>123</v>
      </c>
      <c r="C16" s="357"/>
      <c r="D16" s="19">
        <f>SUM(D14:D15)</f>
        <v>1686</v>
      </c>
      <c r="E16" s="6">
        <f t="shared" ref="E16:AV16" si="1">SUM(E14:E15)</f>
        <v>1646</v>
      </c>
      <c r="F16" s="6">
        <f t="shared" si="1"/>
        <v>1902</v>
      </c>
      <c r="G16" s="20">
        <f t="shared" si="1"/>
        <v>2065</v>
      </c>
      <c r="H16" s="5">
        <f t="shared" si="1"/>
        <v>7299</v>
      </c>
      <c r="I16" s="19">
        <f t="shared" si="1"/>
        <v>2471</v>
      </c>
      <c r="J16" s="6">
        <f t="shared" si="1"/>
        <v>2344</v>
      </c>
      <c r="K16" s="6">
        <f t="shared" si="1"/>
        <v>2543</v>
      </c>
      <c r="L16" s="20">
        <f t="shared" si="1"/>
        <v>2670</v>
      </c>
      <c r="M16" s="5">
        <f t="shared" si="1"/>
        <v>10028</v>
      </c>
      <c r="N16" s="19">
        <f t="shared" si="1"/>
        <v>3363</v>
      </c>
      <c r="O16" s="6">
        <f t="shared" si="1"/>
        <v>3180</v>
      </c>
      <c r="P16" s="6">
        <f t="shared" si="1"/>
        <v>3421</v>
      </c>
      <c r="Q16" s="20">
        <f t="shared" si="1"/>
        <v>3457</v>
      </c>
      <c r="R16" s="5">
        <f t="shared" si="1"/>
        <v>13421</v>
      </c>
      <c r="S16" s="19">
        <f t="shared" si="1"/>
        <v>3850</v>
      </c>
      <c r="T16" s="6">
        <f t="shared" si="1"/>
        <v>3791</v>
      </c>
      <c r="U16" s="6">
        <f t="shared" si="1"/>
        <v>3823</v>
      </c>
      <c r="V16" s="20">
        <f t="shared" si="1"/>
        <v>3841</v>
      </c>
      <c r="W16" s="5">
        <f t="shared" si="1"/>
        <v>15305</v>
      </c>
      <c r="X16" s="19">
        <f t="shared" si="1"/>
        <v>4383</v>
      </c>
      <c r="Y16" s="6">
        <f t="shared" si="1"/>
        <v>4354</v>
      </c>
      <c r="Z16" s="6">
        <f t="shared" si="1"/>
        <v>4453</v>
      </c>
      <c r="AA16" s="20">
        <f t="shared" si="1"/>
        <v>4844</v>
      </c>
      <c r="AB16" s="5">
        <f t="shared" si="1"/>
        <v>18034</v>
      </c>
      <c r="AC16" s="53">
        <f t="shared" si="1"/>
        <v>5495</v>
      </c>
      <c r="AD16" s="49">
        <f t="shared" si="1"/>
        <v>5378</v>
      </c>
      <c r="AE16" s="49">
        <f t="shared" si="1"/>
        <v>5598</v>
      </c>
      <c r="AF16" s="54">
        <f t="shared" si="1"/>
        <v>5925</v>
      </c>
      <c r="AG16" s="105">
        <f t="shared" si="1"/>
        <v>22396</v>
      </c>
      <c r="AH16" s="53">
        <f t="shared" si="1"/>
        <v>6252</v>
      </c>
      <c r="AI16" s="49">
        <f t="shared" si="1"/>
        <v>5934</v>
      </c>
      <c r="AJ16" s="49">
        <f t="shared" si="1"/>
        <v>6001</v>
      </c>
      <c r="AK16" s="54">
        <f t="shared" si="1"/>
        <v>6052</v>
      </c>
      <c r="AL16" s="105">
        <f t="shared" si="1"/>
        <v>24239</v>
      </c>
      <c r="AM16" s="53">
        <f t="shared" si="1"/>
        <v>6817</v>
      </c>
      <c r="AN16" s="49">
        <f t="shared" si="1"/>
        <v>6494</v>
      </c>
      <c r="AO16" s="346">
        <f t="shared" si="1"/>
        <v>6696.371793602174</v>
      </c>
      <c r="AP16" s="54">
        <f t="shared" si="1"/>
        <v>7021.3300168698679</v>
      </c>
      <c r="AQ16" s="105">
        <f t="shared" si="1"/>
        <v>27028.701810472041</v>
      </c>
      <c r="AR16" s="53">
        <f t="shared" si="1"/>
        <v>7845.5477320717782</v>
      </c>
      <c r="AS16" s="49">
        <f t="shared" si="1"/>
        <v>7660.9907319998929</v>
      </c>
      <c r="AT16" s="49">
        <f t="shared" si="1"/>
        <v>7490.8733974444458</v>
      </c>
      <c r="AU16" s="54">
        <f t="shared" si="1"/>
        <v>7917.1166025555549</v>
      </c>
      <c r="AV16" s="28">
        <f t="shared" si="1"/>
        <v>30914.528464071671</v>
      </c>
    </row>
    <row r="17" spans="2:48" x14ac:dyDescent="0.3">
      <c r="B17" s="378" t="s">
        <v>2</v>
      </c>
      <c r="C17" s="379"/>
      <c r="D17" s="11">
        <f t="shared" ref="D17:AV17" si="2">D13-D15-D14</f>
        <v>4725</v>
      </c>
      <c r="E17" s="8">
        <f t="shared" si="2"/>
        <v>3979</v>
      </c>
      <c r="F17" s="8">
        <f t="shared" si="2"/>
        <v>4234</v>
      </c>
      <c r="G17" s="12">
        <f t="shared" si="2"/>
        <v>5447</v>
      </c>
      <c r="H17" s="7">
        <f t="shared" si="2"/>
        <v>18385</v>
      </c>
      <c r="I17" s="11">
        <f t="shared" si="2"/>
        <v>7827</v>
      </c>
      <c r="J17" s="8">
        <f t="shared" si="2"/>
        <v>7874</v>
      </c>
      <c r="K17" s="8">
        <f t="shared" si="2"/>
        <v>9379</v>
      </c>
      <c r="L17" s="12">
        <f t="shared" si="2"/>
        <v>8710</v>
      </c>
      <c r="M17" s="7">
        <f t="shared" si="2"/>
        <v>33790</v>
      </c>
      <c r="N17" s="11">
        <f t="shared" si="2"/>
        <v>17340</v>
      </c>
      <c r="O17" s="8">
        <f t="shared" si="2"/>
        <v>15384</v>
      </c>
      <c r="P17" s="8">
        <f t="shared" si="2"/>
        <v>11573</v>
      </c>
      <c r="Q17" s="12">
        <f t="shared" si="2"/>
        <v>10944</v>
      </c>
      <c r="R17" s="7">
        <f t="shared" si="2"/>
        <v>55241</v>
      </c>
      <c r="S17" s="11">
        <f t="shared" si="2"/>
        <v>17210</v>
      </c>
      <c r="T17" s="8">
        <f t="shared" si="2"/>
        <v>12558</v>
      </c>
      <c r="U17" s="8">
        <f t="shared" si="2"/>
        <v>9201</v>
      </c>
      <c r="V17" s="12">
        <f t="shared" si="2"/>
        <v>10030</v>
      </c>
      <c r="W17" s="7">
        <f t="shared" si="2"/>
        <v>48999</v>
      </c>
      <c r="X17" s="11">
        <f t="shared" si="2"/>
        <v>17463</v>
      </c>
      <c r="Y17" s="8">
        <f t="shared" si="2"/>
        <v>13593</v>
      </c>
      <c r="Z17" s="8">
        <f t="shared" si="2"/>
        <v>10282</v>
      </c>
      <c r="AA17" s="12">
        <f t="shared" si="2"/>
        <v>11165</v>
      </c>
      <c r="AB17" s="7">
        <f t="shared" si="2"/>
        <v>52503</v>
      </c>
      <c r="AC17" s="55">
        <f t="shared" si="2"/>
        <v>24246</v>
      </c>
      <c r="AD17" s="31">
        <f t="shared" si="2"/>
        <v>18278</v>
      </c>
      <c r="AE17" s="31">
        <f>AE13-AE15-AE14</f>
        <v>14083</v>
      </c>
      <c r="AF17" s="56">
        <f t="shared" si="2"/>
        <v>14623</v>
      </c>
      <c r="AG17" s="109">
        <f t="shared" si="2"/>
        <v>71230</v>
      </c>
      <c r="AH17" s="55">
        <f t="shared" si="2"/>
        <v>24171</v>
      </c>
      <c r="AI17" s="31">
        <f t="shared" si="2"/>
        <v>13987</v>
      </c>
      <c r="AJ17" s="31">
        <f t="shared" si="2"/>
        <v>10105</v>
      </c>
      <c r="AK17" s="56">
        <f t="shared" si="2"/>
        <v>11761</v>
      </c>
      <c r="AL17" s="109">
        <f t="shared" si="2"/>
        <v>60024</v>
      </c>
      <c r="AM17" s="55">
        <f t="shared" si="2"/>
        <v>23359</v>
      </c>
      <c r="AN17" s="31">
        <f t="shared" si="2"/>
        <v>14097</v>
      </c>
      <c r="AO17" s="31">
        <f>AO13-AO15-AO14</f>
        <v>10478.435006397824</v>
      </c>
      <c r="AP17" s="56">
        <f t="shared" si="2"/>
        <v>12429.995083130128</v>
      </c>
      <c r="AQ17" s="109">
        <f t="shared" si="2"/>
        <v>60364.430089527974</v>
      </c>
      <c r="AR17" s="55">
        <f t="shared" si="2"/>
        <v>24490.066267928221</v>
      </c>
      <c r="AS17" s="31">
        <f t="shared" si="2"/>
        <v>15760.516468000113</v>
      </c>
      <c r="AT17" s="31">
        <f t="shared" si="2"/>
        <v>12140.381023444445</v>
      </c>
      <c r="AU17" s="56">
        <f t="shared" si="2"/>
        <v>12831.188976555557</v>
      </c>
      <c r="AV17" s="109">
        <f t="shared" si="2"/>
        <v>65222.152735928321</v>
      </c>
    </row>
    <row r="18" spans="2:48" s="40" customFormat="1" ht="16.2" x14ac:dyDescent="0.45">
      <c r="B18" s="392" t="s">
        <v>255</v>
      </c>
      <c r="C18" s="393"/>
      <c r="D18" s="19">
        <v>33</v>
      </c>
      <c r="E18" s="6">
        <v>50</v>
      </c>
      <c r="F18" s="6">
        <v>58</v>
      </c>
      <c r="G18" s="20">
        <v>14</v>
      </c>
      <c r="H18" s="5">
        <v>155</v>
      </c>
      <c r="I18" s="19">
        <v>136</v>
      </c>
      <c r="J18" s="6">
        <v>26</v>
      </c>
      <c r="K18" s="6">
        <v>172</v>
      </c>
      <c r="L18" s="20">
        <v>81</v>
      </c>
      <c r="M18" s="5">
        <v>415</v>
      </c>
      <c r="N18" s="19">
        <v>137</v>
      </c>
      <c r="O18" s="6">
        <v>148</v>
      </c>
      <c r="P18" s="6">
        <v>288</v>
      </c>
      <c r="Q18" s="20">
        <v>-51</v>
      </c>
      <c r="R18" s="5">
        <v>522</v>
      </c>
      <c r="S18" s="19">
        <v>462</v>
      </c>
      <c r="T18" s="6">
        <v>347</v>
      </c>
      <c r="U18" s="6">
        <v>234</v>
      </c>
      <c r="V18" s="20">
        <v>113</v>
      </c>
      <c r="W18" s="5">
        <v>1156</v>
      </c>
      <c r="X18" s="19">
        <v>246</v>
      </c>
      <c r="Y18" s="6">
        <v>225</v>
      </c>
      <c r="Z18" s="6">
        <v>202</v>
      </c>
      <c r="AA18" s="20">
        <v>307</v>
      </c>
      <c r="AB18" s="5">
        <v>980</v>
      </c>
      <c r="AC18" s="49">
        <v>170</v>
      </c>
      <c r="AD18" s="49">
        <v>286</v>
      </c>
      <c r="AE18" s="49">
        <v>390</v>
      </c>
      <c r="AF18" s="49">
        <v>439</v>
      </c>
      <c r="AG18" s="105">
        <f>SUM(AC18:AF18)</f>
        <v>1285</v>
      </c>
      <c r="AH18" s="49">
        <v>402</v>
      </c>
      <c r="AI18" s="49">
        <v>155</v>
      </c>
      <c r="AJ18" s="49">
        <v>364</v>
      </c>
      <c r="AK18" s="49">
        <v>427</v>
      </c>
      <c r="AL18" s="105">
        <f>SUM(AH18:AK18)</f>
        <v>1348</v>
      </c>
      <c r="AM18" s="49">
        <v>821</v>
      </c>
      <c r="AN18" s="49">
        <v>587</v>
      </c>
      <c r="AO18" s="346">
        <v>450</v>
      </c>
      <c r="AP18" s="374">
        <v>496.91922099999999</v>
      </c>
      <c r="AQ18" s="105">
        <f>SUM(AM18:AP18)</f>
        <v>2354.9192210000001</v>
      </c>
      <c r="AR18" s="49">
        <v>566.32849234513083</v>
      </c>
      <c r="AS18" s="49">
        <v>538.51960423913158</v>
      </c>
      <c r="AT18" s="49">
        <v>537.34668243530837</v>
      </c>
      <c r="AU18" s="49">
        <v>545.10306082671741</v>
      </c>
      <c r="AV18" s="105">
        <f>SUM(AR18:AU18)</f>
        <v>2187.2978398462883</v>
      </c>
    </row>
    <row r="19" spans="2:48" x14ac:dyDescent="0.3">
      <c r="B19" s="378" t="s">
        <v>3</v>
      </c>
      <c r="C19" s="379"/>
      <c r="D19" s="11">
        <f t="shared" ref="D19:AV19" si="3">D17+D18</f>
        <v>4758</v>
      </c>
      <c r="E19" s="8">
        <f t="shared" si="3"/>
        <v>4029</v>
      </c>
      <c r="F19" s="8">
        <f t="shared" si="3"/>
        <v>4292</v>
      </c>
      <c r="G19" s="12">
        <f t="shared" si="3"/>
        <v>5461</v>
      </c>
      <c r="H19" s="7">
        <f t="shared" si="3"/>
        <v>18540</v>
      </c>
      <c r="I19" s="11">
        <f t="shared" si="3"/>
        <v>7963</v>
      </c>
      <c r="J19" s="8">
        <f t="shared" si="3"/>
        <v>7900</v>
      </c>
      <c r="K19" s="8">
        <f t="shared" si="3"/>
        <v>9551</v>
      </c>
      <c r="L19" s="12">
        <f t="shared" si="3"/>
        <v>8791</v>
      </c>
      <c r="M19" s="7">
        <f t="shared" si="3"/>
        <v>34205</v>
      </c>
      <c r="N19" s="11">
        <f t="shared" si="3"/>
        <v>17477</v>
      </c>
      <c r="O19" s="8">
        <f t="shared" si="3"/>
        <v>15532</v>
      </c>
      <c r="P19" s="8">
        <f t="shared" si="3"/>
        <v>11861</v>
      </c>
      <c r="Q19" s="12">
        <f t="shared" si="3"/>
        <v>10893</v>
      </c>
      <c r="R19" s="7">
        <f t="shared" si="3"/>
        <v>55763</v>
      </c>
      <c r="S19" s="11">
        <f t="shared" si="3"/>
        <v>17672</v>
      </c>
      <c r="T19" s="8">
        <f t="shared" si="3"/>
        <v>12905</v>
      </c>
      <c r="U19" s="8">
        <f t="shared" si="3"/>
        <v>9435</v>
      </c>
      <c r="V19" s="12">
        <f t="shared" si="3"/>
        <v>10143</v>
      </c>
      <c r="W19" s="7">
        <f t="shared" si="3"/>
        <v>50155</v>
      </c>
      <c r="X19" s="11">
        <f t="shared" si="3"/>
        <v>17709</v>
      </c>
      <c r="Y19" s="8">
        <f t="shared" si="3"/>
        <v>13818</v>
      </c>
      <c r="Z19" s="8">
        <f t="shared" si="3"/>
        <v>10484</v>
      </c>
      <c r="AA19" s="12">
        <f t="shared" si="3"/>
        <v>11472</v>
      </c>
      <c r="AB19" s="7">
        <f t="shared" si="3"/>
        <v>53483</v>
      </c>
      <c r="AC19" s="31">
        <f t="shared" si="3"/>
        <v>24416</v>
      </c>
      <c r="AD19" s="31">
        <f t="shared" si="3"/>
        <v>18564</v>
      </c>
      <c r="AE19" s="31">
        <f t="shared" si="3"/>
        <v>14473</v>
      </c>
      <c r="AF19" s="31">
        <f t="shared" si="3"/>
        <v>15062</v>
      </c>
      <c r="AG19" s="109">
        <f t="shared" si="3"/>
        <v>72515</v>
      </c>
      <c r="AH19" s="31">
        <f t="shared" si="3"/>
        <v>24573</v>
      </c>
      <c r="AI19" s="31">
        <f t="shared" si="3"/>
        <v>14142</v>
      </c>
      <c r="AJ19" s="31">
        <f t="shared" si="3"/>
        <v>10469</v>
      </c>
      <c r="AK19" s="31">
        <f t="shared" si="3"/>
        <v>12188</v>
      </c>
      <c r="AL19" s="109">
        <f t="shared" si="3"/>
        <v>61372</v>
      </c>
      <c r="AM19" s="31">
        <f t="shared" si="3"/>
        <v>24180</v>
      </c>
      <c r="AN19" s="31">
        <f t="shared" si="3"/>
        <v>14684</v>
      </c>
      <c r="AO19" s="31">
        <f t="shared" si="3"/>
        <v>10928.435006397824</v>
      </c>
      <c r="AP19" s="31">
        <f t="shared" si="3"/>
        <v>12926.914304130129</v>
      </c>
      <c r="AQ19" s="109">
        <f t="shared" si="3"/>
        <v>62719.349310527978</v>
      </c>
      <c r="AR19" s="29">
        <f t="shared" si="3"/>
        <v>25056.394760273353</v>
      </c>
      <c r="AS19" s="29">
        <f t="shared" si="3"/>
        <v>16299.036072239243</v>
      </c>
      <c r="AT19" s="29">
        <f t="shared" si="3"/>
        <v>12677.727705879754</v>
      </c>
      <c r="AU19" s="29">
        <f t="shared" si="3"/>
        <v>13376.292037382274</v>
      </c>
      <c r="AV19" s="30">
        <f t="shared" si="3"/>
        <v>67409.450575774608</v>
      </c>
    </row>
    <row r="20" spans="2:48" ht="16.2" x14ac:dyDescent="0.45">
      <c r="B20" s="392" t="s">
        <v>38</v>
      </c>
      <c r="C20" s="393"/>
      <c r="D20" s="19">
        <v>1380</v>
      </c>
      <c r="E20" s="6">
        <v>955</v>
      </c>
      <c r="F20" s="6">
        <v>1039</v>
      </c>
      <c r="G20" s="20">
        <v>1153</v>
      </c>
      <c r="H20" s="5">
        <v>4527</v>
      </c>
      <c r="I20" s="19">
        <v>1959</v>
      </c>
      <c r="J20" s="6">
        <v>1913</v>
      </c>
      <c r="K20" s="6">
        <v>2243</v>
      </c>
      <c r="L20" s="20">
        <v>2168</v>
      </c>
      <c r="M20" s="5">
        <v>8283</v>
      </c>
      <c r="N20" s="19">
        <v>4413</v>
      </c>
      <c r="O20" s="6">
        <v>3910</v>
      </c>
      <c r="P20" s="6">
        <v>3037</v>
      </c>
      <c r="Q20" s="20">
        <v>2670</v>
      </c>
      <c r="R20" s="5">
        <v>14030</v>
      </c>
      <c r="S20" s="19">
        <v>4594</v>
      </c>
      <c r="T20" s="6">
        <v>3358</v>
      </c>
      <c r="U20" s="6">
        <v>2535</v>
      </c>
      <c r="V20" s="20">
        <v>2631</v>
      </c>
      <c r="W20" s="5">
        <v>13118</v>
      </c>
      <c r="X20" s="19">
        <v>4637</v>
      </c>
      <c r="Y20" s="6">
        <v>3595</v>
      </c>
      <c r="Z20" s="6">
        <v>2736</v>
      </c>
      <c r="AA20" s="20">
        <v>3005</v>
      </c>
      <c r="AB20" s="5">
        <v>13973</v>
      </c>
      <c r="AC20" s="49">
        <v>6392</v>
      </c>
      <c r="AD20" s="49">
        <v>4995</v>
      </c>
      <c r="AE20" s="49">
        <v>3796</v>
      </c>
      <c r="AF20" s="49">
        <v>3938</v>
      </c>
      <c r="AG20" s="105">
        <f>SUM(AC20:AF20)</f>
        <v>19121</v>
      </c>
      <c r="AH20" s="49">
        <v>6212</v>
      </c>
      <c r="AI20" s="49">
        <v>3626</v>
      </c>
      <c r="AJ20" s="49">
        <v>2673</v>
      </c>
      <c r="AK20" s="49">
        <v>3174</v>
      </c>
      <c r="AL20" s="105">
        <f>SUM(AH20:AK20)</f>
        <v>15685</v>
      </c>
      <c r="AM20" s="49">
        <v>6289</v>
      </c>
      <c r="AN20" s="49">
        <v>3655</v>
      </c>
      <c r="AO20" s="49">
        <f>AO19*AO122</f>
        <v>2786.7509266314451</v>
      </c>
      <c r="AP20" s="49">
        <f>AP19*AP122</f>
        <v>3360.9977190738337</v>
      </c>
      <c r="AQ20" s="105">
        <f>SUM(AM20:AP20)</f>
        <v>16091.748645705278</v>
      </c>
      <c r="AR20" s="49">
        <f>AR19*AR122</f>
        <v>6514.6626376710719</v>
      </c>
      <c r="AS20" s="49">
        <f>AS19*AS122</f>
        <v>4237.7493787822032</v>
      </c>
      <c r="AT20" s="49">
        <f>AT19*AT122</f>
        <v>3296.209203528736</v>
      </c>
      <c r="AU20" s="49">
        <f>AU19*AU122</f>
        <v>3477.8359297193915</v>
      </c>
      <c r="AV20" s="28">
        <f>SUM(AR20:AU20)</f>
        <v>17526.457149701404</v>
      </c>
    </row>
    <row r="21" spans="2:48" x14ac:dyDescent="0.3">
      <c r="B21" s="378" t="s">
        <v>107</v>
      </c>
      <c r="C21" s="379"/>
      <c r="D21" s="11">
        <f t="shared" ref="D21:AV21" si="4">D19-D20</f>
        <v>3378</v>
      </c>
      <c r="E21" s="8">
        <f t="shared" si="4"/>
        <v>3074</v>
      </c>
      <c r="F21" s="8">
        <f t="shared" si="4"/>
        <v>3253</v>
      </c>
      <c r="G21" s="12">
        <f t="shared" si="4"/>
        <v>4308</v>
      </c>
      <c r="H21" s="7">
        <f t="shared" si="4"/>
        <v>14013</v>
      </c>
      <c r="I21" s="11">
        <f t="shared" si="4"/>
        <v>6004</v>
      </c>
      <c r="J21" s="8">
        <f t="shared" si="4"/>
        <v>5987</v>
      </c>
      <c r="K21" s="8">
        <f t="shared" si="4"/>
        <v>7308</v>
      </c>
      <c r="L21" s="12">
        <f t="shared" si="4"/>
        <v>6623</v>
      </c>
      <c r="M21" s="7">
        <f t="shared" si="4"/>
        <v>25922</v>
      </c>
      <c r="N21" s="11">
        <f t="shared" si="4"/>
        <v>13064</v>
      </c>
      <c r="O21" s="8">
        <f t="shared" si="4"/>
        <v>11622</v>
      </c>
      <c r="P21" s="8">
        <f t="shared" si="4"/>
        <v>8824</v>
      </c>
      <c r="Q21" s="12">
        <f t="shared" si="4"/>
        <v>8223</v>
      </c>
      <c r="R21" s="7">
        <f t="shared" si="4"/>
        <v>41733</v>
      </c>
      <c r="S21" s="11">
        <f t="shared" si="4"/>
        <v>13078</v>
      </c>
      <c r="T21" s="8">
        <f t="shared" si="4"/>
        <v>9547</v>
      </c>
      <c r="U21" s="8">
        <f t="shared" si="4"/>
        <v>6900</v>
      </c>
      <c r="V21" s="12">
        <f t="shared" si="4"/>
        <v>7512</v>
      </c>
      <c r="W21" s="7">
        <f t="shared" si="4"/>
        <v>37037</v>
      </c>
      <c r="X21" s="11">
        <f t="shared" si="4"/>
        <v>13072</v>
      </c>
      <c r="Y21" s="8">
        <f t="shared" si="4"/>
        <v>10223</v>
      </c>
      <c r="Z21" s="8">
        <f t="shared" si="4"/>
        <v>7748</v>
      </c>
      <c r="AA21" s="12">
        <f t="shared" si="4"/>
        <v>8467</v>
      </c>
      <c r="AB21" s="7">
        <f t="shared" si="4"/>
        <v>39510</v>
      </c>
      <c r="AC21" s="31">
        <f t="shared" si="4"/>
        <v>18024</v>
      </c>
      <c r="AD21" s="31">
        <f t="shared" si="4"/>
        <v>13569</v>
      </c>
      <c r="AE21" s="31">
        <f t="shared" si="4"/>
        <v>10677</v>
      </c>
      <c r="AF21" s="31">
        <f t="shared" si="4"/>
        <v>11124</v>
      </c>
      <c r="AG21" s="109">
        <f t="shared" si="4"/>
        <v>53394</v>
      </c>
      <c r="AH21" s="31">
        <f t="shared" si="4"/>
        <v>18361</v>
      </c>
      <c r="AI21" s="31">
        <f t="shared" si="4"/>
        <v>10516</v>
      </c>
      <c r="AJ21" s="31">
        <f t="shared" si="4"/>
        <v>7796</v>
      </c>
      <c r="AK21" s="31">
        <f t="shared" si="4"/>
        <v>9014</v>
      </c>
      <c r="AL21" s="109">
        <f t="shared" si="4"/>
        <v>45687</v>
      </c>
      <c r="AM21" s="31">
        <f t="shared" si="4"/>
        <v>17891</v>
      </c>
      <c r="AN21" s="31">
        <f t="shared" si="4"/>
        <v>11029</v>
      </c>
      <c r="AO21" s="31">
        <f t="shared" si="4"/>
        <v>8141.684079766379</v>
      </c>
      <c r="AP21" s="31">
        <f t="shared" si="4"/>
        <v>9565.9165850562949</v>
      </c>
      <c r="AQ21" s="109">
        <f t="shared" si="4"/>
        <v>46627.600664822698</v>
      </c>
      <c r="AR21" s="29">
        <f t="shared" si="4"/>
        <v>18541.732122602283</v>
      </c>
      <c r="AS21" s="29">
        <f t="shared" si="4"/>
        <v>12061.286693457041</v>
      </c>
      <c r="AT21" s="29">
        <f t="shared" si="4"/>
        <v>9381.5185023510167</v>
      </c>
      <c r="AU21" s="29">
        <f t="shared" si="4"/>
        <v>9898.4561076628834</v>
      </c>
      <c r="AV21" s="30">
        <f t="shared" si="4"/>
        <v>49882.993426073204</v>
      </c>
    </row>
    <row r="22" spans="2:48" x14ac:dyDescent="0.3">
      <c r="B22" s="396" t="s">
        <v>4</v>
      </c>
      <c r="C22" s="397"/>
      <c r="D22" s="297">
        <v>903.54200000000003</v>
      </c>
      <c r="E22" s="298">
        <v>907.548</v>
      </c>
      <c r="F22" s="298">
        <v>912.197</v>
      </c>
      <c r="G22" s="299">
        <v>914.64103847373724</v>
      </c>
      <c r="H22" s="300">
        <v>909.46100000000001</v>
      </c>
      <c r="I22" s="297">
        <v>919.29399999999998</v>
      </c>
      <c r="J22" s="298">
        <v>923.19600000000003</v>
      </c>
      <c r="K22" s="298">
        <v>926.10799999999995</v>
      </c>
      <c r="L22" s="299">
        <v>928.92140241743732</v>
      </c>
      <c r="M22" s="300">
        <v>924.25800000000004</v>
      </c>
      <c r="N22" s="297">
        <v>931.04100000000005</v>
      </c>
      <c r="O22" s="298">
        <v>933.58199999999999</v>
      </c>
      <c r="P22" s="298">
        <v>936.596</v>
      </c>
      <c r="Q22" s="299">
        <v>938.70140696808801</v>
      </c>
      <c r="R22" s="300">
        <v>934.81799999999998</v>
      </c>
      <c r="S22" s="297">
        <v>938.91600000000005</v>
      </c>
      <c r="T22" s="298">
        <v>939.62900000000002</v>
      </c>
      <c r="U22" s="298">
        <v>918.61800000000005</v>
      </c>
      <c r="V22" s="299">
        <v>903.9730605846612</v>
      </c>
      <c r="W22" s="300">
        <v>925.33100000000002</v>
      </c>
      <c r="X22" s="297">
        <v>896.072</v>
      </c>
      <c r="Y22" s="298">
        <v>874.75699999999995</v>
      </c>
      <c r="Z22" s="95">
        <v>6012.6350000000002</v>
      </c>
      <c r="AA22" s="96">
        <v>5920.483386878469</v>
      </c>
      <c r="AB22" s="121">
        <v>6085.5720000000001</v>
      </c>
      <c r="AC22" s="124">
        <v>5843.0820000000003</v>
      </c>
      <c r="AD22" s="124">
        <v>5793.799</v>
      </c>
      <c r="AE22" s="124">
        <v>5729.8860000000004</v>
      </c>
      <c r="AF22" s="124">
        <v>5646.9160000000002</v>
      </c>
      <c r="AG22" s="32">
        <f>AVERAGE(AC22:AF22)</f>
        <v>5753.4207500000002</v>
      </c>
      <c r="AH22" s="124">
        <v>5558.93</v>
      </c>
      <c r="AI22" s="124">
        <v>5514.3810000000003</v>
      </c>
      <c r="AJ22" s="124">
        <v>5443.058</v>
      </c>
      <c r="AK22" s="124">
        <v>5366.9120000000003</v>
      </c>
      <c r="AL22" s="32">
        <f>AVERAGE(AH22:AK22)</f>
        <v>5470.8202500000007</v>
      </c>
      <c r="AM22" s="124">
        <v>5298.6610000000001</v>
      </c>
      <c r="AN22" s="124">
        <v>5225.7910000000002</v>
      </c>
      <c r="AO22" s="124">
        <f>AN22*(1+AO126)-AO130</f>
        <v>5116.2457073979849</v>
      </c>
      <c r="AP22" s="124">
        <f>AO22*(1+AP126)-AP130</f>
        <v>4995.7307080069868</v>
      </c>
      <c r="AQ22" s="32">
        <f>(AM22*AM21/AQ21)+(AN22*AN21/AQ21)+(AO22*AO21/AQ21)+(AP22*AP21/AQ21)</f>
        <v>5187.4252352592939</v>
      </c>
      <c r="AR22" s="124">
        <f>AP22*(1+AR126)-AR130</f>
        <v>4894.1280807202147</v>
      </c>
      <c r="AS22" s="124">
        <f>AR22*(1+AS126)-AS130</f>
        <v>4794.0494928427443</v>
      </c>
      <c r="AT22" s="124">
        <f>AS22*(1+AT126)-AT130</f>
        <v>4695.4720837834357</v>
      </c>
      <c r="AU22" s="124">
        <f>AT22*(1+AU126)-AU130</f>
        <v>4598.3733358600175</v>
      </c>
      <c r="AV22" s="32">
        <f>(AR22*AR21/AV21)+(AS22*AS21/AV21)+(AT22*AT21/AV21)+(AU22*AU21/AV21)</f>
        <v>4773.8809503900557</v>
      </c>
    </row>
    <row r="23" spans="2:48" ht="15.75" customHeight="1" x14ac:dyDescent="0.3">
      <c r="B23" s="396" t="s">
        <v>5</v>
      </c>
      <c r="C23" s="397"/>
      <c r="D23" s="297">
        <v>919.78300000000002</v>
      </c>
      <c r="E23" s="298">
        <v>922.87800000000004</v>
      </c>
      <c r="F23" s="298">
        <v>927.36099999999999</v>
      </c>
      <c r="G23" s="299">
        <v>928.43823136370997</v>
      </c>
      <c r="H23" s="300">
        <v>924.71199999999999</v>
      </c>
      <c r="I23" s="297">
        <v>933.154</v>
      </c>
      <c r="J23" s="298">
        <v>935.94399999999996</v>
      </c>
      <c r="K23" s="298">
        <v>937.81</v>
      </c>
      <c r="L23" s="299">
        <v>939.37166293745895</v>
      </c>
      <c r="M23" s="300">
        <v>936.64499999999998</v>
      </c>
      <c r="N23" s="297">
        <v>941.572</v>
      </c>
      <c r="O23" s="298">
        <v>944.89300000000003</v>
      </c>
      <c r="P23" s="298">
        <v>947.05899999999997</v>
      </c>
      <c r="Q23" s="299">
        <v>948.37544434177028</v>
      </c>
      <c r="R23" s="300">
        <v>945.35500000000002</v>
      </c>
      <c r="S23" s="297">
        <v>947.21699999999998</v>
      </c>
      <c r="T23" s="298">
        <v>946.03499999999997</v>
      </c>
      <c r="U23" s="298">
        <v>924.26499999999999</v>
      </c>
      <c r="V23" s="299">
        <v>909.40018641668541</v>
      </c>
      <c r="W23" s="300">
        <v>931.66200000000003</v>
      </c>
      <c r="X23" s="297">
        <v>901.452</v>
      </c>
      <c r="Y23" s="298">
        <v>879.52800000000002</v>
      </c>
      <c r="Z23" s="95">
        <v>6051.7110000000002</v>
      </c>
      <c r="AA23" s="96">
        <v>5962.2445584976967</v>
      </c>
      <c r="AB23" s="121">
        <v>6122.6629999999996</v>
      </c>
      <c r="AC23" s="124">
        <v>5881.8029999999999</v>
      </c>
      <c r="AD23" s="124">
        <v>5834.8580000000002</v>
      </c>
      <c r="AE23" s="124">
        <v>5773.0990000000002</v>
      </c>
      <c r="AF23" s="124">
        <v>5682.5190000000002</v>
      </c>
      <c r="AG23" s="32">
        <f>AVERAGE(AC23:AF23)</f>
        <v>5793.0697500000006</v>
      </c>
      <c r="AH23" s="124">
        <v>5594.1270000000004</v>
      </c>
      <c r="AI23" s="124">
        <v>5540.8860000000004</v>
      </c>
      <c r="AJ23" s="124">
        <v>5472.7809999999999</v>
      </c>
      <c r="AK23" s="124">
        <v>5393.3329999999996</v>
      </c>
      <c r="AL23" s="32">
        <f>AVERAGE(AH23:AK23)</f>
        <v>5500.2817500000001</v>
      </c>
      <c r="AM23" s="124">
        <v>5327.9949999999999</v>
      </c>
      <c r="AN23" s="124">
        <v>5261.6880000000001</v>
      </c>
      <c r="AO23" s="124">
        <f>AN23*(1+AO127)-AO130-AO131</f>
        <v>5152.9646074470766</v>
      </c>
      <c r="AP23" s="124">
        <f>AO23*(1+AP127)-AP130-AP131</f>
        <v>5034.692939503313</v>
      </c>
      <c r="AQ23" s="32">
        <f>(AM23*AM21/AQ21)+(AN23*AN21/AQ21)+(AO23*AO21/AQ21)+(AP23*AP21/AQ21)</f>
        <v>5221.5763758865896</v>
      </c>
      <c r="AR23" s="124">
        <f>AP23*(1+AR127)-AR130-AR131</f>
        <v>4932.5058787440967</v>
      </c>
      <c r="AS23" s="124">
        <f>AR23*(1+AS127)-AS130-AS131</f>
        <v>4831.8516238962684</v>
      </c>
      <c r="AT23" s="124">
        <f>AS23*(1+AT127)-AT130-AT131</f>
        <v>4732.7071828711578</v>
      </c>
      <c r="AU23" s="124">
        <f>AT23*(1+AU127)-AU130-AU131</f>
        <v>4635.049908461423</v>
      </c>
      <c r="AV23" s="32">
        <f>(AR23*AR21/AV21)+(AS23*AS21/AV21)+(AT23*AT21/AV21)+(AU23*AU21/AV21)</f>
        <v>4811.5670689780109</v>
      </c>
    </row>
    <row r="24" spans="2:48" ht="15.75" customHeight="1" x14ac:dyDescent="0.3">
      <c r="B24" s="398" t="s">
        <v>108</v>
      </c>
      <c r="C24" s="399"/>
      <c r="D24" s="301">
        <f t="shared" ref="D24:AV24" si="5">D21/D22</f>
        <v>3.7386197874586902</v>
      </c>
      <c r="E24" s="302">
        <f t="shared" si="5"/>
        <v>3.3871486687205525</v>
      </c>
      <c r="F24" s="302">
        <f t="shared" si="5"/>
        <v>3.5661156526495921</v>
      </c>
      <c r="G24" s="303">
        <f t="shared" si="5"/>
        <v>4.7100445079402578</v>
      </c>
      <c r="H24" s="304">
        <f t="shared" si="5"/>
        <v>15.408027392048696</v>
      </c>
      <c r="I24" s="301">
        <f t="shared" si="5"/>
        <v>6.5310988649985751</v>
      </c>
      <c r="J24" s="302">
        <f t="shared" si="5"/>
        <v>6.4850800913348845</v>
      </c>
      <c r="K24" s="302">
        <f t="shared" si="5"/>
        <v>7.8910882963973972</v>
      </c>
      <c r="L24" s="303">
        <f t="shared" si="5"/>
        <v>7.1297743627870105</v>
      </c>
      <c r="M24" s="304">
        <f t="shared" si="5"/>
        <v>28.046281449551962</v>
      </c>
      <c r="N24" s="301">
        <f t="shared" si="5"/>
        <v>14.031605482465325</v>
      </c>
      <c r="O24" s="302">
        <f t="shared" si="5"/>
        <v>12.448826134179965</v>
      </c>
      <c r="P24" s="302">
        <f t="shared" si="5"/>
        <v>9.4213513617397471</v>
      </c>
      <c r="Q24" s="303">
        <f t="shared" si="5"/>
        <v>8.7599740864983584</v>
      </c>
      <c r="R24" s="304">
        <f t="shared" si="5"/>
        <v>44.642914449657582</v>
      </c>
      <c r="S24" s="301">
        <f t="shared" si="5"/>
        <v>13.928828564003595</v>
      </c>
      <c r="T24" s="302">
        <f t="shared" si="5"/>
        <v>10.160393091315827</v>
      </c>
      <c r="U24" s="302">
        <f t="shared" si="5"/>
        <v>7.5112832537572745</v>
      </c>
      <c r="V24" s="303">
        <f t="shared" si="5"/>
        <v>8.3099821527219806</v>
      </c>
      <c r="W24" s="304">
        <f t="shared" si="5"/>
        <v>40.025677298177627</v>
      </c>
      <c r="X24" s="301">
        <f t="shared" si="5"/>
        <v>14.588113455168781</v>
      </c>
      <c r="Y24" s="302">
        <f t="shared" si="5"/>
        <v>11.686674127786345</v>
      </c>
      <c r="Z24" s="14">
        <f t="shared" si="5"/>
        <v>1.2886197149835306</v>
      </c>
      <c r="AA24" s="97">
        <f t="shared" si="5"/>
        <v>1.430119712651396</v>
      </c>
      <c r="AB24" s="98">
        <f t="shared" si="5"/>
        <v>6.4924053153918813</v>
      </c>
      <c r="AC24" s="33">
        <f t="shared" si="5"/>
        <v>3.08467346513364</v>
      </c>
      <c r="AD24" s="33">
        <f t="shared" si="5"/>
        <v>2.3419866653986445</v>
      </c>
      <c r="AE24" s="33">
        <f t="shared" si="5"/>
        <v>1.8633878579783261</v>
      </c>
      <c r="AF24" s="33">
        <f t="shared" si="5"/>
        <v>1.9699248226819737</v>
      </c>
      <c r="AG24" s="34">
        <f t="shared" si="5"/>
        <v>9.2803920172186256</v>
      </c>
      <c r="AH24" s="33">
        <f t="shared" si="5"/>
        <v>3.3029737737298364</v>
      </c>
      <c r="AI24" s="33">
        <f t="shared" si="5"/>
        <v>1.9070136793232095</v>
      </c>
      <c r="AJ24" s="33">
        <f t="shared" si="5"/>
        <v>1.4322831026235621</v>
      </c>
      <c r="AK24" s="33">
        <f t="shared" si="5"/>
        <v>1.6795505497388441</v>
      </c>
      <c r="AL24" s="34">
        <f t="shared" si="5"/>
        <v>8.3510329186925851</v>
      </c>
      <c r="AM24" s="33">
        <f t="shared" si="5"/>
        <v>3.3765134248067579</v>
      </c>
      <c r="AN24" s="33">
        <f t="shared" si="5"/>
        <v>2.1104938946084908</v>
      </c>
      <c r="AO24" s="33">
        <f t="shared" si="5"/>
        <v>1.5913395378946857</v>
      </c>
      <c r="AP24" s="33">
        <f t="shared" si="5"/>
        <v>1.9148183006991089</v>
      </c>
      <c r="AQ24" s="34">
        <f t="shared" si="5"/>
        <v>8.9885826879762281</v>
      </c>
      <c r="AR24" s="33">
        <f t="shared" si="5"/>
        <v>3.7885669963655104</v>
      </c>
      <c r="AS24" s="33">
        <f t="shared" si="5"/>
        <v>2.5158869785270026</v>
      </c>
      <c r="AT24" s="33">
        <f t="shared" si="5"/>
        <v>1.9979926054190786</v>
      </c>
      <c r="AU24" s="33">
        <f t="shared" si="5"/>
        <v>2.1525994921879499</v>
      </c>
      <c r="AV24" s="34">
        <f t="shared" si="5"/>
        <v>10.449149014073646</v>
      </c>
    </row>
    <row r="25" spans="2:48" x14ac:dyDescent="0.3">
      <c r="B25" s="398" t="s">
        <v>109</v>
      </c>
      <c r="C25" s="399"/>
      <c r="D25" s="301">
        <f t="shared" ref="D25:AV25" si="6">D21/D23</f>
        <v>3.6726053862704573</v>
      </c>
      <c r="E25" s="302">
        <f t="shared" si="6"/>
        <v>3.3308844722704407</v>
      </c>
      <c r="F25" s="302">
        <f t="shared" si="6"/>
        <v>3.5078033257814378</v>
      </c>
      <c r="G25" s="303">
        <f t="shared" si="6"/>
        <v>4.6400501987863176</v>
      </c>
      <c r="H25" s="304">
        <f t="shared" si="6"/>
        <v>15.15390737872981</v>
      </c>
      <c r="I25" s="301">
        <f t="shared" si="6"/>
        <v>6.4340934079476702</v>
      </c>
      <c r="J25" s="302">
        <f t="shared" si="6"/>
        <v>6.3967502329199188</v>
      </c>
      <c r="K25" s="302">
        <f t="shared" si="6"/>
        <v>7.792623239248889</v>
      </c>
      <c r="L25" s="303">
        <f t="shared" si="6"/>
        <v>7.0504575146428952</v>
      </c>
      <c r="M25" s="304">
        <f t="shared" si="6"/>
        <v>27.675373273759003</v>
      </c>
      <c r="N25" s="301">
        <f t="shared" si="6"/>
        <v>13.874669170281189</v>
      </c>
      <c r="O25" s="302">
        <f t="shared" si="6"/>
        <v>12.299805374788468</v>
      </c>
      <c r="P25" s="302">
        <f t="shared" si="6"/>
        <v>9.3172653446089431</v>
      </c>
      <c r="Q25" s="303">
        <f t="shared" si="6"/>
        <v>8.6706167362939865</v>
      </c>
      <c r="R25" s="304">
        <f t="shared" si="6"/>
        <v>44.145321069862646</v>
      </c>
      <c r="S25" s="301">
        <f t="shared" si="6"/>
        <v>13.806762336402324</v>
      </c>
      <c r="T25" s="302">
        <f t="shared" si="6"/>
        <v>10.091592805763</v>
      </c>
      <c r="U25" s="302">
        <f t="shared" si="6"/>
        <v>7.4653914191276316</v>
      </c>
      <c r="V25" s="303">
        <f t="shared" si="6"/>
        <v>8.2603897736150405</v>
      </c>
      <c r="W25" s="304">
        <f t="shared" si="6"/>
        <v>39.753687496109102</v>
      </c>
      <c r="X25" s="301">
        <f t="shared" si="6"/>
        <v>14.501049418049991</v>
      </c>
      <c r="Y25" s="302">
        <f t="shared" si="6"/>
        <v>11.623279759143541</v>
      </c>
      <c r="Z25" s="14">
        <f t="shared" si="6"/>
        <v>1.2802990757489907</v>
      </c>
      <c r="AA25" s="97">
        <f t="shared" si="6"/>
        <v>1.4201027678296754</v>
      </c>
      <c r="AB25" s="98">
        <f t="shared" si="6"/>
        <v>6.4530744220284548</v>
      </c>
      <c r="AC25" s="33">
        <f t="shared" si="6"/>
        <v>3.064366487622928</v>
      </c>
      <c r="AD25" s="33">
        <f t="shared" si="6"/>
        <v>2.3255064647674373</v>
      </c>
      <c r="AE25" s="33">
        <f t="shared" si="6"/>
        <v>1.8494399628345191</v>
      </c>
      <c r="AF25" s="33">
        <f t="shared" si="6"/>
        <v>1.9575825439387002</v>
      </c>
      <c r="AG25" s="34">
        <f t="shared" si="6"/>
        <v>9.2168750428043769</v>
      </c>
      <c r="AH25" s="33">
        <f t="shared" si="6"/>
        <v>3.2821921990687732</v>
      </c>
      <c r="AI25" s="33">
        <f t="shared" si="6"/>
        <v>1.8978914202530064</v>
      </c>
      <c r="AJ25" s="33">
        <f t="shared" si="6"/>
        <v>1.4245042876738536</v>
      </c>
      <c r="AK25" s="33">
        <f t="shared" si="6"/>
        <v>1.6713227238147543</v>
      </c>
      <c r="AL25" s="34">
        <f t="shared" si="6"/>
        <v>8.3063017635414766</v>
      </c>
      <c r="AM25" s="33">
        <f t="shared" si="6"/>
        <v>3.3579235716249736</v>
      </c>
      <c r="AN25" s="33">
        <f t="shared" si="6"/>
        <v>2.0960953975226202</v>
      </c>
      <c r="AO25" s="347">
        <f t="shared" si="6"/>
        <v>1.5799999999999996</v>
      </c>
      <c r="AP25" s="347">
        <f t="shared" si="6"/>
        <v>1.9000000000000001</v>
      </c>
      <c r="AQ25" s="34">
        <f t="shared" si="6"/>
        <v>8.9297938607487346</v>
      </c>
      <c r="AR25" s="347">
        <f t="shared" si="6"/>
        <v>3.7590897159403562</v>
      </c>
      <c r="AS25" s="347">
        <f t="shared" si="6"/>
        <v>2.4962038639198032</v>
      </c>
      <c r="AT25" s="33">
        <f t="shared" si="6"/>
        <v>1.9822731768204593</v>
      </c>
      <c r="AU25" s="33">
        <f t="shared" si="6"/>
        <v>2.1355662405259013</v>
      </c>
      <c r="AV25" s="348">
        <f t="shared" si="6"/>
        <v>10.367307097865826</v>
      </c>
    </row>
    <row r="26" spans="2:48" x14ac:dyDescent="0.3">
      <c r="B26" s="396" t="s">
        <v>94</v>
      </c>
      <c r="C26" s="400"/>
      <c r="D26" s="301" t="s">
        <v>11</v>
      </c>
      <c r="E26" s="302" t="s">
        <v>11</v>
      </c>
      <c r="F26" s="302" t="s">
        <v>11</v>
      </c>
      <c r="G26" s="302" t="s">
        <v>11</v>
      </c>
      <c r="H26" s="304" t="s">
        <v>11</v>
      </c>
      <c r="I26" s="302" t="s">
        <v>11</v>
      </c>
      <c r="J26" s="302" t="s">
        <v>11</v>
      </c>
      <c r="K26" s="302" t="s">
        <v>11</v>
      </c>
      <c r="L26" s="302" t="s">
        <v>11</v>
      </c>
      <c r="M26" s="304" t="s">
        <v>11</v>
      </c>
      <c r="N26" s="302" t="s">
        <v>11</v>
      </c>
      <c r="O26" s="302">
        <v>0</v>
      </c>
      <c r="P26" s="302" t="s">
        <v>11</v>
      </c>
      <c r="Q26" s="305">
        <v>2.65</v>
      </c>
      <c r="R26" s="306">
        <v>2.65</v>
      </c>
      <c r="S26" s="305">
        <v>2.65</v>
      </c>
      <c r="T26" s="305">
        <v>2.65</v>
      </c>
      <c r="U26" s="305">
        <v>3.05</v>
      </c>
      <c r="V26" s="305">
        <v>3.05</v>
      </c>
      <c r="W26" s="306">
        <v>11.4</v>
      </c>
      <c r="X26" s="305">
        <v>3.05</v>
      </c>
      <c r="Y26" s="305">
        <v>3.05</v>
      </c>
      <c r="Z26" s="100">
        <v>0.47</v>
      </c>
      <c r="AA26" s="100">
        <v>0.47</v>
      </c>
      <c r="AB26" s="283">
        <v>1.82</v>
      </c>
      <c r="AC26" s="81">
        <v>0.47</v>
      </c>
      <c r="AD26" s="81">
        <v>0.47</v>
      </c>
      <c r="AE26" s="81">
        <v>0.52</v>
      </c>
      <c r="AF26" s="81">
        <v>0.52</v>
      </c>
      <c r="AG26" s="284">
        <f>SUM(AC26:AF26)</f>
        <v>1.98</v>
      </c>
      <c r="AH26" s="285">
        <v>0.52</v>
      </c>
      <c r="AI26" s="81">
        <v>0.52</v>
      </c>
      <c r="AJ26" s="81">
        <v>0.56999999999999995</v>
      </c>
      <c r="AK26" s="81">
        <f>AJ26</f>
        <v>0.56999999999999995</v>
      </c>
      <c r="AL26" s="284">
        <f>SUM(AH26:AK26)</f>
        <v>2.1799999999999997</v>
      </c>
      <c r="AM26" s="81">
        <v>0.56999999999999995</v>
      </c>
      <c r="AN26" s="81">
        <v>0.56999999999999995</v>
      </c>
      <c r="AO26" s="81">
        <f t="shared" ref="AO26:AP26" si="7">AJ26*(1+AO27)</f>
        <v>0.627</v>
      </c>
      <c r="AP26" s="81">
        <f t="shared" si="7"/>
        <v>0.627</v>
      </c>
      <c r="AQ26" s="284">
        <f>SUM(AM26:AP26)</f>
        <v>2.3940000000000001</v>
      </c>
      <c r="AR26" s="81">
        <f>AP26*(1+AR27)</f>
        <v>0.68970000000000009</v>
      </c>
      <c r="AS26" s="81">
        <f>AN26*(1+AS27)</f>
        <v>0.627</v>
      </c>
      <c r="AT26" s="81">
        <f t="shared" ref="AT26:AU26" si="8">AO26*(1+AT27)</f>
        <v>0.68970000000000009</v>
      </c>
      <c r="AU26" s="81">
        <f t="shared" si="8"/>
        <v>0.68970000000000009</v>
      </c>
      <c r="AV26" s="284">
        <f>SUM(AR26:AU26)</f>
        <v>2.6961000000000004</v>
      </c>
    </row>
    <row r="27" spans="2:48" x14ac:dyDescent="0.3">
      <c r="B27" s="368" t="s">
        <v>253</v>
      </c>
      <c r="C27" s="280"/>
      <c r="D27" s="99"/>
      <c r="E27" s="281"/>
      <c r="F27" s="281"/>
      <c r="G27" s="287"/>
      <c r="H27" s="281"/>
      <c r="I27" s="99"/>
      <c r="J27" s="281"/>
      <c r="K27" s="281"/>
      <c r="L27" s="287"/>
      <c r="M27" s="281"/>
      <c r="N27" s="99"/>
      <c r="O27" s="281"/>
      <c r="P27" s="281"/>
      <c r="Q27" s="288"/>
      <c r="R27" s="282"/>
      <c r="S27" s="289"/>
      <c r="T27" s="282"/>
      <c r="U27" s="282"/>
      <c r="V27" s="288"/>
      <c r="W27" s="282"/>
      <c r="X27" s="289"/>
      <c r="Y27" s="282"/>
      <c r="Z27" s="282"/>
      <c r="AA27" s="288"/>
      <c r="AB27" s="282"/>
      <c r="AC27" s="290"/>
      <c r="AD27" s="291"/>
      <c r="AE27" s="291">
        <f t="shared" ref="AE27:AF27" si="9">AE26/Z26-1</f>
        <v>0.1063829787234043</v>
      </c>
      <c r="AF27" s="292">
        <f t="shared" si="9"/>
        <v>0.1063829787234043</v>
      </c>
      <c r="AG27" s="296">
        <f>AG26/AB26-1</f>
        <v>8.7912087912087822E-2</v>
      </c>
      <c r="AH27" s="290">
        <f>AH26/AC26-1</f>
        <v>0.1063829787234043</v>
      </c>
      <c r="AI27" s="291">
        <f t="shared" ref="AI27:AK27" si="10">AI26/AD26-1</f>
        <v>0.1063829787234043</v>
      </c>
      <c r="AJ27" s="291">
        <f t="shared" si="10"/>
        <v>9.6153846153846034E-2</v>
      </c>
      <c r="AK27" s="292">
        <f t="shared" si="10"/>
        <v>9.6153846153846034E-2</v>
      </c>
      <c r="AL27" s="296">
        <f>AL26/AG26-1</f>
        <v>0.10101010101010077</v>
      </c>
      <c r="AM27" s="290">
        <f>AM26/AH26-1</f>
        <v>9.6153846153846034E-2</v>
      </c>
      <c r="AN27" s="291">
        <f>AN26/AI26-1</f>
        <v>9.6153846153846034E-2</v>
      </c>
      <c r="AO27" s="293">
        <v>0.1</v>
      </c>
      <c r="AP27" s="294">
        <v>0.1</v>
      </c>
      <c r="AQ27" s="291">
        <f>AQ26/AL26-1</f>
        <v>9.8165137614679043E-2</v>
      </c>
      <c r="AR27" s="295">
        <v>0.1</v>
      </c>
      <c r="AS27" s="293">
        <v>0.1</v>
      </c>
      <c r="AT27" s="293">
        <v>0.1</v>
      </c>
      <c r="AU27" s="294">
        <v>0.1</v>
      </c>
      <c r="AV27" s="292">
        <f>AV26/AQ26-1</f>
        <v>0.12619047619047619</v>
      </c>
    </row>
    <row r="28" spans="2:48" x14ac:dyDescent="0.3">
      <c r="B28" s="320"/>
      <c r="C28" s="93"/>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6"/>
      <c r="AD28" s="286"/>
      <c r="AE28" s="281"/>
      <c r="AF28" s="281"/>
      <c r="AG28" s="286"/>
      <c r="AH28" s="286"/>
      <c r="AI28" s="286"/>
      <c r="AJ28" s="281"/>
      <c r="AK28" s="281"/>
      <c r="AL28" s="286"/>
      <c r="AM28" s="286"/>
      <c r="AN28" s="286"/>
      <c r="AO28" s="281"/>
      <c r="AP28" s="281"/>
      <c r="AQ28" s="286"/>
      <c r="AR28" s="286"/>
      <c r="AS28" s="286"/>
      <c r="AT28" s="281"/>
      <c r="AU28" s="281"/>
      <c r="AV28" s="286"/>
    </row>
    <row r="29" spans="2:48" ht="15.6" x14ac:dyDescent="0.3">
      <c r="B29" s="388" t="s">
        <v>257</v>
      </c>
      <c r="C29" s="389"/>
      <c r="D29" s="110" t="s">
        <v>61</v>
      </c>
      <c r="E29" s="110" t="s">
        <v>62</v>
      </c>
      <c r="F29" s="110" t="s">
        <v>63</v>
      </c>
      <c r="G29" s="110" t="s">
        <v>64</v>
      </c>
      <c r="H29" s="110" t="s">
        <v>64</v>
      </c>
      <c r="I29" s="110" t="s">
        <v>60</v>
      </c>
      <c r="J29" s="110" t="s">
        <v>70</v>
      </c>
      <c r="K29" s="110" t="s">
        <v>71</v>
      </c>
      <c r="L29" s="110" t="s">
        <v>72</v>
      </c>
      <c r="M29" s="110" t="s">
        <v>72</v>
      </c>
      <c r="N29" s="110" t="s">
        <v>78</v>
      </c>
      <c r="O29" s="110" t="s">
        <v>79</v>
      </c>
      <c r="P29" s="110" t="s">
        <v>80</v>
      </c>
      <c r="Q29" s="110" t="s">
        <v>81</v>
      </c>
      <c r="R29" s="110" t="s">
        <v>81</v>
      </c>
      <c r="S29" s="110" t="s">
        <v>87</v>
      </c>
      <c r="T29" s="110" t="s">
        <v>88</v>
      </c>
      <c r="U29" s="110" t="s">
        <v>89</v>
      </c>
      <c r="V29" s="110" t="s">
        <v>43</v>
      </c>
      <c r="W29" s="110" t="s">
        <v>43</v>
      </c>
      <c r="X29" s="110" t="s">
        <v>42</v>
      </c>
      <c r="Y29" s="110" t="s">
        <v>41</v>
      </c>
      <c r="Z29" s="110" t="s">
        <v>40</v>
      </c>
      <c r="AA29" s="110" t="s">
        <v>39</v>
      </c>
      <c r="AB29" s="110" t="s">
        <v>39</v>
      </c>
      <c r="AC29" s="110" t="s">
        <v>44</v>
      </c>
      <c r="AD29" s="110" t="s">
        <v>45</v>
      </c>
      <c r="AE29" s="110" t="s">
        <v>46</v>
      </c>
      <c r="AF29" s="110" t="s">
        <v>47</v>
      </c>
      <c r="AG29" s="110" t="s">
        <v>47</v>
      </c>
      <c r="AH29" s="110" t="s">
        <v>49</v>
      </c>
      <c r="AI29" s="110" t="s">
        <v>50</v>
      </c>
      <c r="AJ29" s="110" t="s">
        <v>51</v>
      </c>
      <c r="AK29" s="110" t="s">
        <v>52</v>
      </c>
      <c r="AL29" s="110" t="s">
        <v>52</v>
      </c>
      <c r="AM29" s="110" t="s">
        <v>48</v>
      </c>
      <c r="AN29" s="110" t="s">
        <v>53</v>
      </c>
      <c r="AO29" s="129" t="s">
        <v>54</v>
      </c>
      <c r="AP29" s="129" t="s">
        <v>55</v>
      </c>
      <c r="AQ29" s="129" t="s">
        <v>55</v>
      </c>
      <c r="AR29" s="129" t="s">
        <v>56</v>
      </c>
      <c r="AS29" s="129" t="s">
        <v>57</v>
      </c>
      <c r="AT29" s="129" t="s">
        <v>58</v>
      </c>
      <c r="AU29" s="129" t="s">
        <v>59</v>
      </c>
      <c r="AV29" s="130" t="s">
        <v>59</v>
      </c>
    </row>
    <row r="30" spans="2:48" ht="16.2" x14ac:dyDescent="0.45">
      <c r="B30" s="390"/>
      <c r="C30" s="391"/>
      <c r="D30" s="111" t="s">
        <v>65</v>
      </c>
      <c r="E30" s="111" t="s">
        <v>66</v>
      </c>
      <c r="F30" s="111" t="s">
        <v>67</v>
      </c>
      <c r="G30" s="111" t="s">
        <v>68</v>
      </c>
      <c r="H30" s="111" t="s">
        <v>69</v>
      </c>
      <c r="I30" s="111" t="s">
        <v>73</v>
      </c>
      <c r="J30" s="111" t="s">
        <v>74</v>
      </c>
      <c r="K30" s="111" t="s">
        <v>75</v>
      </c>
      <c r="L30" s="111" t="s">
        <v>76</v>
      </c>
      <c r="M30" s="111" t="s">
        <v>77</v>
      </c>
      <c r="N30" s="111" t="s">
        <v>82</v>
      </c>
      <c r="O30" s="111" t="s">
        <v>83</v>
      </c>
      <c r="P30" s="111" t="s">
        <v>84</v>
      </c>
      <c r="Q30" s="111" t="s">
        <v>85</v>
      </c>
      <c r="R30" s="111" t="s">
        <v>86</v>
      </c>
      <c r="S30" s="111" t="s">
        <v>90</v>
      </c>
      <c r="T30" s="111" t="s">
        <v>91</v>
      </c>
      <c r="U30" s="111" t="s">
        <v>92</v>
      </c>
      <c r="V30" s="111" t="s">
        <v>93</v>
      </c>
      <c r="W30" s="111" t="s">
        <v>0</v>
      </c>
      <c r="X30" s="111" t="s">
        <v>12</v>
      </c>
      <c r="Y30" s="111" t="s">
        <v>13</v>
      </c>
      <c r="Z30" s="111" t="s">
        <v>14</v>
      </c>
      <c r="AA30" s="111" t="s">
        <v>15</v>
      </c>
      <c r="AB30" s="111" t="s">
        <v>6</v>
      </c>
      <c r="AC30" s="111" t="s">
        <v>110</v>
      </c>
      <c r="AD30" s="111" t="s">
        <v>115</v>
      </c>
      <c r="AE30" s="111" t="s">
        <v>116</v>
      </c>
      <c r="AF30" s="111" t="s">
        <v>117</v>
      </c>
      <c r="AG30" s="111" t="s">
        <v>126</v>
      </c>
      <c r="AH30" s="111" t="s">
        <v>127</v>
      </c>
      <c r="AI30" s="111" t="s">
        <v>131</v>
      </c>
      <c r="AJ30" s="111" t="s">
        <v>132</v>
      </c>
      <c r="AK30" s="111" t="s">
        <v>153</v>
      </c>
      <c r="AL30" s="111" t="s">
        <v>154</v>
      </c>
      <c r="AM30" s="111" t="s">
        <v>155</v>
      </c>
      <c r="AN30" s="111" t="s">
        <v>268</v>
      </c>
      <c r="AO30" s="131" t="s">
        <v>24</v>
      </c>
      <c r="AP30" s="131" t="s">
        <v>25</v>
      </c>
      <c r="AQ30" s="131" t="s">
        <v>118</v>
      </c>
      <c r="AR30" s="131" t="s">
        <v>26</v>
      </c>
      <c r="AS30" s="131" t="s">
        <v>27</v>
      </c>
      <c r="AT30" s="131" t="s">
        <v>28</v>
      </c>
      <c r="AU30" s="131" t="s">
        <v>29</v>
      </c>
      <c r="AV30" s="132" t="s">
        <v>119</v>
      </c>
    </row>
    <row r="31" spans="2:48" ht="16.2" x14ac:dyDescent="0.45">
      <c r="B31" s="394" t="s">
        <v>133</v>
      </c>
      <c r="C31" s="395"/>
      <c r="D31" s="125"/>
      <c r="E31" s="125"/>
      <c r="F31" s="125"/>
      <c r="G31" s="125"/>
      <c r="H31" s="35"/>
      <c r="I31" s="125"/>
      <c r="J31" s="125"/>
      <c r="K31" s="125"/>
      <c r="L31" s="125"/>
      <c r="M31" s="35"/>
      <c r="N31" s="125"/>
      <c r="O31" s="125"/>
      <c r="P31" s="125"/>
      <c r="Q31" s="125"/>
      <c r="R31" s="35"/>
      <c r="S31" s="125"/>
      <c r="T31" s="125"/>
      <c r="U31" s="125"/>
      <c r="V31" s="125"/>
      <c r="W31" s="35"/>
      <c r="X31" s="125"/>
      <c r="Y31" s="125"/>
      <c r="Z31" s="125"/>
      <c r="AA31" s="125"/>
      <c r="AB31" s="35"/>
      <c r="AC31" s="126"/>
      <c r="AD31" s="125"/>
      <c r="AE31" s="125"/>
      <c r="AF31" s="125"/>
      <c r="AG31" s="36"/>
      <c r="AH31" s="125"/>
      <c r="AI31" s="125"/>
      <c r="AJ31" s="125"/>
      <c r="AK31" s="125"/>
      <c r="AL31" s="36"/>
      <c r="AM31" s="125"/>
      <c r="AN31" s="125"/>
      <c r="AO31" s="125"/>
      <c r="AP31" s="125"/>
      <c r="AQ31" s="36"/>
      <c r="AR31" s="125"/>
      <c r="AS31" s="125"/>
      <c r="AT31" s="125"/>
      <c r="AU31" s="125"/>
      <c r="AV31" s="36"/>
    </row>
    <row r="32" spans="2:48" hidden="1" outlineLevel="1" x14ac:dyDescent="0.3">
      <c r="B32" s="392" t="s">
        <v>97</v>
      </c>
      <c r="C32" s="393"/>
      <c r="D32" s="41">
        <v>6092</v>
      </c>
      <c r="E32" s="41">
        <v>4993</v>
      </c>
      <c r="F32" s="41">
        <v>6227</v>
      </c>
      <c r="G32" s="41">
        <f>24498-F32-E32-D32</f>
        <v>7186</v>
      </c>
      <c r="H32" s="71">
        <f>SUM(D32:G32)</f>
        <v>24498</v>
      </c>
      <c r="I32" s="41">
        <v>9218</v>
      </c>
      <c r="J32" s="41">
        <v>9323</v>
      </c>
      <c r="K32" s="41">
        <v>10126</v>
      </c>
      <c r="L32" s="41">
        <f>38315-K32-J32-I32</f>
        <v>9648</v>
      </c>
      <c r="M32" s="71">
        <f t="shared" ref="M32:M38" si="11">SUM(I32:L32)</f>
        <v>38315</v>
      </c>
      <c r="N32" s="41">
        <v>17714</v>
      </c>
      <c r="O32" s="41">
        <v>13182</v>
      </c>
      <c r="P32" s="41">
        <v>12806</v>
      </c>
      <c r="Q32" s="41">
        <f>57512-P32-O32-N32</f>
        <v>13810</v>
      </c>
      <c r="R32" s="71">
        <f t="shared" ref="R32:R38" si="12">SUM(N32:Q32)</f>
        <v>57512</v>
      </c>
      <c r="S32" s="41">
        <v>20341</v>
      </c>
      <c r="T32" s="41">
        <v>14052</v>
      </c>
      <c r="U32" s="41">
        <v>14405</v>
      </c>
      <c r="V32" s="41">
        <f>62739-U32-T32-S32</f>
        <v>13941</v>
      </c>
      <c r="W32" s="71">
        <f t="shared" ref="W32:W38" si="13">SUM(S32:V32)</f>
        <v>62739</v>
      </c>
      <c r="X32" s="41">
        <v>20098</v>
      </c>
      <c r="Y32" s="41">
        <v>14310</v>
      </c>
      <c r="Z32" s="41">
        <v>14577</v>
      </c>
      <c r="AA32" s="41">
        <f>65232-Z32-Y32-X32</f>
        <v>16247</v>
      </c>
      <c r="AB32" s="71">
        <f t="shared" ref="AB32:AB38" si="14">SUM(X32:AA32)</f>
        <v>65232</v>
      </c>
      <c r="AC32" s="104">
        <v>30566</v>
      </c>
      <c r="AD32" s="104">
        <v>21316</v>
      </c>
      <c r="AE32" s="41">
        <v>20209</v>
      </c>
      <c r="AF32" s="41">
        <v>21773</v>
      </c>
      <c r="AG32" s="71">
        <f>SUM(AC32:AF32)</f>
        <v>93864</v>
      </c>
      <c r="AH32" s="41">
        <v>29325</v>
      </c>
      <c r="AI32" s="41">
        <v>19096</v>
      </c>
      <c r="AJ32" s="41">
        <v>17963</v>
      </c>
      <c r="AK32" s="41">
        <v>20229</v>
      </c>
      <c r="AL32" s="71">
        <f>SUM(AH32:AK32)</f>
        <v>86613</v>
      </c>
      <c r="AM32" s="41">
        <v>31968</v>
      </c>
      <c r="AN32" s="41">
        <v>21157</v>
      </c>
      <c r="AO32" s="41">
        <f>AL32/AL39*AO112</f>
        <v>18063.33657640779</v>
      </c>
      <c r="AP32" s="41">
        <f>AL32/AL39*AP112</f>
        <v>20382.908059302812</v>
      </c>
      <c r="AQ32" s="71">
        <f>SUM(AM32:AP32)</f>
        <v>91571.244635710609</v>
      </c>
      <c r="AR32" s="41">
        <f>AQ32/AQ39*AR112</f>
        <v>33868.280407394624</v>
      </c>
      <c r="AS32" s="41">
        <f>AQ32/AQ39*AS112</f>
        <v>24310.764241205201</v>
      </c>
      <c r="AT32" s="41">
        <f>AQ32/AQ39*AT112</f>
        <v>20843.12188982041</v>
      </c>
      <c r="AU32" s="41">
        <f>AQ32/AQ39*AU112</f>
        <v>22029.130330687869</v>
      </c>
      <c r="AV32" s="71">
        <f>SUM(AR32:AU32)</f>
        <v>101051.2968691081</v>
      </c>
    </row>
    <row r="33" spans="2:49" hidden="1" outlineLevel="1" x14ac:dyDescent="0.3">
      <c r="B33" s="392" t="s">
        <v>128</v>
      </c>
      <c r="C33" s="393"/>
      <c r="D33" s="41">
        <v>5024</v>
      </c>
      <c r="E33" s="41">
        <v>4050</v>
      </c>
      <c r="F33" s="41">
        <v>4160</v>
      </c>
      <c r="G33" s="41">
        <f>18692-F33-E33-D33</f>
        <v>5458</v>
      </c>
      <c r="H33" s="71">
        <f t="shared" ref="H33:H38" si="15">SUM(D33:G33)</f>
        <v>18692</v>
      </c>
      <c r="I33" s="41">
        <v>7256</v>
      </c>
      <c r="J33" s="41">
        <v>6027</v>
      </c>
      <c r="K33" s="41">
        <v>7098</v>
      </c>
      <c r="L33" s="42">
        <f>27778-K33-J33-I33</f>
        <v>7397</v>
      </c>
      <c r="M33" s="71">
        <f t="shared" si="11"/>
        <v>27778</v>
      </c>
      <c r="N33" s="41">
        <v>11256</v>
      </c>
      <c r="O33" s="41">
        <v>8807</v>
      </c>
      <c r="P33" s="41">
        <v>8237</v>
      </c>
      <c r="Q33" s="41">
        <f>36323-P33-O33-N33</f>
        <v>8023</v>
      </c>
      <c r="R33" s="71">
        <f t="shared" si="12"/>
        <v>36323</v>
      </c>
      <c r="S33" s="41">
        <v>12464</v>
      </c>
      <c r="T33" s="41">
        <v>9800</v>
      </c>
      <c r="U33" s="41">
        <v>7614</v>
      </c>
      <c r="V33" s="41">
        <f>37883-U33-T33-S33</f>
        <v>8005</v>
      </c>
      <c r="W33" s="71">
        <f t="shared" si="13"/>
        <v>37883</v>
      </c>
      <c r="X33" s="41">
        <v>13073</v>
      </c>
      <c r="Y33" s="41">
        <v>10230</v>
      </c>
      <c r="Z33" s="41">
        <v>8091</v>
      </c>
      <c r="AA33" s="41">
        <f>40929-Z33-Y33-X33</f>
        <v>9535</v>
      </c>
      <c r="AB33" s="71">
        <f t="shared" si="14"/>
        <v>40929</v>
      </c>
      <c r="AC33" s="104">
        <v>17214</v>
      </c>
      <c r="AD33" s="104">
        <v>12204</v>
      </c>
      <c r="AE33" s="41">
        <v>10342</v>
      </c>
      <c r="AF33" s="41">
        <v>10577</v>
      </c>
      <c r="AG33" s="71">
        <f>SUM(AC33:AF33)</f>
        <v>50337</v>
      </c>
      <c r="AH33" s="41">
        <v>17932</v>
      </c>
      <c r="AI33" s="41">
        <v>11535</v>
      </c>
      <c r="AJ33" s="41">
        <v>9643</v>
      </c>
      <c r="AK33" s="41">
        <v>10842</v>
      </c>
      <c r="AL33" s="71">
        <f>SUM(AH33:AK33)</f>
        <v>49952</v>
      </c>
      <c r="AM33" s="41">
        <v>18521</v>
      </c>
      <c r="AN33" s="41">
        <v>12733</v>
      </c>
      <c r="AO33" s="41">
        <f>AL33/AL39*AO112</f>
        <v>10417.602307560319</v>
      </c>
      <c r="AP33" s="41">
        <f>AL33/AL39*AP112</f>
        <v>11755.360319793728</v>
      </c>
      <c r="AQ33" s="71">
        <f>SUM(AM33:AP33)</f>
        <v>53426.962627354042</v>
      </c>
      <c r="AR33" s="41">
        <f>AQ33/AQ39*AR112</f>
        <v>19760.34462321773</v>
      </c>
      <c r="AS33" s="41">
        <f>AQ33/AQ39*AS112</f>
        <v>14184.041046120767</v>
      </c>
      <c r="AT33" s="41">
        <f>AQ33/AQ39*AT112</f>
        <v>12160.855721410042</v>
      </c>
      <c r="AU33" s="41">
        <f>AQ33/AQ39*AU112</f>
        <v>12852.828719025511</v>
      </c>
      <c r="AV33" s="71">
        <f>SUM(AR33:AU33)</f>
        <v>58958.070109774053</v>
      </c>
    </row>
    <row r="34" spans="2:49" hidden="1" outlineLevel="1" x14ac:dyDescent="0.3">
      <c r="B34" s="392" t="s">
        <v>111</v>
      </c>
      <c r="C34" s="393"/>
      <c r="D34" s="41"/>
      <c r="E34" s="41"/>
      <c r="F34" s="41"/>
      <c r="G34" s="41"/>
      <c r="H34" s="71"/>
      <c r="I34" s="41"/>
      <c r="J34" s="41"/>
      <c r="K34" s="41"/>
      <c r="L34" s="42"/>
      <c r="M34" s="71"/>
      <c r="N34" s="41"/>
      <c r="O34" s="41"/>
      <c r="P34" s="41"/>
      <c r="Q34" s="41"/>
      <c r="R34" s="71"/>
      <c r="S34" s="41"/>
      <c r="T34" s="41"/>
      <c r="U34" s="41"/>
      <c r="V34" s="41"/>
      <c r="W34" s="71"/>
      <c r="X34" s="41"/>
      <c r="Y34" s="41"/>
      <c r="Z34" s="41"/>
      <c r="AA34" s="41"/>
      <c r="AB34" s="71"/>
      <c r="AC34" s="104">
        <v>16144</v>
      </c>
      <c r="AD34" s="104">
        <v>16823</v>
      </c>
      <c r="AE34" s="41">
        <v>13230</v>
      </c>
      <c r="AF34" s="41">
        <v>12518</v>
      </c>
      <c r="AG34" s="71">
        <f>SUM(AC34:AF34)</f>
        <v>58715</v>
      </c>
      <c r="AH34" s="41">
        <v>18373</v>
      </c>
      <c r="AI34" s="41">
        <v>12486</v>
      </c>
      <c r="AJ34" s="41">
        <v>8848</v>
      </c>
      <c r="AK34" s="41">
        <v>8785</v>
      </c>
      <c r="AL34" s="71">
        <f>SUM(AH34:AK34)</f>
        <v>48492</v>
      </c>
      <c r="AM34" s="41">
        <v>16233</v>
      </c>
      <c r="AN34" s="41">
        <v>10726</v>
      </c>
      <c r="AO34" s="41">
        <f>AL34/AL39*AO112</f>
        <v>10113.116013337103</v>
      </c>
      <c r="AP34" s="41">
        <f>AL34/AL39*AP112</f>
        <v>11411.773955546072</v>
      </c>
      <c r="AQ34" s="71">
        <f>SUM(AM34:AP34)</f>
        <v>48483.889968883173</v>
      </c>
      <c r="AR34" s="41">
        <f>AQ34/AQ39*AR112</f>
        <v>17932.113811927331</v>
      </c>
      <c r="AS34" s="41">
        <f>AQ34/AQ39*AS112</f>
        <v>12871.730893459924</v>
      </c>
      <c r="AT34" s="41">
        <f>AQ34/AQ39*AT112</f>
        <v>11035.731056558998</v>
      </c>
      <c r="AU34" s="41">
        <f>AQ34/AQ39*AU112</f>
        <v>11663.682581930752</v>
      </c>
      <c r="AV34" s="71">
        <f>SUM(AR34:AU34)</f>
        <v>53503.258343877009</v>
      </c>
    </row>
    <row r="35" spans="2:49" hidden="1" outlineLevel="1" x14ac:dyDescent="0.3">
      <c r="B35" s="392" t="s">
        <v>98</v>
      </c>
      <c r="C35" s="393"/>
      <c r="D35" s="41">
        <v>783</v>
      </c>
      <c r="E35" s="41">
        <v>887</v>
      </c>
      <c r="F35" s="41">
        <v>910</v>
      </c>
      <c r="G35" s="41">
        <f>3981-F35-E35-D35</f>
        <v>1401</v>
      </c>
      <c r="H35" s="71">
        <f t="shared" si="15"/>
        <v>3981</v>
      </c>
      <c r="I35" s="41">
        <v>1433</v>
      </c>
      <c r="J35" s="41">
        <v>1383</v>
      </c>
      <c r="K35" s="41">
        <v>1510</v>
      </c>
      <c r="L35" s="41">
        <f>5437-K35-J35-I35</f>
        <v>1111</v>
      </c>
      <c r="M35" s="71">
        <f t="shared" si="11"/>
        <v>5437</v>
      </c>
      <c r="N35" s="41">
        <v>4080</v>
      </c>
      <c r="O35" s="41">
        <v>7637</v>
      </c>
      <c r="P35" s="41">
        <v>5389</v>
      </c>
      <c r="Q35" s="41">
        <f>22533-P35-O35-N35</f>
        <v>5427</v>
      </c>
      <c r="R35" s="71">
        <f t="shared" si="12"/>
        <v>22533</v>
      </c>
      <c r="S35" s="41">
        <v>6830</v>
      </c>
      <c r="T35" s="41">
        <v>8213</v>
      </c>
      <c r="U35" s="41">
        <v>4641</v>
      </c>
      <c r="V35" s="41">
        <f>25417-U35-T35-S35</f>
        <v>5733</v>
      </c>
      <c r="W35" s="71">
        <f t="shared" si="13"/>
        <v>25417</v>
      </c>
      <c r="X35" s="41">
        <v>8844</v>
      </c>
      <c r="Y35" s="41">
        <v>9289</v>
      </c>
      <c r="Z35" s="41">
        <v>5935</v>
      </c>
      <c r="AA35" s="41">
        <f>29846-Z35-Y35-X35</f>
        <v>5778</v>
      </c>
      <c r="AB35" s="71">
        <f t="shared" si="14"/>
        <v>29846</v>
      </c>
      <c r="AC35" s="104">
        <v>5448</v>
      </c>
      <c r="AD35" s="104">
        <v>3457</v>
      </c>
      <c r="AE35" s="41">
        <v>2872</v>
      </c>
      <c r="AF35" s="41">
        <v>3929</v>
      </c>
      <c r="AG35" s="71">
        <f>SUM(AC35:AF35)</f>
        <v>15706</v>
      </c>
      <c r="AH35" s="41">
        <v>4794</v>
      </c>
      <c r="AI35" s="41">
        <v>4281</v>
      </c>
      <c r="AJ35" s="41">
        <v>3529</v>
      </c>
      <c r="AK35" s="41">
        <v>4324</v>
      </c>
      <c r="AL35" s="71">
        <f>SUM(AH35:AK35)</f>
        <v>16928</v>
      </c>
      <c r="AM35" s="41">
        <v>5766</v>
      </c>
      <c r="AN35" s="41">
        <v>4485</v>
      </c>
      <c r="AO35" s="41">
        <f>AL35/AL39*AO112</f>
        <v>3530.3725949387626</v>
      </c>
      <c r="AP35" s="41">
        <f>AL35/AL39*AP112</f>
        <v>3983.719160263217</v>
      </c>
      <c r="AQ35" s="71">
        <f>SUM(AM35:AP35)</f>
        <v>17765.091755201978</v>
      </c>
      <c r="AR35" s="41">
        <f>AQ35/AQ39*AR112</f>
        <v>6570.5463698987087</v>
      </c>
      <c r="AS35" s="41">
        <f>AQ35/AQ39*AS112</f>
        <v>4716.3600222123605</v>
      </c>
      <c r="AT35" s="41">
        <f>AQ35/AQ39*AT112</f>
        <v>4043.627170413255</v>
      </c>
      <c r="AU35" s="41">
        <f>AQ35/AQ39*AU112</f>
        <v>4273.7163087478211</v>
      </c>
      <c r="AV35" s="71">
        <f>SUM(AR35:AU35)</f>
        <v>19604.249871272146</v>
      </c>
    </row>
    <row r="36" spans="2:49" ht="16.2" hidden="1" outlineLevel="1" x14ac:dyDescent="0.45">
      <c r="B36" s="392" t="s">
        <v>104</v>
      </c>
      <c r="C36" s="393"/>
      <c r="D36" s="153">
        <v>0</v>
      </c>
      <c r="E36" s="153">
        <v>0</v>
      </c>
      <c r="F36" s="153">
        <v>0</v>
      </c>
      <c r="G36" s="153">
        <v>0</v>
      </c>
      <c r="H36" s="154">
        <v>0</v>
      </c>
      <c r="I36" s="153">
        <v>0</v>
      </c>
      <c r="J36" s="153">
        <v>0</v>
      </c>
      <c r="K36" s="153">
        <v>0</v>
      </c>
      <c r="L36" s="153">
        <v>0</v>
      </c>
      <c r="M36" s="154"/>
      <c r="N36" s="153">
        <v>3550</v>
      </c>
      <c r="O36" s="153">
        <v>2645</v>
      </c>
      <c r="P36" s="153">
        <v>2009</v>
      </c>
      <c r="Q36" s="153">
        <f>10571-P36-O36-N36</f>
        <v>2367</v>
      </c>
      <c r="R36" s="154">
        <f t="shared" si="12"/>
        <v>10571</v>
      </c>
      <c r="S36" s="153">
        <v>4443</v>
      </c>
      <c r="T36" s="153">
        <v>3135</v>
      </c>
      <c r="U36" s="153">
        <v>2543</v>
      </c>
      <c r="V36" s="153">
        <f>13462-U36-T36-S36</f>
        <v>3341</v>
      </c>
      <c r="W36" s="154">
        <f t="shared" si="13"/>
        <v>13462</v>
      </c>
      <c r="X36" s="153">
        <v>4948</v>
      </c>
      <c r="Y36" s="153">
        <v>3963</v>
      </c>
      <c r="Z36" s="153">
        <v>2564</v>
      </c>
      <c r="AA36" s="153">
        <f>14982-Z36-Y36-X36</f>
        <v>3507</v>
      </c>
      <c r="AB36" s="154">
        <f t="shared" si="14"/>
        <v>14982</v>
      </c>
      <c r="AC36" s="155">
        <v>5227</v>
      </c>
      <c r="AD36" s="155">
        <v>4210</v>
      </c>
      <c r="AE36" s="153">
        <v>2952</v>
      </c>
      <c r="AF36" s="153">
        <v>2704</v>
      </c>
      <c r="AG36" s="154">
        <f>SUM(AC36:AF36)</f>
        <v>15093</v>
      </c>
      <c r="AH36" s="153">
        <v>5448</v>
      </c>
      <c r="AI36" s="153">
        <v>3159</v>
      </c>
      <c r="AJ36" s="153">
        <v>2375</v>
      </c>
      <c r="AK36" s="153">
        <v>2672</v>
      </c>
      <c r="AL36" s="154">
        <f>SUM(AH36:AK36)</f>
        <v>13654</v>
      </c>
      <c r="AM36" s="153">
        <v>5863</v>
      </c>
      <c r="AN36" s="153">
        <v>3795</v>
      </c>
      <c r="AO36" s="153">
        <f>AL36/AL39*AO112</f>
        <v>2847.5725077560173</v>
      </c>
      <c r="AP36" s="153">
        <f>AL36/AL39*AP112</f>
        <v>3213.2385050941612</v>
      </c>
      <c r="AQ36" s="154">
        <f>SUM(AM36:AP36)</f>
        <v>15718.811012850178</v>
      </c>
      <c r="AR36" s="153">
        <f>AQ36/AQ39*AR112</f>
        <v>5813.7147875616092</v>
      </c>
      <c r="AS36" s="153">
        <f>AQ36/AQ39*AS112</f>
        <v>4173.103797001756</v>
      </c>
      <c r="AT36" s="153">
        <f>AQ36/AQ39*AT112</f>
        <v>3577.8600062417422</v>
      </c>
      <c r="AU36" s="153">
        <f>AQ36/AQ39*AU112</f>
        <v>3781.4462151636035</v>
      </c>
      <c r="AV36" s="154">
        <f>SUM(AR36:AU36)</f>
        <v>17346.124805968713</v>
      </c>
    </row>
    <row r="37" spans="2:49" ht="13.2" hidden="1" customHeight="1" outlineLevel="1" x14ac:dyDescent="0.3">
      <c r="B37" s="392" t="s">
        <v>99</v>
      </c>
      <c r="C37" s="393"/>
      <c r="D37" s="41">
        <v>1813</v>
      </c>
      <c r="E37" s="41">
        <v>1886</v>
      </c>
      <c r="F37" s="41">
        <v>1825</v>
      </c>
      <c r="G37" s="41">
        <f>8256-F37-E37-D37</f>
        <v>2732</v>
      </c>
      <c r="H37" s="71">
        <f t="shared" si="15"/>
        <v>8256</v>
      </c>
      <c r="I37" s="41">
        <v>4987</v>
      </c>
      <c r="J37" s="41">
        <v>4743</v>
      </c>
      <c r="K37" s="41">
        <v>6332</v>
      </c>
      <c r="L37" s="41">
        <f>22592-K37-J37-I37</f>
        <v>6530</v>
      </c>
      <c r="M37" s="71">
        <f t="shared" si="11"/>
        <v>22592</v>
      </c>
      <c r="N37" s="41">
        <v>3617</v>
      </c>
      <c r="O37" s="41">
        <v>2516</v>
      </c>
      <c r="P37" s="41">
        <v>2498</v>
      </c>
      <c r="Q37" s="41">
        <f>10741-P37-O37-N37</f>
        <v>2110</v>
      </c>
      <c r="R37" s="71">
        <f t="shared" si="12"/>
        <v>10741</v>
      </c>
      <c r="S37" s="41">
        <v>3993</v>
      </c>
      <c r="T37" s="41">
        <v>3162</v>
      </c>
      <c r="U37" s="41">
        <v>2046</v>
      </c>
      <c r="V37" s="41">
        <f>11181-U37-T37-S37</f>
        <v>1980</v>
      </c>
      <c r="W37" s="71">
        <f t="shared" si="13"/>
        <v>11181</v>
      </c>
      <c r="X37" s="41">
        <v>3633</v>
      </c>
      <c r="Y37" s="41">
        <v>2627</v>
      </c>
      <c r="Z37" s="41">
        <v>2161</v>
      </c>
      <c r="AA37" s="41">
        <f>10344-Z37-Y37-X37</f>
        <v>1923</v>
      </c>
      <c r="AB37" s="71">
        <f t="shared" si="14"/>
        <v>10344</v>
      </c>
      <c r="AC37" s="104"/>
      <c r="AD37" s="104"/>
      <c r="AE37" s="41"/>
      <c r="AF37" s="41"/>
      <c r="AG37" s="71"/>
      <c r="AH37" s="41"/>
      <c r="AI37" s="41"/>
      <c r="AJ37" s="41"/>
      <c r="AK37" s="41"/>
      <c r="AL37" s="71"/>
      <c r="AM37" s="41"/>
      <c r="AN37" s="41"/>
      <c r="AO37" s="41"/>
      <c r="AP37" s="41"/>
      <c r="AQ37" s="71"/>
      <c r="AR37" s="41"/>
      <c r="AS37" s="41"/>
      <c r="AT37" s="41"/>
      <c r="AU37" s="41"/>
      <c r="AV37" s="71"/>
    </row>
    <row r="38" spans="2:49" ht="13.2" hidden="1" customHeight="1" outlineLevel="1" x14ac:dyDescent="0.3">
      <c r="B38" s="392" t="s">
        <v>100</v>
      </c>
      <c r="C38" s="393"/>
      <c r="D38" s="41">
        <v>1971</v>
      </c>
      <c r="E38" s="41">
        <v>1683</v>
      </c>
      <c r="F38" s="41">
        <v>2578</v>
      </c>
      <c r="G38" s="41">
        <f>9798-F38-E38-D38</f>
        <v>3566</v>
      </c>
      <c r="H38" s="71">
        <f t="shared" si="15"/>
        <v>9798</v>
      </c>
      <c r="I38" s="41">
        <v>3847</v>
      </c>
      <c r="J38" s="41">
        <v>3191</v>
      </c>
      <c r="K38" s="41">
        <v>3505</v>
      </c>
      <c r="L38" s="41">
        <f>14127-K38-J38-I38</f>
        <v>3584</v>
      </c>
      <c r="M38" s="71">
        <f t="shared" si="11"/>
        <v>14127</v>
      </c>
      <c r="N38" s="41">
        <v>6116</v>
      </c>
      <c r="O38" s="41">
        <v>4399</v>
      </c>
      <c r="P38" s="41">
        <v>4084</v>
      </c>
      <c r="Q38" s="41">
        <f>18828-P38-O38-N38</f>
        <v>4229</v>
      </c>
      <c r="R38" s="71">
        <f t="shared" si="12"/>
        <v>18828</v>
      </c>
      <c r="S38" s="41">
        <v>6441</v>
      </c>
      <c r="T38" s="41">
        <v>5241</v>
      </c>
      <c r="U38" s="41">
        <v>4074</v>
      </c>
      <c r="V38" s="41">
        <f>20228-U38-T38-S38</f>
        <v>4472</v>
      </c>
      <c r="W38" s="71">
        <f t="shared" si="13"/>
        <v>20228</v>
      </c>
      <c r="X38" s="41">
        <v>6998</v>
      </c>
      <c r="Y38" s="41">
        <v>5227</v>
      </c>
      <c r="Z38" s="41">
        <v>4104</v>
      </c>
      <c r="AA38" s="41">
        <f>21462-Z38-Y38-X38</f>
        <v>5133</v>
      </c>
      <c r="AB38" s="71">
        <f t="shared" si="14"/>
        <v>21462</v>
      </c>
      <c r="AC38" s="104"/>
      <c r="AD38" s="104"/>
      <c r="AE38" s="41"/>
      <c r="AF38" s="41"/>
      <c r="AG38" s="71"/>
      <c r="AH38" s="41"/>
      <c r="AI38" s="41"/>
      <c r="AJ38" s="41"/>
      <c r="AK38" s="41"/>
      <c r="AL38" s="71"/>
      <c r="AM38" s="41"/>
      <c r="AN38" s="41"/>
      <c r="AO38" s="41"/>
      <c r="AP38" s="41"/>
      <c r="AQ38" s="71"/>
      <c r="AR38" s="41"/>
      <c r="AS38" s="41"/>
      <c r="AT38" s="41"/>
      <c r="AU38" s="41"/>
      <c r="AV38" s="71"/>
    </row>
    <row r="39" spans="2:49" collapsed="1" x14ac:dyDescent="0.3">
      <c r="B39" s="403" t="s">
        <v>95</v>
      </c>
      <c r="C39" s="404"/>
      <c r="D39" s="151">
        <f t="shared" ref="D39:AI39" si="16">SUM(D32:D38)</f>
        <v>15683</v>
      </c>
      <c r="E39" s="151">
        <f t="shared" si="16"/>
        <v>13499</v>
      </c>
      <c r="F39" s="151">
        <f t="shared" si="16"/>
        <v>15700</v>
      </c>
      <c r="G39" s="151">
        <f t="shared" si="16"/>
        <v>20343</v>
      </c>
      <c r="H39" s="152">
        <f t="shared" si="16"/>
        <v>65225</v>
      </c>
      <c r="I39" s="151">
        <f t="shared" si="16"/>
        <v>26741</v>
      </c>
      <c r="J39" s="151">
        <f t="shared" si="16"/>
        <v>24667</v>
      </c>
      <c r="K39" s="151">
        <f t="shared" si="16"/>
        <v>28571</v>
      </c>
      <c r="L39" s="151">
        <f t="shared" si="16"/>
        <v>28270</v>
      </c>
      <c r="M39" s="152">
        <f t="shared" si="16"/>
        <v>108249</v>
      </c>
      <c r="N39" s="151">
        <f t="shared" si="16"/>
        <v>46333</v>
      </c>
      <c r="O39" s="151">
        <f t="shared" si="16"/>
        <v>39186</v>
      </c>
      <c r="P39" s="151">
        <f t="shared" si="16"/>
        <v>35023</v>
      </c>
      <c r="Q39" s="151">
        <f t="shared" si="16"/>
        <v>35966</v>
      </c>
      <c r="R39" s="152">
        <f t="shared" si="16"/>
        <v>156508</v>
      </c>
      <c r="S39" s="151">
        <f t="shared" si="16"/>
        <v>54512</v>
      </c>
      <c r="T39" s="151">
        <f t="shared" si="16"/>
        <v>43603</v>
      </c>
      <c r="U39" s="151">
        <f t="shared" si="16"/>
        <v>35323</v>
      </c>
      <c r="V39" s="151">
        <f t="shared" si="16"/>
        <v>37472</v>
      </c>
      <c r="W39" s="152">
        <f t="shared" si="16"/>
        <v>170910</v>
      </c>
      <c r="X39" s="151">
        <f t="shared" si="16"/>
        <v>57594</v>
      </c>
      <c r="Y39" s="151">
        <f t="shared" si="16"/>
        <v>45646</v>
      </c>
      <c r="Z39" s="151">
        <f t="shared" si="16"/>
        <v>37432</v>
      </c>
      <c r="AA39" s="151">
        <f t="shared" si="16"/>
        <v>42123</v>
      </c>
      <c r="AB39" s="152">
        <f t="shared" si="16"/>
        <v>182795</v>
      </c>
      <c r="AC39" s="151">
        <f t="shared" si="16"/>
        <v>74599</v>
      </c>
      <c r="AD39" s="151">
        <f t="shared" si="16"/>
        <v>58010</v>
      </c>
      <c r="AE39" s="151">
        <f t="shared" si="16"/>
        <v>49605</v>
      </c>
      <c r="AF39" s="151">
        <f t="shared" si="16"/>
        <v>51501</v>
      </c>
      <c r="AG39" s="152">
        <f t="shared" si="16"/>
        <v>233715</v>
      </c>
      <c r="AH39" s="151">
        <f t="shared" si="16"/>
        <v>75872</v>
      </c>
      <c r="AI39" s="151">
        <f t="shared" si="16"/>
        <v>50557</v>
      </c>
      <c r="AJ39" s="151">
        <f t="shared" ref="AJ39:AV39" si="17">SUM(AJ32:AJ38)</f>
        <v>42358</v>
      </c>
      <c r="AK39" s="151">
        <f t="shared" si="17"/>
        <v>46852</v>
      </c>
      <c r="AL39" s="152">
        <f t="shared" si="17"/>
        <v>215639</v>
      </c>
      <c r="AM39" s="151">
        <f>SUM(AM32:AM36)</f>
        <v>78351</v>
      </c>
      <c r="AN39" s="151">
        <f t="shared" si="17"/>
        <v>52896</v>
      </c>
      <c r="AO39" s="151">
        <f t="shared" si="17"/>
        <v>44972</v>
      </c>
      <c r="AP39" s="151">
        <f t="shared" si="17"/>
        <v>50746.999999999985</v>
      </c>
      <c r="AQ39" s="152">
        <f t="shared" si="17"/>
        <v>226965.99999999997</v>
      </c>
      <c r="AR39" s="151">
        <f t="shared" si="17"/>
        <v>83945.000000000015</v>
      </c>
      <c r="AS39" s="151">
        <f t="shared" si="17"/>
        <v>60256.000000000007</v>
      </c>
      <c r="AT39" s="151">
        <f t="shared" si="17"/>
        <v>51661.195844444446</v>
      </c>
      <c r="AU39" s="151">
        <f t="shared" si="17"/>
        <v>54600.804155555554</v>
      </c>
      <c r="AV39" s="152">
        <f t="shared" si="17"/>
        <v>250463.00000000006</v>
      </c>
    </row>
    <row r="40" spans="2:49" x14ac:dyDescent="0.3">
      <c r="B40" s="365" t="s">
        <v>134</v>
      </c>
      <c r="C40" s="260"/>
      <c r="D40" s="273"/>
      <c r="E40" s="273"/>
      <c r="F40" s="273"/>
      <c r="G40" s="273"/>
      <c r="H40" s="274"/>
      <c r="I40" s="273"/>
      <c r="J40" s="273"/>
      <c r="K40" s="273"/>
      <c r="L40" s="273"/>
      <c r="M40" s="274"/>
      <c r="N40" s="273"/>
      <c r="O40" s="273"/>
      <c r="P40" s="273"/>
      <c r="Q40" s="273"/>
      <c r="R40" s="274"/>
      <c r="S40" s="275"/>
      <c r="T40" s="273"/>
      <c r="U40" s="273"/>
      <c r="V40" s="273"/>
      <c r="W40" s="274"/>
      <c r="X40" s="275"/>
      <c r="Y40" s="273"/>
      <c r="Z40" s="273"/>
      <c r="AA40" s="273"/>
      <c r="AB40" s="274"/>
      <c r="AC40" s="275"/>
      <c r="AD40" s="275"/>
      <c r="AE40" s="275"/>
      <c r="AF40" s="275"/>
      <c r="AG40" s="274"/>
      <c r="AH40" s="275"/>
      <c r="AI40" s="275"/>
      <c r="AJ40" s="275"/>
      <c r="AK40" s="275"/>
      <c r="AL40" s="274"/>
      <c r="AM40" s="275"/>
      <c r="AN40" s="275"/>
      <c r="AO40" s="275"/>
      <c r="AP40" s="275"/>
      <c r="AQ40" s="274"/>
      <c r="AR40" s="275"/>
      <c r="AS40" s="275"/>
      <c r="AT40" s="275"/>
      <c r="AU40" s="275"/>
      <c r="AV40" s="274"/>
    </row>
    <row r="41" spans="2:49" s="40" customFormat="1" hidden="1" outlineLevel="1" x14ac:dyDescent="0.3">
      <c r="B41" s="392" t="s">
        <v>136</v>
      </c>
      <c r="C41" s="393"/>
      <c r="D41" s="42">
        <v>5578</v>
      </c>
      <c r="E41" s="42">
        <v>5445</v>
      </c>
      <c r="F41" s="42">
        <v>5334</v>
      </c>
      <c r="G41" s="42">
        <f>25179-F41-E41-D41</f>
        <v>8822</v>
      </c>
      <c r="H41" s="71">
        <f>SUM(D41:G41)</f>
        <v>25179</v>
      </c>
      <c r="I41" s="42">
        <v>10468</v>
      </c>
      <c r="J41" s="42">
        <v>12298</v>
      </c>
      <c r="K41" s="42">
        <v>13311</v>
      </c>
      <c r="L41" s="42">
        <f>47057-K41-J41-I41</f>
        <v>10980</v>
      </c>
      <c r="M41" s="71">
        <f>SUM(I41:L41)</f>
        <v>47057</v>
      </c>
      <c r="N41" s="42">
        <v>23950</v>
      </c>
      <c r="O41" s="42">
        <v>22276</v>
      </c>
      <c r="P41" s="42">
        <v>15821</v>
      </c>
      <c r="Q41" s="42">
        <f>78692-P41-O41-N41</f>
        <v>16645</v>
      </c>
      <c r="R41" s="71">
        <f>SUM(N41:Q41)</f>
        <v>78692</v>
      </c>
      <c r="S41" s="42">
        <v>30660</v>
      </c>
      <c r="T41" s="42">
        <v>22955</v>
      </c>
      <c r="U41" s="42">
        <v>18154</v>
      </c>
      <c r="V41" s="42">
        <f>91279-U41-T41-S41</f>
        <v>19510</v>
      </c>
      <c r="W41" s="71">
        <f>SUM(S41:V41)</f>
        <v>91279</v>
      </c>
      <c r="X41" s="42">
        <v>32498</v>
      </c>
      <c r="Y41" s="42">
        <v>26064</v>
      </c>
      <c r="Z41" s="42">
        <v>19751</v>
      </c>
      <c r="AA41" s="42">
        <f>101991-Z41-Y41-X41</f>
        <v>23678</v>
      </c>
      <c r="AB41" s="71">
        <f>SUM(X41:AA41)</f>
        <v>101991</v>
      </c>
      <c r="AC41" s="42">
        <v>51182</v>
      </c>
      <c r="AD41" s="42">
        <v>40282</v>
      </c>
      <c r="AE41" s="42">
        <v>31368</v>
      </c>
      <c r="AF41" s="42">
        <v>32209</v>
      </c>
      <c r="AG41" s="71">
        <f>SUM(AC41:AF41)</f>
        <v>155041</v>
      </c>
      <c r="AH41" s="42">
        <v>51635</v>
      </c>
      <c r="AI41" s="42">
        <v>32857</v>
      </c>
      <c r="AJ41" s="42">
        <v>24048</v>
      </c>
      <c r="AK41" s="42">
        <v>28160</v>
      </c>
      <c r="AL41" s="71">
        <f>SUM(AH41:AK41)</f>
        <v>136700</v>
      </c>
      <c r="AM41" s="42">
        <v>54378</v>
      </c>
      <c r="AN41" s="42">
        <v>33249</v>
      </c>
      <c r="AO41" s="42">
        <f>AO42*AO45/1000</f>
        <v>26650.000000000004</v>
      </c>
      <c r="AP41" s="42">
        <f>AP42*AP45/1000</f>
        <v>31920.000000000004</v>
      </c>
      <c r="AQ41" s="71">
        <f>SUM(AM41:AP41)</f>
        <v>146197</v>
      </c>
      <c r="AR41" s="42">
        <f>AR42*AR45/1000</f>
        <v>59150.000000000007</v>
      </c>
      <c r="AS41" s="42">
        <f>AS42*AS45/1000</f>
        <v>39993.860740740747</v>
      </c>
      <c r="AT41" s="42">
        <f>AT42*AT45/1000</f>
        <v>31826.250000000004</v>
      </c>
      <c r="AU41" s="42">
        <f>AU42*AU45/1000</f>
        <v>33804.817268888888</v>
      </c>
      <c r="AV41" s="71">
        <f>SUM(AR41:AU41)</f>
        <v>164774.92800962966</v>
      </c>
    </row>
    <row r="42" spans="2:49" s="40" customFormat="1" hidden="1" outlineLevel="1" x14ac:dyDescent="0.3">
      <c r="B42" s="392" t="s">
        <v>102</v>
      </c>
      <c r="C42" s="393"/>
      <c r="D42" s="42">
        <v>8737</v>
      </c>
      <c r="E42" s="42">
        <v>8752</v>
      </c>
      <c r="F42" s="42">
        <v>8398</v>
      </c>
      <c r="G42" s="42">
        <f>39989-F42-E42-D42</f>
        <v>14102</v>
      </c>
      <c r="H42" s="71">
        <f>SUM(D42:G42)</f>
        <v>39989</v>
      </c>
      <c r="I42" s="42">
        <v>16235</v>
      </c>
      <c r="J42" s="42">
        <v>18647</v>
      </c>
      <c r="K42" s="42">
        <v>20338</v>
      </c>
      <c r="L42" s="42">
        <f>72293-K42-J42-I42</f>
        <v>17073</v>
      </c>
      <c r="M42" s="71">
        <f>SUM(I42:L42)</f>
        <v>72293</v>
      </c>
      <c r="N42" s="42">
        <v>37044</v>
      </c>
      <c r="O42" s="42">
        <v>35064</v>
      </c>
      <c r="P42" s="42">
        <v>26028</v>
      </c>
      <c r="Q42" s="42">
        <f>125046-P42-O42-N42</f>
        <v>26910</v>
      </c>
      <c r="R42" s="71">
        <f>SUM(N42:Q42)</f>
        <v>125046</v>
      </c>
      <c r="S42" s="42">
        <v>47789</v>
      </c>
      <c r="T42" s="42">
        <v>37430</v>
      </c>
      <c r="U42" s="42">
        <v>31241</v>
      </c>
      <c r="V42" s="42">
        <f>150257-U42-T42-S42</f>
        <v>33797</v>
      </c>
      <c r="W42" s="71">
        <f>SUM(S42:V42)</f>
        <v>150257</v>
      </c>
      <c r="X42" s="42">
        <v>51025</v>
      </c>
      <c r="Y42" s="42">
        <v>43719</v>
      </c>
      <c r="Z42" s="42">
        <v>35203</v>
      </c>
      <c r="AA42" s="42">
        <f>169219-Z42-Y42-X42</f>
        <v>39272</v>
      </c>
      <c r="AB42" s="71">
        <f>SUM(X42:AA42)</f>
        <v>169219</v>
      </c>
      <c r="AC42" s="80">
        <v>74468</v>
      </c>
      <c r="AD42" s="80">
        <v>61170</v>
      </c>
      <c r="AE42" s="42">
        <v>47534</v>
      </c>
      <c r="AF42" s="42">
        <v>48046</v>
      </c>
      <c r="AG42" s="71">
        <f>SUM(AC42:AF42)</f>
        <v>231218</v>
      </c>
      <c r="AH42" s="80">
        <v>74779</v>
      </c>
      <c r="AI42" s="80">
        <v>51193</v>
      </c>
      <c r="AJ42" s="42">
        <v>40399</v>
      </c>
      <c r="AK42" s="42">
        <v>45513</v>
      </c>
      <c r="AL42" s="71">
        <f>SUM(AH42:AK42)</f>
        <v>211884</v>
      </c>
      <c r="AM42" s="80">
        <v>78290</v>
      </c>
      <c r="AN42" s="80">
        <v>50763</v>
      </c>
      <c r="AO42" s="42">
        <f>AJ42*(1+AO44)</f>
        <v>41000.000000000007</v>
      </c>
      <c r="AP42" s="42">
        <f>AK42*(1+AP44)</f>
        <v>48000.000000000007</v>
      </c>
      <c r="AQ42" s="71">
        <f>SUM(AM42:AP42)</f>
        <v>218053</v>
      </c>
      <c r="AR42" s="80">
        <f>AM42*(1+AR44)</f>
        <v>84500.000000000015</v>
      </c>
      <c r="AS42" s="80">
        <f>AN42*(1+AS44)</f>
        <v>59250.164060356656</v>
      </c>
      <c r="AT42" s="42">
        <f>AO42*(1+AT44)</f>
        <v>47150.000000000007</v>
      </c>
      <c r="AU42" s="42">
        <f>AP42*(1+AU44)</f>
        <v>50081.210768724282</v>
      </c>
      <c r="AV42" s="71">
        <f>SUM(AR42:AU42)</f>
        <v>240981.37482908095</v>
      </c>
    </row>
    <row r="43" spans="2:49" s="78" customFormat="1" hidden="1" outlineLevel="1" x14ac:dyDescent="0.3">
      <c r="B43" s="405" t="s">
        <v>258</v>
      </c>
      <c r="C43" s="406"/>
      <c r="D43" s="311"/>
      <c r="E43" s="311">
        <f>E42/D42-1</f>
        <v>1.7168364427149196E-3</v>
      </c>
      <c r="F43" s="311">
        <f>F42/E42-1</f>
        <v>-4.0447897623400397E-2</v>
      </c>
      <c r="G43" s="311">
        <f>G42/F42-1</f>
        <v>0.67920933555608487</v>
      </c>
      <c r="H43" s="312"/>
      <c r="I43" s="311">
        <f>I42/G42-1</f>
        <v>0.15125514111473559</v>
      </c>
      <c r="J43" s="311">
        <f>J42/I42-1</f>
        <v>0.14856790883892823</v>
      </c>
      <c r="K43" s="311">
        <f>K42/J42-1</f>
        <v>9.0684828658765593E-2</v>
      </c>
      <c r="L43" s="311">
        <f>L42/K42-1</f>
        <v>-0.16053692595142099</v>
      </c>
      <c r="M43" s="312">
        <f>M42/H42-1</f>
        <v>0.8078221510915502</v>
      </c>
      <c r="N43" s="311">
        <f>N42/L42-1</f>
        <v>1.1697416974169741</v>
      </c>
      <c r="O43" s="311">
        <f>O42/N42-1</f>
        <v>-5.344995140913511E-2</v>
      </c>
      <c r="P43" s="311">
        <f>P42/O42-1</f>
        <v>-0.257700205338809</v>
      </c>
      <c r="Q43" s="311">
        <f>Q42/P42-1</f>
        <v>3.3886583679114901E-2</v>
      </c>
      <c r="R43" s="312">
        <f>R42/M42-1</f>
        <v>0.72971103702986451</v>
      </c>
      <c r="S43" s="311">
        <f>S42/Q42-1</f>
        <v>0.77588257153474549</v>
      </c>
      <c r="T43" s="311">
        <f>T42/S42-1</f>
        <v>-0.21676536441440497</v>
      </c>
      <c r="U43" s="311">
        <f>U42/T42-1</f>
        <v>-0.16534865081485439</v>
      </c>
      <c r="V43" s="311">
        <f>V42/U42-1</f>
        <v>8.1815562882110004E-2</v>
      </c>
      <c r="W43" s="312">
        <f>W42/R42-1</f>
        <v>0.20161380611934798</v>
      </c>
      <c r="X43" s="311">
        <f>X42/V42-1</f>
        <v>0.50974938604018116</v>
      </c>
      <c r="Y43" s="311">
        <f>Y42/X42-1</f>
        <v>-0.14318471337579619</v>
      </c>
      <c r="Z43" s="311">
        <f>Z42/Y42-1</f>
        <v>-0.1947894508108603</v>
      </c>
      <c r="AA43" s="311">
        <f>AA42/Z42-1</f>
        <v>0.11558673976649714</v>
      </c>
      <c r="AB43" s="312">
        <f>AB42/W42-1</f>
        <v>0.12619711560859059</v>
      </c>
      <c r="AC43" s="311">
        <f>AC42/AA42-1</f>
        <v>0.89621104094520265</v>
      </c>
      <c r="AD43" s="311">
        <f>AD42/AC42-1</f>
        <v>-0.17857334694096794</v>
      </c>
      <c r="AE43" s="313">
        <f>AE42/AD42-1</f>
        <v>-0.22291973189471959</v>
      </c>
      <c r="AF43" s="313">
        <f>AF42/AE42-1</f>
        <v>1.0771237430050151E-2</v>
      </c>
      <c r="AG43" s="314"/>
      <c r="AH43" s="313">
        <f>AH42/AF42-1</f>
        <v>0.55640427923240221</v>
      </c>
      <c r="AI43" s="313">
        <f>AI42/AG42-1</f>
        <v>-0.77859422709304638</v>
      </c>
      <c r="AJ43" s="313">
        <f>AJ42/AH42-1</f>
        <v>-0.45975474397892457</v>
      </c>
      <c r="AK43" s="313">
        <f>AK42/AI42-1</f>
        <v>-0.11095266931025727</v>
      </c>
      <c r="AL43" s="314"/>
      <c r="AM43" s="313">
        <f>AM42/AK42-1</f>
        <v>0.72016786412673306</v>
      </c>
      <c r="AN43" s="313">
        <f>AN42/AL42-1</f>
        <v>-0.76042079628475956</v>
      </c>
      <c r="AO43" s="313">
        <f>AO42/AN42-1</f>
        <v>-0.19232511868880864</v>
      </c>
      <c r="AP43" s="313">
        <f>AP42/AO42-1</f>
        <v>0.1707317073170731</v>
      </c>
      <c r="AQ43" s="314"/>
      <c r="AR43" s="313">
        <f>AR42/AP42-1</f>
        <v>0.76041666666666674</v>
      </c>
      <c r="AS43" s="313">
        <f>AS42/AR42-1</f>
        <v>-0.29881462650465507</v>
      </c>
      <c r="AT43" s="313">
        <f t="shared" ref="AT43" si="18">AT42/AS42-1</f>
        <v>-0.20422161275419448</v>
      </c>
      <c r="AU43" s="313">
        <f>AU42/AT42-1</f>
        <v>6.2167778764035564E-2</v>
      </c>
      <c r="AV43" s="314"/>
    </row>
    <row r="44" spans="2:49" s="78" customFormat="1" hidden="1" outlineLevel="1" x14ac:dyDescent="0.3">
      <c r="B44" s="401" t="s">
        <v>275</v>
      </c>
      <c r="C44" s="402"/>
      <c r="D44" s="311"/>
      <c r="E44" s="311"/>
      <c r="F44" s="311"/>
      <c r="G44" s="311"/>
      <c r="H44" s="312"/>
      <c r="I44" s="311">
        <f>I42/D42-1</f>
        <v>0.85818930983175012</v>
      </c>
      <c r="J44" s="311">
        <f t="shared" ref="J44:L44" si="19">J42/E42-1</f>
        <v>1.1305987202925047</v>
      </c>
      <c r="K44" s="313">
        <f t="shared" si="19"/>
        <v>1.4217670874017623</v>
      </c>
      <c r="L44" s="313">
        <f t="shared" si="19"/>
        <v>0.21067933626435975</v>
      </c>
      <c r="M44" s="312"/>
      <c r="N44" s="311">
        <f>N42/I42-1</f>
        <v>1.2817369879889129</v>
      </c>
      <c r="O44" s="311">
        <f t="shared" ref="O44:Q44" si="20">O42/J42-1</f>
        <v>0.88040971738081186</v>
      </c>
      <c r="P44" s="313">
        <f t="shared" si="20"/>
        <v>0.27977185563968932</v>
      </c>
      <c r="Q44" s="313">
        <f t="shared" si="20"/>
        <v>0.57617290458618875</v>
      </c>
      <c r="R44" s="312"/>
      <c r="S44" s="311">
        <f>S42/N42-1</f>
        <v>0.29006046863189727</v>
      </c>
      <c r="T44" s="311">
        <f t="shared" ref="T44:V44" si="21">T42/O42-1</f>
        <v>6.7476614191193329E-2</v>
      </c>
      <c r="U44" s="313">
        <f t="shared" si="21"/>
        <v>0.20028430920547113</v>
      </c>
      <c r="V44" s="313">
        <f t="shared" si="21"/>
        <v>0.25592716462281673</v>
      </c>
      <c r="W44" s="312"/>
      <c r="X44" s="311">
        <f>X42/S42-1</f>
        <v>6.7714327564920795E-2</v>
      </c>
      <c r="Y44" s="311">
        <f t="shared" ref="Y44:AA44" si="22">Y42/T42-1</f>
        <v>0.16802030456852801</v>
      </c>
      <c r="Z44" s="313">
        <f t="shared" si="22"/>
        <v>0.12682052431100166</v>
      </c>
      <c r="AA44" s="313">
        <f t="shared" si="22"/>
        <v>0.16199662691954897</v>
      </c>
      <c r="AB44" s="312"/>
      <c r="AC44" s="313">
        <f>AC42/X42-1</f>
        <v>0.45944145026947569</v>
      </c>
      <c r="AD44" s="313">
        <f t="shared" ref="AD44:AF44" si="23">AD42/Y42-1</f>
        <v>0.39916283538049813</v>
      </c>
      <c r="AE44" s="313">
        <f t="shared" si="23"/>
        <v>0.35028264636536655</v>
      </c>
      <c r="AF44" s="313">
        <f t="shared" si="23"/>
        <v>0.22341617437359962</v>
      </c>
      <c r="AG44" s="314"/>
      <c r="AH44" s="313">
        <f>AH42/AC42-1</f>
        <v>4.1762904871891493E-3</v>
      </c>
      <c r="AI44" s="313">
        <f t="shared" ref="AI44:AK44" si="24">AI42/AD42-1</f>
        <v>-0.16310282818375021</v>
      </c>
      <c r="AJ44" s="313">
        <f t="shared" si="24"/>
        <v>-0.15010308410821727</v>
      </c>
      <c r="AK44" s="313">
        <f t="shared" si="24"/>
        <v>-5.2720309703201074E-2</v>
      </c>
      <c r="AL44" s="314">
        <f>AL42/AG42-1</f>
        <v>-8.361805741767514E-2</v>
      </c>
      <c r="AM44" s="313">
        <f>AM42/AH42-1</f>
        <v>4.6951684296393292E-2</v>
      </c>
      <c r="AN44" s="311">
        <f t="shared" ref="AN44" si="25">AN42/AI42-1</f>
        <v>-8.3995858808821877E-3</v>
      </c>
      <c r="AO44" s="315">
        <v>1.4876605856580793E-2</v>
      </c>
      <c r="AP44" s="315">
        <v>5.4643728165579164E-2</v>
      </c>
      <c r="AQ44" s="314"/>
      <c r="AR44" s="315">
        <v>7.9320475156469783E-2</v>
      </c>
      <c r="AS44" s="315">
        <v>0.1671919323199309</v>
      </c>
      <c r="AT44" s="315">
        <v>0.15</v>
      </c>
      <c r="AU44" s="315">
        <v>4.335855768175572E-2</v>
      </c>
      <c r="AV44" s="314"/>
    </row>
    <row r="45" spans="2:49" s="40" customFormat="1" hidden="1" outlineLevel="1" x14ac:dyDescent="0.3">
      <c r="B45" s="407" t="s">
        <v>143</v>
      </c>
      <c r="C45" s="408"/>
      <c r="D45" s="156">
        <f t="shared" ref="D45:AJ45" si="26">D41/D42*1000</f>
        <v>638.43424516424409</v>
      </c>
      <c r="E45" s="156">
        <f t="shared" si="26"/>
        <v>622.14351005484457</v>
      </c>
      <c r="F45" s="156">
        <f t="shared" si="26"/>
        <v>635.15122648249576</v>
      </c>
      <c r="G45" s="156">
        <f t="shared" si="26"/>
        <v>625.58502340093605</v>
      </c>
      <c r="H45" s="157">
        <f t="shared" si="26"/>
        <v>629.64815324214157</v>
      </c>
      <c r="I45" s="156">
        <f t="shared" si="26"/>
        <v>644.77979673544803</v>
      </c>
      <c r="J45" s="156">
        <f t="shared" si="26"/>
        <v>659.51627607658065</v>
      </c>
      <c r="K45" s="156">
        <f t="shared" si="26"/>
        <v>654.48913364145938</v>
      </c>
      <c r="L45" s="156">
        <f t="shared" si="26"/>
        <v>643.12071692145491</v>
      </c>
      <c r="M45" s="157">
        <f t="shared" si="26"/>
        <v>650.92055939025909</v>
      </c>
      <c r="N45" s="156">
        <f t="shared" si="26"/>
        <v>646.52845265090161</v>
      </c>
      <c r="O45" s="156">
        <f t="shared" si="26"/>
        <v>635.29545973077802</v>
      </c>
      <c r="P45" s="156">
        <f t="shared" si="26"/>
        <v>607.8453972644844</v>
      </c>
      <c r="Q45" s="156">
        <f t="shared" si="26"/>
        <v>618.54329245633585</v>
      </c>
      <c r="R45" s="157">
        <f t="shared" si="26"/>
        <v>629.30441597492131</v>
      </c>
      <c r="S45" s="156">
        <f t="shared" si="26"/>
        <v>641.57023582832869</v>
      </c>
      <c r="T45" s="156">
        <f t="shared" si="26"/>
        <v>613.27811915575739</v>
      </c>
      <c r="U45" s="156">
        <f t="shared" si="26"/>
        <v>581.09535546237316</v>
      </c>
      <c r="V45" s="156">
        <f t="shared" si="26"/>
        <v>577.27017190874926</v>
      </c>
      <c r="W45" s="157">
        <f t="shared" si="26"/>
        <v>607.48584092588032</v>
      </c>
      <c r="X45" s="156">
        <f t="shared" si="26"/>
        <v>636.90347868691822</v>
      </c>
      <c r="Y45" s="156">
        <f t="shared" si="26"/>
        <v>596.17100116654092</v>
      </c>
      <c r="Z45" s="156">
        <f t="shared" si="26"/>
        <v>561.06013692014892</v>
      </c>
      <c r="AA45" s="156">
        <f t="shared" si="26"/>
        <v>602.92320228152369</v>
      </c>
      <c r="AB45" s="157">
        <f t="shared" si="26"/>
        <v>602.71600706776428</v>
      </c>
      <c r="AC45" s="156">
        <f t="shared" si="26"/>
        <v>687.30192834506101</v>
      </c>
      <c r="AD45" s="156">
        <f t="shared" si="26"/>
        <v>658.52542095798594</v>
      </c>
      <c r="AE45" s="156">
        <f t="shared" si="26"/>
        <v>659.90659317541133</v>
      </c>
      <c r="AF45" s="158">
        <f t="shared" si="26"/>
        <v>670.378387378762</v>
      </c>
      <c r="AG45" s="157">
        <f t="shared" si="26"/>
        <v>670.54035585464794</v>
      </c>
      <c r="AH45" s="158">
        <f t="shared" si="26"/>
        <v>690.50134396020269</v>
      </c>
      <c r="AI45" s="158">
        <f t="shared" si="26"/>
        <v>641.82603090266241</v>
      </c>
      <c r="AJ45" s="158">
        <f t="shared" si="26"/>
        <v>595.26225896680603</v>
      </c>
      <c r="AK45" s="158">
        <f>AK41/AK42*1000</f>
        <v>618.72432052380645</v>
      </c>
      <c r="AL45" s="157">
        <f>AL41/AL42*1000</f>
        <v>645.16433520228043</v>
      </c>
      <c r="AM45" s="158">
        <f>AM41/AM42*1000</f>
        <v>694.57146506578101</v>
      </c>
      <c r="AN45" s="158">
        <f>AN41/AN42*1000</f>
        <v>654.98492996867799</v>
      </c>
      <c r="AO45" s="159">
        <v>650</v>
      </c>
      <c r="AP45" s="159">
        <v>665</v>
      </c>
      <c r="AQ45" s="157">
        <f>AQ41/AQ42*1000</f>
        <v>670.46543730194026</v>
      </c>
      <c r="AR45" s="159">
        <v>700</v>
      </c>
      <c r="AS45" s="159">
        <v>675</v>
      </c>
      <c r="AT45" s="159">
        <v>675</v>
      </c>
      <c r="AU45" s="159">
        <v>675</v>
      </c>
      <c r="AV45" s="157">
        <f>AV41/AV42*1000</f>
        <v>683.76623764595229</v>
      </c>
    </row>
    <row r="46" spans="2:49" hidden="1" outlineLevel="1" x14ac:dyDescent="0.3">
      <c r="B46" s="409" t="s">
        <v>276</v>
      </c>
      <c r="C46" s="410"/>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264"/>
      <c r="AW46" s="90"/>
    </row>
    <row r="47" spans="2:49" hidden="1" outlineLevel="1" x14ac:dyDescent="0.3">
      <c r="B47" s="356" t="s">
        <v>179</v>
      </c>
      <c r="C47" s="361"/>
      <c r="D47" s="220" t="s">
        <v>181</v>
      </c>
      <c r="E47" s="220"/>
      <c r="F47" s="220"/>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96"/>
      <c r="AW47" s="90"/>
    </row>
    <row r="48" spans="2:49" s="57" customFormat="1" hidden="1" outlineLevel="1" x14ac:dyDescent="0.3">
      <c r="B48" s="358" t="s">
        <v>180</v>
      </c>
      <c r="C48" s="360"/>
      <c r="D48" s="191"/>
      <c r="E48" s="191"/>
      <c r="F48" s="194" t="s">
        <v>182</v>
      </c>
      <c r="G48" s="194"/>
      <c r="H48" s="194"/>
      <c r="I48" s="194"/>
      <c r="J48" s="194"/>
      <c r="K48" s="194"/>
      <c r="L48" s="189" t="s">
        <v>190</v>
      </c>
      <c r="M48" s="189"/>
      <c r="N48" s="189"/>
      <c r="O48" s="189"/>
      <c r="P48" s="189"/>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7"/>
      <c r="AW48" s="192"/>
    </row>
    <row r="49" spans="2:49" s="57" customFormat="1" hidden="1" outlineLevel="1" x14ac:dyDescent="0.3">
      <c r="B49" s="358" t="s">
        <v>200</v>
      </c>
      <c r="C49" s="360"/>
      <c r="D49" s="191"/>
      <c r="E49" s="191"/>
      <c r="F49" s="191"/>
      <c r="G49" s="191"/>
      <c r="H49" s="191"/>
      <c r="I49" s="191"/>
      <c r="J49" s="191"/>
      <c r="K49" s="191"/>
      <c r="L49" s="191"/>
      <c r="M49" s="191"/>
      <c r="N49" s="191"/>
      <c r="O49" s="191"/>
      <c r="P49" s="191"/>
      <c r="Q49" s="238" t="s">
        <v>201</v>
      </c>
      <c r="R49" s="238"/>
      <c r="S49" s="238"/>
      <c r="T49" s="204"/>
      <c r="U49" s="204"/>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7"/>
      <c r="AW49" s="192"/>
    </row>
    <row r="50" spans="2:49" s="57" customFormat="1" hidden="1" outlineLevel="1" x14ac:dyDescent="0.3">
      <c r="B50" s="358" t="s">
        <v>208</v>
      </c>
      <c r="C50" s="360"/>
      <c r="D50" s="191"/>
      <c r="E50" s="191"/>
      <c r="F50" s="191"/>
      <c r="G50" s="191"/>
      <c r="H50" s="191"/>
      <c r="I50" s="191"/>
      <c r="J50" s="191"/>
      <c r="K50" s="191"/>
      <c r="L50" s="191"/>
      <c r="M50" s="191"/>
      <c r="N50" s="191"/>
      <c r="O50" s="191"/>
      <c r="P50" s="191"/>
      <c r="Q50" s="191"/>
      <c r="R50" s="191"/>
      <c r="S50" s="191"/>
      <c r="T50" s="191"/>
      <c r="U50" s="191"/>
      <c r="V50" s="206" t="s">
        <v>207</v>
      </c>
      <c r="W50" s="206"/>
      <c r="X50" s="206"/>
      <c r="Y50" s="206"/>
      <c r="Z50" s="228" t="s">
        <v>222</v>
      </c>
      <c r="AA50" s="228"/>
      <c r="AB50" s="228"/>
      <c r="AC50" s="228"/>
      <c r="AD50" s="228"/>
      <c r="AE50" s="228"/>
      <c r="AF50" s="228"/>
      <c r="AG50" s="228"/>
      <c r="AH50" s="228"/>
      <c r="AI50" s="206" t="s">
        <v>247</v>
      </c>
      <c r="AJ50" s="206"/>
      <c r="AK50" s="206"/>
      <c r="AL50" s="206"/>
      <c r="AM50" s="206"/>
      <c r="AN50" s="191"/>
      <c r="AO50" s="191"/>
      <c r="AP50" s="191"/>
      <c r="AQ50" s="191"/>
      <c r="AR50" s="191"/>
      <c r="AS50" s="191"/>
      <c r="AT50" s="191"/>
      <c r="AU50" s="191"/>
      <c r="AV50" s="197"/>
      <c r="AW50" s="192"/>
    </row>
    <row r="51" spans="2:49" s="57" customFormat="1" hidden="1" outlineLevel="1" x14ac:dyDescent="0.3">
      <c r="B51" s="358" t="s">
        <v>209</v>
      </c>
      <c r="C51" s="360"/>
      <c r="D51" s="191"/>
      <c r="E51" s="191"/>
      <c r="F51" s="191"/>
      <c r="G51" s="191"/>
      <c r="H51" s="191"/>
      <c r="I51" s="191"/>
      <c r="J51" s="191"/>
      <c r="K51" s="191"/>
      <c r="L51" s="191"/>
      <c r="M51" s="191"/>
      <c r="N51" s="191"/>
      <c r="O51" s="191"/>
      <c r="P51" s="191"/>
      <c r="Q51" s="191"/>
      <c r="R51" s="191"/>
      <c r="S51" s="191"/>
      <c r="T51" s="191"/>
      <c r="U51" s="191"/>
      <c r="V51" s="234" t="s">
        <v>210</v>
      </c>
      <c r="W51" s="234"/>
      <c r="X51" s="234"/>
      <c r="Y51" s="234"/>
      <c r="Z51" s="234"/>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7"/>
      <c r="AW51" s="192"/>
    </row>
    <row r="52" spans="2:49" s="57" customFormat="1" hidden="1" outlineLevel="1" x14ac:dyDescent="0.3">
      <c r="B52" s="358" t="s">
        <v>216</v>
      </c>
      <c r="C52" s="360"/>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245" t="s">
        <v>235</v>
      </c>
      <c r="AB52" s="245"/>
      <c r="AC52" s="245"/>
      <c r="AD52" s="245"/>
      <c r="AE52" s="245"/>
      <c r="AF52" s="255" t="s">
        <v>239</v>
      </c>
      <c r="AG52" s="255"/>
      <c r="AH52" s="255"/>
      <c r="AI52" s="255"/>
      <c r="AJ52" s="255"/>
      <c r="AK52" s="191"/>
      <c r="AL52" s="191"/>
      <c r="AM52" s="191"/>
      <c r="AN52" s="191"/>
      <c r="AO52" s="191"/>
      <c r="AP52" s="191"/>
      <c r="AQ52" s="191"/>
      <c r="AR52" s="191"/>
      <c r="AS52" s="191"/>
      <c r="AT52" s="191"/>
      <c r="AU52" s="191"/>
      <c r="AV52" s="197"/>
      <c r="AW52" s="192"/>
    </row>
    <row r="53" spans="2:49" s="57" customFormat="1" hidden="1" outlineLevel="1" x14ac:dyDescent="0.3">
      <c r="B53" s="307" t="s">
        <v>223</v>
      </c>
      <c r="C53" s="328"/>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30" t="s">
        <v>240</v>
      </c>
      <c r="AL53" s="330"/>
      <c r="AM53" s="330"/>
      <c r="AN53" s="330"/>
      <c r="AO53" s="330"/>
      <c r="AP53" s="331" t="s">
        <v>259</v>
      </c>
      <c r="AQ53" s="329"/>
      <c r="AR53" s="329"/>
      <c r="AS53" s="329"/>
      <c r="AT53" s="329"/>
      <c r="AU53" s="331" t="s">
        <v>277</v>
      </c>
      <c r="AV53" s="332"/>
      <c r="AW53" s="192"/>
    </row>
    <row r="54" spans="2:49" s="40" customFormat="1" collapsed="1" x14ac:dyDescent="0.3">
      <c r="B54" s="362" t="s">
        <v>135</v>
      </c>
      <c r="C54" s="357"/>
      <c r="D54" s="42"/>
      <c r="E54" s="42"/>
      <c r="F54" s="42"/>
      <c r="G54" s="42"/>
      <c r="H54" s="74"/>
      <c r="I54" s="42"/>
      <c r="J54" s="42"/>
      <c r="K54" s="42"/>
      <c r="L54" s="42"/>
      <c r="M54" s="74"/>
      <c r="N54" s="42"/>
      <c r="O54" s="42"/>
      <c r="P54" s="42"/>
      <c r="Q54" s="42"/>
      <c r="R54" s="74"/>
      <c r="S54" s="42"/>
      <c r="T54" s="42"/>
      <c r="U54" s="42"/>
      <c r="V54" s="42"/>
      <c r="W54" s="74"/>
      <c r="X54" s="42"/>
      <c r="Y54" s="42"/>
      <c r="Z54" s="42"/>
      <c r="AA54" s="42"/>
      <c r="AB54" s="74"/>
      <c r="AC54" s="42"/>
      <c r="AD54" s="42"/>
      <c r="AE54" s="42"/>
      <c r="AF54" s="80"/>
      <c r="AG54" s="74"/>
      <c r="AH54" s="80"/>
      <c r="AI54" s="80"/>
      <c r="AJ54" s="80"/>
      <c r="AK54" s="80"/>
      <c r="AL54" s="112"/>
      <c r="AM54" s="80"/>
      <c r="AN54" s="80"/>
      <c r="AO54" s="80"/>
      <c r="AP54" s="80"/>
      <c r="AQ54" s="112"/>
      <c r="AR54" s="80"/>
      <c r="AS54" s="80"/>
      <c r="AT54" s="80"/>
      <c r="AU54" s="80"/>
      <c r="AV54" s="112"/>
    </row>
    <row r="55" spans="2:49" s="40" customFormat="1" hidden="1" outlineLevel="1" x14ac:dyDescent="0.3">
      <c r="B55" s="392" t="s">
        <v>137</v>
      </c>
      <c r="C55" s="393"/>
      <c r="D55" s="42">
        <v>0</v>
      </c>
      <c r="E55" s="42">
        <v>0</v>
      </c>
      <c r="F55" s="42">
        <v>2166</v>
      </c>
      <c r="G55" s="42">
        <f>4958-F55-E55-D55</f>
        <v>2792</v>
      </c>
      <c r="H55" s="71">
        <f>SUM(D55:G55)</f>
        <v>4958</v>
      </c>
      <c r="I55" s="42">
        <v>4608</v>
      </c>
      <c r="J55" s="42">
        <v>2836</v>
      </c>
      <c r="K55" s="42">
        <v>6046</v>
      </c>
      <c r="L55" s="42">
        <f>20358-K55-J55-I55</f>
        <v>6868</v>
      </c>
      <c r="M55" s="71">
        <f>SUM(I55:L55)</f>
        <v>20358</v>
      </c>
      <c r="N55" s="42">
        <v>8769</v>
      </c>
      <c r="O55" s="42">
        <v>6264</v>
      </c>
      <c r="P55" s="42">
        <v>8779</v>
      </c>
      <c r="Q55" s="42">
        <f>30945-P55-O55-N55</f>
        <v>7133</v>
      </c>
      <c r="R55" s="71">
        <f>SUM(N55:Q55)</f>
        <v>30945</v>
      </c>
      <c r="S55" s="42">
        <v>10674</v>
      </c>
      <c r="T55" s="42">
        <v>8746</v>
      </c>
      <c r="U55" s="42">
        <v>6374</v>
      </c>
      <c r="V55" s="42">
        <f>31980-U55-T55-S55</f>
        <v>6186</v>
      </c>
      <c r="W55" s="71">
        <f>SUM(S55:V55)</f>
        <v>31980</v>
      </c>
      <c r="X55" s="42">
        <v>11468</v>
      </c>
      <c r="Y55" s="42">
        <v>7610</v>
      </c>
      <c r="Z55" s="42">
        <v>5889</v>
      </c>
      <c r="AA55" s="42">
        <f>30283-Z55-Y55-X55</f>
        <v>5316</v>
      </c>
      <c r="AB55" s="71">
        <f>SUM(X55:AA55)</f>
        <v>30283</v>
      </c>
      <c r="AC55" s="42">
        <v>8985</v>
      </c>
      <c r="AD55" s="42">
        <v>5428</v>
      </c>
      <c r="AE55" s="42">
        <v>4538</v>
      </c>
      <c r="AF55" s="42">
        <v>4276</v>
      </c>
      <c r="AG55" s="71">
        <f>SUM(AC55:AF55)</f>
        <v>23227</v>
      </c>
      <c r="AH55" s="42">
        <v>7084</v>
      </c>
      <c r="AI55" s="42">
        <v>4413</v>
      </c>
      <c r="AJ55" s="42">
        <v>4876</v>
      </c>
      <c r="AK55" s="42">
        <v>4255</v>
      </c>
      <c r="AL55" s="71">
        <f>SUM(AH55:AK55)</f>
        <v>20628</v>
      </c>
      <c r="AM55" s="42">
        <v>5533</v>
      </c>
      <c r="AN55" s="42">
        <v>3889</v>
      </c>
      <c r="AO55" s="42">
        <f>AO56*AO59/1000</f>
        <v>3697.5</v>
      </c>
      <c r="AP55" s="42">
        <f>AP56*AP59/1000</f>
        <v>3480</v>
      </c>
      <c r="AQ55" s="71">
        <f>SUM(AM55:AP55)</f>
        <v>16599.5</v>
      </c>
      <c r="AR55" s="42">
        <f>AR56*AR59/1000</f>
        <v>6090.0000000000009</v>
      </c>
      <c r="AS55" s="42">
        <f>AS56*AS59/1000</f>
        <v>3867.5</v>
      </c>
      <c r="AT55" s="42">
        <f>AT56*AT59/1000</f>
        <v>3674.125</v>
      </c>
      <c r="AU55" s="42">
        <f>AU56*AU59/1000</f>
        <v>3306.7125000000001</v>
      </c>
      <c r="AV55" s="71">
        <f>SUM(AR55:AU55)</f>
        <v>16938.337500000001</v>
      </c>
    </row>
    <row r="56" spans="2:49" s="40" customFormat="1" hidden="1" outlineLevel="1" x14ac:dyDescent="0.3">
      <c r="B56" s="392" t="s">
        <v>103</v>
      </c>
      <c r="C56" s="393"/>
      <c r="D56" s="42"/>
      <c r="E56" s="42">
        <v>0</v>
      </c>
      <c r="F56" s="42">
        <v>3270</v>
      </c>
      <c r="G56" s="42">
        <f>7458-F56-E56-D56</f>
        <v>4188</v>
      </c>
      <c r="H56" s="71">
        <f>SUM(D56:G56)</f>
        <v>7458</v>
      </c>
      <c r="I56" s="42">
        <v>7331</v>
      </c>
      <c r="J56" s="42">
        <v>4694</v>
      </c>
      <c r="K56" s="42">
        <v>9246</v>
      </c>
      <c r="L56" s="42">
        <f>32394-K56-J56-I56</f>
        <v>11123</v>
      </c>
      <c r="M56" s="71">
        <f>SUM(I56:L56)</f>
        <v>32394</v>
      </c>
      <c r="N56" s="42">
        <v>15434</v>
      </c>
      <c r="O56" s="42">
        <v>11798</v>
      </c>
      <c r="P56" s="42">
        <v>17042</v>
      </c>
      <c r="Q56" s="42">
        <f>58310-P56-O56-N56</f>
        <v>14036</v>
      </c>
      <c r="R56" s="71">
        <f>SUM(N56:Q56)</f>
        <v>58310</v>
      </c>
      <c r="S56" s="42">
        <v>22860</v>
      </c>
      <c r="T56" s="42">
        <v>19477</v>
      </c>
      <c r="U56" s="42">
        <v>14617</v>
      </c>
      <c r="V56" s="42">
        <f>71033-U56-T56-S56</f>
        <v>14079</v>
      </c>
      <c r="W56" s="71">
        <f>SUM(S56:V56)</f>
        <v>71033</v>
      </c>
      <c r="X56" s="42">
        <v>26035</v>
      </c>
      <c r="Y56" s="42">
        <v>16350</v>
      </c>
      <c r="Z56" s="42">
        <v>13276</v>
      </c>
      <c r="AA56" s="42">
        <f>67977-Z56-Y56-X56</f>
        <v>12316</v>
      </c>
      <c r="AB56" s="71">
        <f>SUM(X56:AA56)</f>
        <v>67977</v>
      </c>
      <c r="AC56" s="80">
        <v>21419</v>
      </c>
      <c r="AD56" s="80">
        <v>12623</v>
      </c>
      <c r="AE56" s="42">
        <v>10931</v>
      </c>
      <c r="AF56" s="42">
        <v>9883</v>
      </c>
      <c r="AG56" s="71">
        <f>SUM(AC56:AF56)</f>
        <v>54856</v>
      </c>
      <c r="AH56" s="80">
        <v>16122</v>
      </c>
      <c r="AI56" s="80">
        <v>10251</v>
      </c>
      <c r="AJ56" s="42">
        <v>9950</v>
      </c>
      <c r="AK56" s="42">
        <v>9267</v>
      </c>
      <c r="AL56" s="71">
        <f>SUM(AH56:AK56)</f>
        <v>45590</v>
      </c>
      <c r="AM56" s="80">
        <v>13081</v>
      </c>
      <c r="AN56" s="80">
        <v>8922</v>
      </c>
      <c r="AO56" s="42">
        <f>AJ56*(1+AO58)</f>
        <v>8500</v>
      </c>
      <c r="AP56" s="42">
        <f>AK56*(1+AP58)</f>
        <v>8000</v>
      </c>
      <c r="AQ56" s="71">
        <f>SUM(AM56:AP56)</f>
        <v>38503</v>
      </c>
      <c r="AR56" s="80">
        <f>AM56*(1+AR58)</f>
        <v>14000.000000000002</v>
      </c>
      <c r="AS56" s="80">
        <f>AN56*(1+AS58)</f>
        <v>9100</v>
      </c>
      <c r="AT56" s="42">
        <f>AO56*(1+AT58)</f>
        <v>8645</v>
      </c>
      <c r="AU56" s="42">
        <f>AP56*(1+AU58)</f>
        <v>7780.5</v>
      </c>
      <c r="AV56" s="71">
        <f>SUM(AR56:AU56)</f>
        <v>39525.5</v>
      </c>
    </row>
    <row r="57" spans="2:49" s="78" customFormat="1" hidden="1" outlineLevel="1" x14ac:dyDescent="0.3">
      <c r="B57" s="405" t="s">
        <v>261</v>
      </c>
      <c r="C57" s="406"/>
      <c r="D57" s="311"/>
      <c r="E57" s="311"/>
      <c r="F57" s="311"/>
      <c r="G57" s="311">
        <f>G56/F56-1</f>
        <v>0.2807339449541284</v>
      </c>
      <c r="H57" s="312"/>
      <c r="I57" s="311">
        <f>I56/G56-1</f>
        <v>0.75047755491881563</v>
      </c>
      <c r="J57" s="311">
        <f>J56/I56-1</f>
        <v>-0.35970536079661708</v>
      </c>
      <c r="K57" s="311">
        <f>K56/J56-1</f>
        <v>0.96974861525351508</v>
      </c>
      <c r="L57" s="311">
        <f>L56/K56-1</f>
        <v>0.20300670560242273</v>
      </c>
      <c r="M57" s="312">
        <f>M56/H56-1</f>
        <v>3.3435237329042637</v>
      </c>
      <c r="N57" s="311">
        <f>N56/L56-1</f>
        <v>0.38757529443495464</v>
      </c>
      <c r="O57" s="311">
        <f>O56/N56-1</f>
        <v>-0.23558377607878711</v>
      </c>
      <c r="P57" s="311">
        <f>P56/O56-1</f>
        <v>0.44448211561281581</v>
      </c>
      <c r="Q57" s="311">
        <f>Q56/P56-1</f>
        <v>-0.17638774791691114</v>
      </c>
      <c r="R57" s="312">
        <f>R56/M56-1</f>
        <v>0.80002469593134529</v>
      </c>
      <c r="S57" s="311">
        <f>S56/Q56-1</f>
        <v>0.62866913650612699</v>
      </c>
      <c r="T57" s="311">
        <f>T56/S56-1</f>
        <v>-0.14798775153105859</v>
      </c>
      <c r="U57" s="311">
        <f>U56/T56-1</f>
        <v>-0.24952508086460956</v>
      </c>
      <c r="V57" s="311">
        <f>V56/U56-1</f>
        <v>-3.6806458233563655E-2</v>
      </c>
      <c r="W57" s="312">
        <f>W56/R56-1</f>
        <v>0.21819584976847883</v>
      </c>
      <c r="X57" s="311">
        <f>X56/V56-1</f>
        <v>0.84920804034377451</v>
      </c>
      <c r="Y57" s="311">
        <f>Y56/X56-1</f>
        <v>-0.3719992318033416</v>
      </c>
      <c r="Z57" s="311">
        <f>Z56/Y56-1</f>
        <v>-0.18801223241590215</v>
      </c>
      <c r="AA57" s="311">
        <f>AA56/Z56-1</f>
        <v>-7.2310937029225641E-2</v>
      </c>
      <c r="AB57" s="312">
        <f>AB56/W56-1</f>
        <v>-4.3022257260709851E-2</v>
      </c>
      <c r="AC57" s="311">
        <f>AC56/AA56-1</f>
        <v>0.73911984410522891</v>
      </c>
      <c r="AD57" s="311">
        <f>AD56/AC56-1</f>
        <v>-0.41066342966525049</v>
      </c>
      <c r="AE57" s="313">
        <f>AE56/AD56-1</f>
        <v>-0.13404103620375507</v>
      </c>
      <c r="AF57" s="313">
        <f>AF56/AE56-1</f>
        <v>-9.5874119476717645E-2</v>
      </c>
      <c r="AG57" s="314">
        <f>AG56/AB56-1</f>
        <v>-0.19302116892478338</v>
      </c>
      <c r="AH57" s="313">
        <f>AH56/AF56-1</f>
        <v>0.63128604674693922</v>
      </c>
      <c r="AI57" s="313">
        <f>AI56/AG56-1</f>
        <v>-0.81312891935248655</v>
      </c>
      <c r="AJ57" s="313">
        <f>AJ56/AH56-1</f>
        <v>-0.38283091427862548</v>
      </c>
      <c r="AK57" s="313">
        <f>AK56/AI56-1</f>
        <v>-9.5990635059994167E-2</v>
      </c>
      <c r="AL57" s="314">
        <f>AL56/AG56-1</f>
        <v>-0.16891497739536243</v>
      </c>
      <c r="AM57" s="313">
        <f>AM56/AK56-1</f>
        <v>0.41156792921117935</v>
      </c>
      <c r="AN57" s="313">
        <f>AN56/AL56-1</f>
        <v>-0.80429918841851289</v>
      </c>
      <c r="AO57" s="313">
        <f>AO56/AN56-1</f>
        <v>-4.7298811925577278E-2</v>
      </c>
      <c r="AP57" s="313">
        <f>AP56/AO56-1</f>
        <v>-5.8823529411764719E-2</v>
      </c>
      <c r="AQ57" s="314">
        <f>AQ56/AL56-1</f>
        <v>-0.15545075674490016</v>
      </c>
      <c r="AR57" s="313">
        <f>AR56/AP56-1</f>
        <v>0.75000000000000022</v>
      </c>
      <c r="AS57" s="313">
        <f>AS56/AR56-1</f>
        <v>-0.35000000000000009</v>
      </c>
      <c r="AT57" s="313">
        <f t="shared" ref="AT57" si="27">AT56/AS56-1</f>
        <v>-5.0000000000000044E-2</v>
      </c>
      <c r="AU57" s="313">
        <f>AU56/AT56-1</f>
        <v>-9.9999999999999978E-2</v>
      </c>
      <c r="AV57" s="314">
        <f>AV56/AQ56-1</f>
        <v>2.655637223073537E-2</v>
      </c>
    </row>
    <row r="58" spans="2:49" s="78" customFormat="1" hidden="1" outlineLevel="1" x14ac:dyDescent="0.3">
      <c r="B58" s="401" t="s">
        <v>260</v>
      </c>
      <c r="C58" s="402"/>
      <c r="D58" s="311"/>
      <c r="E58" s="311"/>
      <c r="F58" s="311"/>
      <c r="G58" s="311"/>
      <c r="H58" s="312"/>
      <c r="I58" s="311"/>
      <c r="J58" s="311"/>
      <c r="K58" s="313">
        <f t="shared" ref="K58:L58" si="28">K56/F56-1</f>
        <v>1.8275229357798164</v>
      </c>
      <c r="L58" s="313">
        <f t="shared" si="28"/>
        <v>1.6559216809933144</v>
      </c>
      <c r="M58" s="312"/>
      <c r="N58" s="311">
        <f>N56/I56-1</f>
        <v>1.1053062338016644</v>
      </c>
      <c r="O58" s="311">
        <f t="shared" ref="O58:Q58" si="29">O56/J56-1</f>
        <v>1.5134213890072434</v>
      </c>
      <c r="P58" s="313">
        <f t="shared" si="29"/>
        <v>0.8431754272117673</v>
      </c>
      <c r="Q58" s="313">
        <f t="shared" si="29"/>
        <v>0.26188977793760682</v>
      </c>
      <c r="R58" s="312"/>
      <c r="S58" s="311">
        <f>S56/N56-1</f>
        <v>0.48114552287158219</v>
      </c>
      <c r="T58" s="311">
        <f t="shared" ref="T58:V58" si="30">T56/O56-1</f>
        <v>0.65087302932700464</v>
      </c>
      <c r="U58" s="313">
        <f t="shared" si="30"/>
        <v>-0.14229550522239176</v>
      </c>
      <c r="V58" s="313">
        <f t="shared" si="30"/>
        <v>3.0635508691934099E-3</v>
      </c>
      <c r="W58" s="312"/>
      <c r="X58" s="311">
        <f>X56/S56-1</f>
        <v>0.13888888888888884</v>
      </c>
      <c r="Y58" s="311">
        <f t="shared" ref="Y58:AA58" si="31">Y56/T56-1</f>
        <v>-0.16054833906659138</v>
      </c>
      <c r="Z58" s="313">
        <f t="shared" si="31"/>
        <v>-9.1742491619347333E-2</v>
      </c>
      <c r="AA58" s="313">
        <f t="shared" si="31"/>
        <v>-0.12522196178705869</v>
      </c>
      <c r="AB58" s="312"/>
      <c r="AC58" s="313">
        <f>AC56/X56-1</f>
        <v>-0.17729978874591901</v>
      </c>
      <c r="AD58" s="313">
        <f t="shared" ref="AD58:AF58" si="32">AD56/Y56-1</f>
        <v>-0.22795107033639139</v>
      </c>
      <c r="AE58" s="313">
        <f t="shared" si="32"/>
        <v>-0.17663452847243144</v>
      </c>
      <c r="AF58" s="313">
        <f t="shared" si="32"/>
        <v>-0.19754790516401433</v>
      </c>
      <c r="AG58" s="314"/>
      <c r="AH58" s="313">
        <f>AH56/AC56-1</f>
        <v>-0.24730379569541061</v>
      </c>
      <c r="AI58" s="313">
        <f t="shared" ref="AI58:AK58" si="33">AI56/AD56-1</f>
        <v>-0.18791095619107978</v>
      </c>
      <c r="AJ58" s="313">
        <f t="shared" si="33"/>
        <v>-8.9744762601774775E-2</v>
      </c>
      <c r="AK58" s="313">
        <f t="shared" si="33"/>
        <v>-6.2329252251340672E-2</v>
      </c>
      <c r="AL58" s="314">
        <f>AL56/AG56-1</f>
        <v>-0.16891497739536243</v>
      </c>
      <c r="AM58" s="313">
        <f>AM56/AH56-1</f>
        <v>-0.1886242401687136</v>
      </c>
      <c r="AN58" s="313">
        <f t="shared" ref="AN58" si="34">AN56/AI56-1</f>
        <v>-0.12964588820602863</v>
      </c>
      <c r="AO58" s="315">
        <v>-0.14572864321608037</v>
      </c>
      <c r="AP58" s="315">
        <v>-0.13672170065824973</v>
      </c>
      <c r="AQ58" s="314"/>
      <c r="AR58" s="315">
        <v>7.02545676936015E-2</v>
      </c>
      <c r="AS58" s="315">
        <v>1.9950683703205518E-2</v>
      </c>
      <c r="AT58" s="315">
        <v>1.7058823529411793E-2</v>
      </c>
      <c r="AU58" s="315">
        <v>-2.7437500000000004E-2</v>
      </c>
      <c r="AV58" s="314"/>
    </row>
    <row r="59" spans="2:49" s="40" customFormat="1" hidden="1" outlineLevel="1" x14ac:dyDescent="0.3">
      <c r="B59" s="407" t="s">
        <v>144</v>
      </c>
      <c r="C59" s="408"/>
      <c r="D59" s="156"/>
      <c r="E59" s="156"/>
      <c r="F59" s="156">
        <f t="shared" ref="F59:AJ59" si="35">F55/F56*1000</f>
        <v>662.38532110091739</v>
      </c>
      <c r="G59" s="156">
        <f t="shared" si="35"/>
        <v>666.66666666666663</v>
      </c>
      <c r="H59" s="157">
        <f t="shared" si="35"/>
        <v>664.7894877983374</v>
      </c>
      <c r="I59" s="156">
        <f t="shared" si="35"/>
        <v>628.56363388350849</v>
      </c>
      <c r="J59" s="156">
        <f t="shared" si="35"/>
        <v>604.17554324669788</v>
      </c>
      <c r="K59" s="156">
        <f t="shared" si="35"/>
        <v>653.9043910880381</v>
      </c>
      <c r="L59" s="156">
        <f t="shared" si="35"/>
        <v>617.45931852917374</v>
      </c>
      <c r="M59" s="157">
        <f t="shared" si="35"/>
        <v>628.44971290979811</v>
      </c>
      <c r="N59" s="156">
        <f t="shared" si="35"/>
        <v>568.16120253984718</v>
      </c>
      <c r="O59" s="156">
        <f t="shared" si="35"/>
        <v>530.93744702491949</v>
      </c>
      <c r="P59" s="156">
        <f t="shared" si="35"/>
        <v>515.13906818448538</v>
      </c>
      <c r="Q59" s="156">
        <f t="shared" si="35"/>
        <v>508.19321744086631</v>
      </c>
      <c r="R59" s="157">
        <f t="shared" si="35"/>
        <v>530.69799348310755</v>
      </c>
      <c r="S59" s="156">
        <f t="shared" si="35"/>
        <v>466.92913385826773</v>
      </c>
      <c r="T59" s="156">
        <f t="shared" si="35"/>
        <v>449.04246033783437</v>
      </c>
      <c r="U59" s="156">
        <f t="shared" si="35"/>
        <v>436.06759252924678</v>
      </c>
      <c r="V59" s="156">
        <f t="shared" si="35"/>
        <v>439.37779671851695</v>
      </c>
      <c r="W59" s="157">
        <f t="shared" si="35"/>
        <v>450.21328115101431</v>
      </c>
      <c r="X59" s="156">
        <f t="shared" si="35"/>
        <v>440.4839638947571</v>
      </c>
      <c r="Y59" s="156">
        <f t="shared" si="35"/>
        <v>465.44342507645257</v>
      </c>
      <c r="Z59" s="156">
        <f t="shared" si="35"/>
        <v>443.5824043386562</v>
      </c>
      <c r="AA59" s="156">
        <f t="shared" si="35"/>
        <v>431.63364728808057</v>
      </c>
      <c r="AB59" s="157">
        <f t="shared" si="35"/>
        <v>445.48891536843342</v>
      </c>
      <c r="AC59" s="156">
        <f t="shared" si="35"/>
        <v>419.48737102572483</v>
      </c>
      <c r="AD59" s="156">
        <f t="shared" si="35"/>
        <v>430.00871425176268</v>
      </c>
      <c r="AE59" s="156">
        <f t="shared" si="35"/>
        <v>415.14957460433629</v>
      </c>
      <c r="AF59" s="158">
        <f t="shared" si="35"/>
        <v>432.66214712131944</v>
      </c>
      <c r="AG59" s="157">
        <f t="shared" si="35"/>
        <v>423.41767536823681</v>
      </c>
      <c r="AH59" s="158">
        <f t="shared" si="35"/>
        <v>439.39957821610221</v>
      </c>
      <c r="AI59" s="158">
        <f t="shared" si="35"/>
        <v>430.49458589405907</v>
      </c>
      <c r="AJ59" s="158">
        <f t="shared" si="35"/>
        <v>490.05025125628146</v>
      </c>
      <c r="AK59" s="158">
        <f>AK55/AK56*1000</f>
        <v>459.1561454623934</v>
      </c>
      <c r="AL59" s="157">
        <f>AL55/AL56*1000</f>
        <v>452.46764641368719</v>
      </c>
      <c r="AM59" s="158">
        <f>AM55/AM56*1000</f>
        <v>422.97989450347836</v>
      </c>
      <c r="AN59" s="158">
        <f t="shared" ref="AN59" si="36">AN55/AN56*1000</f>
        <v>435.88881416722705</v>
      </c>
      <c r="AO59" s="159">
        <v>435</v>
      </c>
      <c r="AP59" s="159">
        <v>435</v>
      </c>
      <c r="AQ59" s="157">
        <f>AQ55/AQ56*1000</f>
        <v>431.12225021426906</v>
      </c>
      <c r="AR59" s="159">
        <v>435</v>
      </c>
      <c r="AS59" s="159">
        <v>425</v>
      </c>
      <c r="AT59" s="159">
        <v>425</v>
      </c>
      <c r="AU59" s="159">
        <v>425</v>
      </c>
      <c r="AV59" s="157">
        <f>AV55/AV56*1000</f>
        <v>428.5420171787834</v>
      </c>
    </row>
    <row r="60" spans="2:49" s="67" customFormat="1" hidden="1" outlineLevel="1" x14ac:dyDescent="0.3">
      <c r="B60" s="411" t="s">
        <v>278</v>
      </c>
      <c r="C60" s="412"/>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8"/>
      <c r="AO60" s="268"/>
      <c r="AP60" s="268"/>
      <c r="AQ60" s="268"/>
      <c r="AR60" s="268"/>
      <c r="AS60" s="268"/>
      <c r="AT60" s="268"/>
      <c r="AU60" s="268"/>
      <c r="AV60" s="269"/>
      <c r="AW60" s="192"/>
    </row>
    <row r="61" spans="2:49" hidden="1" outlineLevel="1" x14ac:dyDescent="0.3">
      <c r="B61" s="356" t="s">
        <v>156</v>
      </c>
      <c r="C61" s="361"/>
      <c r="D61" s="184"/>
      <c r="E61" s="217" t="s">
        <v>186</v>
      </c>
      <c r="F61" s="217"/>
      <c r="G61" s="219"/>
      <c r="H61" s="219"/>
      <c r="I61" s="219"/>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96"/>
      <c r="AW61" s="90"/>
    </row>
    <row r="62" spans="2:49" hidden="1" outlineLevel="1" x14ac:dyDescent="0.3">
      <c r="B62" s="356" t="s">
        <v>193</v>
      </c>
      <c r="C62" s="361"/>
      <c r="D62" s="184"/>
      <c r="E62" s="184"/>
      <c r="F62" s="118"/>
      <c r="G62" s="184"/>
      <c r="H62" s="184"/>
      <c r="I62" s="184"/>
      <c r="J62" s="194" t="s">
        <v>194</v>
      </c>
      <c r="K62" s="195"/>
      <c r="L62" s="195"/>
      <c r="M62" s="195"/>
      <c r="N62" s="195"/>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96"/>
      <c r="AW62" s="90"/>
    </row>
    <row r="63" spans="2:49" hidden="1" outlineLevel="1" x14ac:dyDescent="0.3">
      <c r="B63" s="356" t="s">
        <v>195</v>
      </c>
      <c r="C63" s="361"/>
      <c r="D63" s="184"/>
      <c r="E63" s="184"/>
      <c r="F63" s="184"/>
      <c r="G63" s="184"/>
      <c r="H63" s="184"/>
      <c r="I63" s="184"/>
      <c r="J63" s="184"/>
      <c r="K63" s="184"/>
      <c r="L63" s="184"/>
      <c r="M63" s="184"/>
      <c r="N63" s="184"/>
      <c r="O63" s="238" t="s">
        <v>196</v>
      </c>
      <c r="P63" s="239"/>
      <c r="Q63" s="239"/>
      <c r="R63" s="239"/>
      <c r="S63" s="186"/>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96"/>
      <c r="AW63" s="90"/>
    </row>
    <row r="64" spans="2:49" hidden="1" outlineLevel="1" x14ac:dyDescent="0.3">
      <c r="B64" s="356" t="s">
        <v>204</v>
      </c>
      <c r="C64" s="361"/>
      <c r="D64" s="184"/>
      <c r="E64" s="201"/>
      <c r="F64" s="184"/>
      <c r="G64" s="184"/>
      <c r="H64" s="184"/>
      <c r="I64" s="184"/>
      <c r="J64" s="184"/>
      <c r="K64" s="184"/>
      <c r="L64" s="184"/>
      <c r="M64" s="184"/>
      <c r="N64" s="184"/>
      <c r="O64" s="184"/>
      <c r="P64" s="184"/>
      <c r="Q64" s="184"/>
      <c r="R64" s="184"/>
      <c r="S64" s="206" t="s">
        <v>205</v>
      </c>
      <c r="T64" s="207"/>
      <c r="U64" s="207"/>
      <c r="V64" s="207"/>
      <c r="W64" s="207"/>
      <c r="X64" s="186"/>
      <c r="Y64" s="184"/>
      <c r="Z64" s="184"/>
      <c r="AA64" s="184"/>
      <c r="AB64" s="184"/>
      <c r="AC64" s="186"/>
      <c r="AD64" s="184"/>
      <c r="AE64" s="184"/>
      <c r="AF64" s="186"/>
      <c r="AG64" s="184"/>
      <c r="AH64" s="184"/>
      <c r="AI64" s="184"/>
      <c r="AJ64" s="184"/>
      <c r="AK64" s="184"/>
      <c r="AL64" s="184"/>
      <c r="AM64" s="184"/>
      <c r="AN64" s="184"/>
      <c r="AO64" s="184"/>
      <c r="AP64" s="184"/>
      <c r="AQ64" s="184"/>
      <c r="AR64" s="184"/>
      <c r="AS64" s="184"/>
      <c r="AT64" s="184"/>
      <c r="AU64" s="184"/>
      <c r="AV64" s="196"/>
      <c r="AW64" s="90"/>
    </row>
    <row r="65" spans="2:49" hidden="1" outlineLevel="1" x14ac:dyDescent="0.3">
      <c r="B65" s="356" t="s">
        <v>213</v>
      </c>
      <c r="C65" s="361"/>
      <c r="D65" s="184"/>
      <c r="E65" s="201"/>
      <c r="F65" s="184"/>
      <c r="G65" s="184"/>
      <c r="H65" s="184"/>
      <c r="I65" s="184"/>
      <c r="J65" s="184"/>
      <c r="K65" s="184"/>
      <c r="L65" s="184"/>
      <c r="M65" s="184"/>
      <c r="N65" s="184"/>
      <c r="O65" s="184"/>
      <c r="P65" s="184"/>
      <c r="Q65" s="184"/>
      <c r="R65" s="184"/>
      <c r="S65" s="234" t="s">
        <v>206</v>
      </c>
      <c r="T65" s="235"/>
      <c r="U65" s="235"/>
      <c r="V65" s="243"/>
      <c r="W65" s="235"/>
      <c r="X65" s="242" t="s">
        <v>217</v>
      </c>
      <c r="Y65" s="240"/>
      <c r="Z65" s="240"/>
      <c r="AA65" s="240"/>
      <c r="AB65" s="240"/>
      <c r="AC65" s="246" t="s">
        <v>220</v>
      </c>
      <c r="AD65" s="247"/>
      <c r="AE65" s="247"/>
      <c r="AF65" s="247"/>
      <c r="AG65" s="248" t="s">
        <v>238</v>
      </c>
      <c r="AH65" s="249"/>
      <c r="AI65" s="249"/>
      <c r="AJ65" s="249"/>
      <c r="AK65" s="249"/>
      <c r="AL65" s="249"/>
      <c r="AM65" s="249"/>
      <c r="AN65" s="184"/>
      <c r="AO65" s="184"/>
      <c r="AP65" s="184"/>
      <c r="AQ65" s="184"/>
      <c r="AR65" s="184"/>
      <c r="AS65" s="184"/>
      <c r="AT65" s="184"/>
      <c r="AU65" s="184"/>
      <c r="AV65" s="196"/>
      <c r="AW65" s="90"/>
    </row>
    <row r="66" spans="2:49" hidden="1" outlineLevel="1" x14ac:dyDescent="0.3">
      <c r="B66" s="356" t="s">
        <v>211</v>
      </c>
      <c r="C66" s="361"/>
      <c r="D66" s="184"/>
      <c r="E66" s="201"/>
      <c r="F66" s="184"/>
      <c r="G66" s="184"/>
      <c r="H66" s="184"/>
      <c r="I66" s="184"/>
      <c r="J66" s="184"/>
      <c r="K66" s="184"/>
      <c r="L66" s="184"/>
      <c r="M66" s="184"/>
      <c r="N66" s="184"/>
      <c r="O66" s="184"/>
      <c r="P66" s="184"/>
      <c r="Q66" s="184"/>
      <c r="R66" s="184"/>
      <c r="S66" s="191"/>
      <c r="T66" s="202"/>
      <c r="U66" s="202"/>
      <c r="V66" s="143"/>
      <c r="W66" s="202"/>
      <c r="X66" s="213" t="s">
        <v>212</v>
      </c>
      <c r="Y66" s="214"/>
      <c r="Z66" s="214"/>
      <c r="AA66" s="214"/>
      <c r="AB66" s="214"/>
      <c r="AC66" s="215" t="s">
        <v>237</v>
      </c>
      <c r="AD66" s="216"/>
      <c r="AE66" s="216"/>
      <c r="AF66" s="216"/>
      <c r="AG66" s="216"/>
      <c r="AH66" s="216"/>
      <c r="AI66" s="216"/>
      <c r="AJ66" s="216"/>
      <c r="AK66" s="216"/>
      <c r="AL66" s="216"/>
      <c r="AM66" s="216"/>
      <c r="AN66" s="184"/>
      <c r="AO66" s="184"/>
      <c r="AP66" s="184"/>
      <c r="AQ66" s="184"/>
      <c r="AR66" s="184"/>
      <c r="AS66" s="184"/>
      <c r="AT66" s="184"/>
      <c r="AU66" s="184"/>
      <c r="AV66" s="196"/>
      <c r="AW66" s="90"/>
    </row>
    <row r="67" spans="2:49" s="67" customFormat="1" hidden="1" outlineLevel="1" x14ac:dyDescent="0.3">
      <c r="B67" s="307" t="s">
        <v>221</v>
      </c>
      <c r="C67" s="328"/>
      <c r="D67" s="333"/>
      <c r="E67" s="334"/>
      <c r="F67" s="333"/>
      <c r="G67" s="333"/>
      <c r="H67" s="333"/>
      <c r="I67" s="333"/>
      <c r="J67" s="333"/>
      <c r="K67" s="333"/>
      <c r="L67" s="333"/>
      <c r="M67" s="333"/>
      <c r="N67" s="333"/>
      <c r="O67" s="333"/>
      <c r="P67" s="333"/>
      <c r="Q67" s="333"/>
      <c r="R67" s="333"/>
      <c r="S67" s="329"/>
      <c r="T67" s="333"/>
      <c r="U67" s="333"/>
      <c r="V67" s="335"/>
      <c r="W67" s="333"/>
      <c r="X67" s="329"/>
      <c r="Y67" s="333"/>
      <c r="Z67" s="333"/>
      <c r="AA67" s="333"/>
      <c r="AB67" s="333"/>
      <c r="AC67" s="329"/>
      <c r="AD67" s="333"/>
      <c r="AE67" s="333"/>
      <c r="AF67" s="333"/>
      <c r="AG67" s="333"/>
      <c r="AH67" s="336" t="s">
        <v>236</v>
      </c>
      <c r="AI67" s="337"/>
      <c r="AJ67" s="337"/>
      <c r="AK67" s="337"/>
      <c r="AL67" s="337"/>
      <c r="AM67" s="337"/>
      <c r="AN67" s="333"/>
      <c r="AO67" s="333"/>
      <c r="AP67" s="333"/>
      <c r="AQ67" s="333"/>
      <c r="AR67" s="333"/>
      <c r="AS67" s="333"/>
      <c r="AT67" s="333"/>
      <c r="AU67" s="333"/>
      <c r="AV67" s="338"/>
      <c r="AW67" s="192"/>
    </row>
    <row r="68" spans="2:49" s="40" customFormat="1" collapsed="1" x14ac:dyDescent="0.3">
      <c r="B68" s="362" t="s">
        <v>294</v>
      </c>
      <c r="C68" s="357"/>
      <c r="D68" s="42"/>
      <c r="E68" s="42"/>
      <c r="F68" s="42"/>
      <c r="G68" s="42"/>
      <c r="H68" s="74"/>
      <c r="I68" s="42"/>
      <c r="J68" s="42"/>
      <c r="K68" s="42"/>
      <c r="L68" s="42"/>
      <c r="M68" s="74"/>
      <c r="N68" s="42"/>
      <c r="O68" s="42"/>
      <c r="P68" s="42"/>
      <c r="Q68" s="42"/>
      <c r="R68" s="74"/>
      <c r="S68" s="42"/>
      <c r="T68" s="42"/>
      <c r="U68" s="42"/>
      <c r="V68" s="42"/>
      <c r="W68" s="74"/>
      <c r="X68" s="42"/>
      <c r="Y68" s="42"/>
      <c r="Z68" s="42"/>
      <c r="AA68" s="42"/>
      <c r="AB68" s="74"/>
      <c r="AC68" s="42"/>
      <c r="AD68" s="42"/>
      <c r="AE68" s="42"/>
      <c r="AF68" s="80"/>
      <c r="AG68" s="74"/>
      <c r="AH68" s="80"/>
      <c r="AI68" s="80"/>
      <c r="AJ68" s="80"/>
      <c r="AK68" s="80"/>
      <c r="AL68" s="112"/>
      <c r="AM68" s="80"/>
      <c r="AN68" s="80"/>
      <c r="AO68" s="80"/>
      <c r="AP68" s="80"/>
      <c r="AQ68" s="112"/>
      <c r="AR68" s="80"/>
      <c r="AS68" s="80"/>
      <c r="AT68" s="80"/>
      <c r="AU68" s="80"/>
      <c r="AV68" s="112"/>
    </row>
    <row r="69" spans="2:49" s="40" customFormat="1" hidden="1" outlineLevel="1" x14ac:dyDescent="0.3">
      <c r="B69" s="392" t="s">
        <v>146</v>
      </c>
      <c r="C69" s="393"/>
      <c r="D69" s="41">
        <v>4450</v>
      </c>
      <c r="E69" s="41">
        <v>3760</v>
      </c>
      <c r="F69" s="41">
        <v>4399</v>
      </c>
      <c r="G69" s="41">
        <v>4870</v>
      </c>
      <c r="H69" s="71">
        <v>17479</v>
      </c>
      <c r="I69" s="41">
        <v>5430</v>
      </c>
      <c r="J69" s="41">
        <v>4976</v>
      </c>
      <c r="K69" s="41">
        <v>5105</v>
      </c>
      <c r="L69" s="41">
        <v>6272</v>
      </c>
      <c r="M69" s="71">
        <v>21783</v>
      </c>
      <c r="N69" s="41">
        <v>6598</v>
      </c>
      <c r="O69" s="41">
        <v>5073</v>
      </c>
      <c r="P69" s="41">
        <v>4933</v>
      </c>
      <c r="Q69" s="41">
        <f>23221-P69-O69-N69</f>
        <v>6617</v>
      </c>
      <c r="R69" s="71">
        <f>SUM(N69:Q69)</f>
        <v>23221</v>
      </c>
      <c r="S69" s="41">
        <v>5519</v>
      </c>
      <c r="T69" s="41">
        <v>5447</v>
      </c>
      <c r="U69" s="41">
        <v>4893</v>
      </c>
      <c r="V69" s="41">
        <f>21483-U69-T69-S69</f>
        <v>5624</v>
      </c>
      <c r="W69" s="71">
        <f>SUM(S69:V69)</f>
        <v>21483</v>
      </c>
      <c r="X69" s="41">
        <v>6395</v>
      </c>
      <c r="Y69" s="41">
        <v>5519</v>
      </c>
      <c r="Z69" s="41">
        <v>5540</v>
      </c>
      <c r="AA69" s="41">
        <f>24079-Z69-Y69-X69</f>
        <v>6625</v>
      </c>
      <c r="AB69" s="71">
        <f>SUM(X69:AA69)</f>
        <v>24079</v>
      </c>
      <c r="AC69" s="42">
        <v>6944</v>
      </c>
      <c r="AD69" s="42">
        <v>5615</v>
      </c>
      <c r="AE69" s="42">
        <v>6030</v>
      </c>
      <c r="AF69" s="41">
        <v>6882</v>
      </c>
      <c r="AG69" s="71">
        <f>SUM(AC69:AF69)</f>
        <v>25471</v>
      </c>
      <c r="AH69" s="42">
        <v>6746</v>
      </c>
      <c r="AI69" s="42">
        <v>5107</v>
      </c>
      <c r="AJ69" s="42">
        <v>5239</v>
      </c>
      <c r="AK69" s="41">
        <v>5739</v>
      </c>
      <c r="AL69" s="71">
        <f>SUM(AH69:AK69)</f>
        <v>22831</v>
      </c>
      <c r="AM69" s="42">
        <v>7244</v>
      </c>
      <c r="AN69" s="42">
        <v>5844</v>
      </c>
      <c r="AO69" s="42">
        <f>AO70*AO73/1000</f>
        <v>4481.4814814814827</v>
      </c>
      <c r="AP69" s="41">
        <f>AP70*AP73/1000</f>
        <v>4814.8148148148139</v>
      </c>
      <c r="AQ69" s="71">
        <f>SUM(AM69:AP69)</f>
        <v>22384.296296296296</v>
      </c>
      <c r="AR69" s="42">
        <f>AR70*AR73/1000</f>
        <v>5902.7777777777756</v>
      </c>
      <c r="AS69" s="42">
        <f>AS70*AS73/1000</f>
        <v>4918.9814814814799</v>
      </c>
      <c r="AT69" s="42">
        <f>AT70*AT73/1000</f>
        <v>4427.0833333333312</v>
      </c>
      <c r="AU69" s="41">
        <f>AU70*AU73/1000</f>
        <v>5312.4999999999982</v>
      </c>
      <c r="AV69" s="71">
        <f>SUM(AR69:AU69)</f>
        <v>20561.342592592584</v>
      </c>
    </row>
    <row r="70" spans="2:49" s="128" customFormat="1" hidden="1" outlineLevel="1" x14ac:dyDescent="0.3">
      <c r="B70" s="392" t="s">
        <v>295</v>
      </c>
      <c r="C70" s="393"/>
      <c r="D70" s="41">
        <v>3362</v>
      </c>
      <c r="E70" s="41">
        <v>2943</v>
      </c>
      <c r="F70" s="41">
        <v>3472</v>
      </c>
      <c r="G70" s="41">
        <v>3885</v>
      </c>
      <c r="H70" s="71">
        <v>13662</v>
      </c>
      <c r="I70" s="41">
        <v>4134</v>
      </c>
      <c r="J70" s="41">
        <v>3760</v>
      </c>
      <c r="K70" s="41">
        <v>3947</v>
      </c>
      <c r="L70" s="41">
        <v>4894</v>
      </c>
      <c r="M70" s="71">
        <v>16735</v>
      </c>
      <c r="N70" s="41">
        <v>5198</v>
      </c>
      <c r="O70" s="41">
        <v>4017</v>
      </c>
      <c r="P70" s="41">
        <v>4020</v>
      </c>
      <c r="Q70" s="41">
        <f>18158-P70-O70-N70</f>
        <v>4923</v>
      </c>
      <c r="R70" s="71">
        <f>SUM(N70:Q70)</f>
        <v>18158</v>
      </c>
      <c r="S70" s="41">
        <v>4061</v>
      </c>
      <c r="T70" s="41">
        <v>3952</v>
      </c>
      <c r="U70" s="41">
        <v>3754</v>
      </c>
      <c r="V70" s="41">
        <f>16341-U70-T70-S70</f>
        <v>4574</v>
      </c>
      <c r="W70" s="71">
        <f>SUM(S70:V70)</f>
        <v>16341</v>
      </c>
      <c r="X70" s="41">
        <v>4837</v>
      </c>
      <c r="Y70" s="41">
        <v>4136</v>
      </c>
      <c r="Z70" s="41">
        <v>4413</v>
      </c>
      <c r="AA70" s="41">
        <f>18906-Z70-Y70-X70</f>
        <v>5520</v>
      </c>
      <c r="AB70" s="71">
        <f>SUM(X70:AA70)</f>
        <v>18906</v>
      </c>
      <c r="AC70" s="80">
        <v>5519</v>
      </c>
      <c r="AD70" s="80">
        <v>4563</v>
      </c>
      <c r="AE70" s="42">
        <v>4796</v>
      </c>
      <c r="AF70" s="42">
        <v>5709</v>
      </c>
      <c r="AG70" s="71">
        <f>SUM(AC70:AF70)</f>
        <v>20587</v>
      </c>
      <c r="AH70" s="80">
        <v>5312</v>
      </c>
      <c r="AI70" s="80">
        <v>4034</v>
      </c>
      <c r="AJ70" s="42">
        <v>4252</v>
      </c>
      <c r="AK70" s="42">
        <v>4886</v>
      </c>
      <c r="AL70" s="71">
        <f>SUM(AH70:AK70)</f>
        <v>18484</v>
      </c>
      <c r="AM70" s="80">
        <v>5374</v>
      </c>
      <c r="AN70" s="80">
        <v>4199</v>
      </c>
      <c r="AO70" s="42">
        <f>AJ70*(1+AO72)</f>
        <v>3259.2592592592596</v>
      </c>
      <c r="AP70" s="42">
        <f>AK70*(1+AP72)</f>
        <v>3703.7037037037026</v>
      </c>
      <c r="AQ70" s="71">
        <f>SUM(AM70:AP70)</f>
        <v>16535.962962962964</v>
      </c>
      <c r="AR70" s="80">
        <f t="shared" ref="AR70:AU70" si="37">AM70*(1+AR72)</f>
        <v>4629.6296296296277</v>
      </c>
      <c r="AS70" s="80">
        <f t="shared" si="37"/>
        <v>3935.1851851851834</v>
      </c>
      <c r="AT70" s="42">
        <f t="shared" si="37"/>
        <v>3541.6666666666647</v>
      </c>
      <c r="AU70" s="42">
        <f t="shared" si="37"/>
        <v>4249.9999999999982</v>
      </c>
      <c r="AV70" s="71">
        <f>SUM(AR70:AU70)</f>
        <v>16356.481481481473</v>
      </c>
    </row>
    <row r="71" spans="2:49" s="78" customFormat="1" hidden="1" outlineLevel="1" x14ac:dyDescent="0.3">
      <c r="B71" s="405" t="s">
        <v>263</v>
      </c>
      <c r="C71" s="406"/>
      <c r="D71" s="311"/>
      <c r="E71" s="311">
        <f>E70/D70-1</f>
        <v>-0.12462819750148724</v>
      </c>
      <c r="F71" s="311">
        <f>F70/E70-1</f>
        <v>0.17974855589534489</v>
      </c>
      <c r="G71" s="311">
        <f>G70/F70-1</f>
        <v>0.11895161290322576</v>
      </c>
      <c r="H71" s="312"/>
      <c r="I71" s="311">
        <f>I70/G70-1</f>
        <v>6.4092664092664009E-2</v>
      </c>
      <c r="J71" s="311">
        <f>J70/I70-1</f>
        <v>-9.0469279148524429E-2</v>
      </c>
      <c r="K71" s="311">
        <f>K70/J70-1</f>
        <v>4.9734042553191582E-2</v>
      </c>
      <c r="L71" s="311">
        <f>L70/K70-1</f>
        <v>0.23992906004560433</v>
      </c>
      <c r="M71" s="312">
        <f>M70/H70-1</f>
        <v>0.22493046406089889</v>
      </c>
      <c r="N71" s="311">
        <f>N70/L70-1</f>
        <v>6.2116877809562654E-2</v>
      </c>
      <c r="O71" s="311">
        <f>O70/N70-1</f>
        <v>-0.22720277029626779</v>
      </c>
      <c r="P71" s="311">
        <f>P70/O70-1</f>
        <v>7.468259895444529E-4</v>
      </c>
      <c r="Q71" s="311">
        <f>Q70/P70-1</f>
        <v>0.2246268656716417</v>
      </c>
      <c r="R71" s="312">
        <f>R70/M70-1</f>
        <v>8.5031371377352949E-2</v>
      </c>
      <c r="S71" s="311">
        <f>S70/Q70-1</f>
        <v>-0.17509648588259197</v>
      </c>
      <c r="T71" s="311">
        <f>T70/S70-1</f>
        <v>-2.6840679635557696E-2</v>
      </c>
      <c r="U71" s="311">
        <f>U70/T70-1</f>
        <v>-5.01012145748988E-2</v>
      </c>
      <c r="V71" s="311">
        <f>V70/U70-1</f>
        <v>0.21843367075119868</v>
      </c>
      <c r="W71" s="312">
        <f>W70/R70-1</f>
        <v>-0.10006608657341121</v>
      </c>
      <c r="X71" s="311">
        <f>X70/V70-1</f>
        <v>5.7498906864888566E-2</v>
      </c>
      <c r="Y71" s="311">
        <f>Y70/X70-1</f>
        <v>-0.14492454000413479</v>
      </c>
      <c r="Z71" s="311">
        <f>Z70/Y70-1</f>
        <v>6.6972920696324989E-2</v>
      </c>
      <c r="AA71" s="311">
        <f>AA70/Z70-1</f>
        <v>0.25084976206662124</v>
      </c>
      <c r="AB71" s="312">
        <f>AB70/W70-1</f>
        <v>0.15696713787405914</v>
      </c>
      <c r="AC71" s="311">
        <f>AC70/AA70-1</f>
        <v>-1.8115942028984477E-4</v>
      </c>
      <c r="AD71" s="311">
        <f>AD70/AC70-1</f>
        <v>-0.17321978619315093</v>
      </c>
      <c r="AE71" s="313">
        <f>AE70/AD70-1</f>
        <v>5.1062897216743286E-2</v>
      </c>
      <c r="AF71" s="313">
        <f>AF70/AE70-1</f>
        <v>0.19036697247706424</v>
      </c>
      <c r="AG71" s="314">
        <f>AG70/AB70-1</f>
        <v>8.8913572410874941E-2</v>
      </c>
      <c r="AH71" s="313">
        <f>AH70/AF70-1</f>
        <v>-6.9539323874583947E-2</v>
      </c>
      <c r="AI71" s="313">
        <f>AI70/AG70-1</f>
        <v>-0.80405110020886972</v>
      </c>
      <c r="AJ71" s="313">
        <f>AJ70/AH70-1</f>
        <v>-0.19954819277108438</v>
      </c>
      <c r="AK71" s="313">
        <f>AK70/AI70-1</f>
        <v>0.21120475954387707</v>
      </c>
      <c r="AL71" s="314">
        <f>AL70/AG70-1</f>
        <v>-0.10215184339631811</v>
      </c>
      <c r="AM71" s="313">
        <f>AM70/AK70-1</f>
        <v>9.9877200163733137E-2</v>
      </c>
      <c r="AN71" s="313">
        <f>AN70/AL70-1</f>
        <v>-0.77283055615667606</v>
      </c>
      <c r="AO71" s="313">
        <f>AO70/AN70-1</f>
        <v>-0.22380108138622068</v>
      </c>
      <c r="AP71" s="313">
        <f>AP70/AO70-1</f>
        <v>0.1363636363636358</v>
      </c>
      <c r="AQ71" s="314">
        <f>AQ70/AL70-1</f>
        <v>-0.10539044779468931</v>
      </c>
      <c r="AR71" s="313">
        <f>AR70/AP70-1</f>
        <v>0.24999999999999978</v>
      </c>
      <c r="AS71" s="313">
        <f>AS70/AR70-1</f>
        <v>-0.15000000000000002</v>
      </c>
      <c r="AT71" s="313">
        <f>AT70/AS70-1</f>
        <v>-0.10000000000000009</v>
      </c>
      <c r="AU71" s="313">
        <f>AU70/AT70-1</f>
        <v>0.20000000000000018</v>
      </c>
      <c r="AV71" s="314">
        <f>AV70/AQ70-1</f>
        <v>-1.085400843503892E-2</v>
      </c>
    </row>
    <row r="72" spans="2:49" s="78" customFormat="1" hidden="1" outlineLevel="1" x14ac:dyDescent="0.3">
      <c r="B72" s="401" t="s">
        <v>262</v>
      </c>
      <c r="C72" s="402"/>
      <c r="D72" s="311"/>
      <c r="E72" s="311"/>
      <c r="F72" s="311"/>
      <c r="G72" s="311"/>
      <c r="H72" s="312"/>
      <c r="I72" s="311">
        <f>I70/D70-1</f>
        <v>0.22962522308149902</v>
      </c>
      <c r="J72" s="311">
        <f t="shared" ref="J72:L72" si="38">J70/E70-1</f>
        <v>0.2776078831124702</v>
      </c>
      <c r="K72" s="313">
        <f t="shared" si="38"/>
        <v>0.13680875576036877</v>
      </c>
      <c r="L72" s="313">
        <f t="shared" si="38"/>
        <v>0.25971685971685976</v>
      </c>
      <c r="M72" s="312"/>
      <c r="N72" s="311">
        <f>N70/I70-1</f>
        <v>0.25737784228350269</v>
      </c>
      <c r="O72" s="311">
        <f t="shared" ref="O72:Q72" si="39">O70/J70-1</f>
        <v>6.8351063829787284E-2</v>
      </c>
      <c r="P72" s="313">
        <f t="shared" si="39"/>
        <v>1.8495059538890191E-2</v>
      </c>
      <c r="Q72" s="313">
        <f t="shared" si="39"/>
        <v>5.9256232120965535E-3</v>
      </c>
      <c r="R72" s="312"/>
      <c r="S72" s="311">
        <f>S70/N70-1</f>
        <v>-0.21873797614467105</v>
      </c>
      <c r="T72" s="311">
        <f t="shared" ref="T72:V72" si="40">T70/O70-1</f>
        <v>-1.6181229773462813E-2</v>
      </c>
      <c r="U72" s="313">
        <f t="shared" si="40"/>
        <v>-6.616915422885572E-2</v>
      </c>
      <c r="V72" s="313">
        <f t="shared" si="40"/>
        <v>-7.0891732683323161E-2</v>
      </c>
      <c r="W72" s="312"/>
      <c r="X72" s="311">
        <f>X70/S70-1</f>
        <v>0.19108593942378715</v>
      </c>
      <c r="Y72" s="311">
        <f t="shared" ref="Y72:AA72" si="41">Y70/T70-1</f>
        <v>4.6558704453441235E-2</v>
      </c>
      <c r="Z72" s="313">
        <f t="shared" si="41"/>
        <v>0.17554608417687789</v>
      </c>
      <c r="AA72" s="313">
        <f t="shared" si="41"/>
        <v>0.2068211630957586</v>
      </c>
      <c r="AB72" s="312"/>
      <c r="AC72" s="313">
        <f>AC70/X70-1</f>
        <v>0.14099648542485022</v>
      </c>
      <c r="AD72" s="313">
        <f>AD70/Y70-1</f>
        <v>0.10323984526112184</v>
      </c>
      <c r="AE72" s="313">
        <f t="shared" ref="AE72:AF72" si="42">AE70/Z70-1</f>
        <v>8.6789032404260169E-2</v>
      </c>
      <c r="AF72" s="313">
        <f t="shared" si="42"/>
        <v>3.4239130434782661E-2</v>
      </c>
      <c r="AG72" s="314"/>
      <c r="AH72" s="313">
        <f>AH70/AC70-1</f>
        <v>-3.7506794709186497E-2</v>
      </c>
      <c r="AI72" s="313">
        <f t="shared" ref="AI72:AK72" si="43">AI70/AD70-1</f>
        <v>-0.11593250054788518</v>
      </c>
      <c r="AJ72" s="313">
        <f t="shared" si="43"/>
        <v>-0.11342785654712262</v>
      </c>
      <c r="AK72" s="313">
        <f t="shared" si="43"/>
        <v>-0.1441583464704852</v>
      </c>
      <c r="AL72" s="314">
        <f>AL70/AG70-1</f>
        <v>-0.10215184339631811</v>
      </c>
      <c r="AM72" s="313">
        <f>AM70/AH70-1</f>
        <v>1.167168674698793E-2</v>
      </c>
      <c r="AN72" s="313">
        <f t="shared" ref="AN72" si="44">AN70/AI70-1</f>
        <v>4.0902330193356429E-2</v>
      </c>
      <c r="AO72" s="315">
        <v>-0.23347618549876303</v>
      </c>
      <c r="AP72" s="315">
        <v>-0.24197631934021646</v>
      </c>
      <c r="AQ72" s="314"/>
      <c r="AR72" s="315">
        <v>-0.13851328067926538</v>
      </c>
      <c r="AS72" s="315">
        <v>-6.2828010196431694E-2</v>
      </c>
      <c r="AT72" s="315">
        <v>8.6647727272726627E-2</v>
      </c>
      <c r="AU72" s="315">
        <v>0.14749999999999996</v>
      </c>
      <c r="AV72" s="314"/>
    </row>
    <row r="73" spans="2:49" s="40" customFormat="1" hidden="1" outlineLevel="1" x14ac:dyDescent="0.3">
      <c r="B73" s="407" t="s">
        <v>293</v>
      </c>
      <c r="C73" s="408"/>
      <c r="D73" s="156">
        <f t="shared" ref="D73:AJ73" si="45">D69/D70*1000</f>
        <v>1323.6168947055326</v>
      </c>
      <c r="E73" s="156">
        <f t="shared" si="45"/>
        <v>1277.6078831124703</v>
      </c>
      <c r="F73" s="156">
        <f t="shared" si="45"/>
        <v>1266.9930875576038</v>
      </c>
      <c r="G73" s="156">
        <f t="shared" si="45"/>
        <v>1253.5392535392537</v>
      </c>
      <c r="H73" s="157">
        <f t="shared" si="45"/>
        <v>1279.3880837359097</v>
      </c>
      <c r="I73" s="156">
        <f t="shared" si="45"/>
        <v>1313.4978229317853</v>
      </c>
      <c r="J73" s="156">
        <f t="shared" si="45"/>
        <v>1323.4042553191489</v>
      </c>
      <c r="K73" s="156">
        <f t="shared" si="45"/>
        <v>1293.3873828223968</v>
      </c>
      <c r="L73" s="156">
        <f t="shared" si="45"/>
        <v>1281.5692684920309</v>
      </c>
      <c r="M73" s="157">
        <f t="shared" si="45"/>
        <v>1301.6432626232445</v>
      </c>
      <c r="N73" s="156">
        <f t="shared" si="45"/>
        <v>1269.3343593689881</v>
      </c>
      <c r="O73" s="156">
        <f t="shared" si="45"/>
        <v>1262.8827483196415</v>
      </c>
      <c r="P73" s="156">
        <f t="shared" si="45"/>
        <v>1227.1144278606964</v>
      </c>
      <c r="Q73" s="156">
        <f t="shared" si="45"/>
        <v>1344.0991265488522</v>
      </c>
      <c r="R73" s="157">
        <f t="shared" si="45"/>
        <v>1278.8302676506223</v>
      </c>
      <c r="S73" s="156">
        <f t="shared" si="45"/>
        <v>1359.0248707214971</v>
      </c>
      <c r="T73" s="156">
        <f t="shared" si="45"/>
        <v>1378.2894736842106</v>
      </c>
      <c r="U73" s="156">
        <f t="shared" si="45"/>
        <v>1303.4096963239213</v>
      </c>
      <c r="V73" s="156">
        <f t="shared" si="45"/>
        <v>1229.5583734149541</v>
      </c>
      <c r="W73" s="157">
        <f t="shared" si="45"/>
        <v>1314.6686249311547</v>
      </c>
      <c r="X73" s="156">
        <f t="shared" si="45"/>
        <v>1322.1004755013439</v>
      </c>
      <c r="Y73" s="156">
        <f t="shared" si="45"/>
        <v>1334.3810444874275</v>
      </c>
      <c r="Z73" s="156">
        <f t="shared" si="45"/>
        <v>1255.3818264219351</v>
      </c>
      <c r="AA73" s="156">
        <f t="shared" si="45"/>
        <v>1200.1811594202898</v>
      </c>
      <c r="AB73" s="157">
        <f t="shared" si="45"/>
        <v>1273.6168412144293</v>
      </c>
      <c r="AC73" s="156">
        <f t="shared" si="45"/>
        <v>1258.1989490849792</v>
      </c>
      <c r="AD73" s="156">
        <f t="shared" si="45"/>
        <v>1230.5500767039227</v>
      </c>
      <c r="AE73" s="156">
        <f t="shared" si="45"/>
        <v>1257.2977481234361</v>
      </c>
      <c r="AF73" s="158">
        <f t="shared" si="45"/>
        <v>1205.4650551760378</v>
      </c>
      <c r="AG73" s="157">
        <f t="shared" si="45"/>
        <v>1237.2370913683392</v>
      </c>
      <c r="AH73" s="158">
        <f t="shared" si="45"/>
        <v>1269.9548192771083</v>
      </c>
      <c r="AI73" s="158">
        <f t="shared" si="45"/>
        <v>1265.9890927119484</v>
      </c>
      <c r="AJ73" s="158">
        <f t="shared" si="45"/>
        <v>1232.1260583254939</v>
      </c>
      <c r="AK73" s="158">
        <f>AK69/AK70*1000</f>
        <v>1174.5804338927549</v>
      </c>
      <c r="AL73" s="157">
        <f>AL69/AL70*1000</f>
        <v>1235.1763687513526</v>
      </c>
      <c r="AM73" s="158">
        <f>AM69/AM70*1000</f>
        <v>1347.9717156680313</v>
      </c>
      <c r="AN73" s="158">
        <f t="shared" ref="AN73" si="46">AN69/AN70*1000</f>
        <v>1391.7599428435342</v>
      </c>
      <c r="AO73" s="159">
        <v>1375</v>
      </c>
      <c r="AP73" s="159">
        <v>1300</v>
      </c>
      <c r="AQ73" s="157">
        <f>AQ69/AQ70*1000</f>
        <v>1353.6735868623045</v>
      </c>
      <c r="AR73" s="159">
        <v>1275</v>
      </c>
      <c r="AS73" s="159">
        <v>1250</v>
      </c>
      <c r="AT73" s="159">
        <v>1250</v>
      </c>
      <c r="AU73" s="159">
        <v>1250</v>
      </c>
      <c r="AV73" s="157">
        <f>AV69/AV70*1000</f>
        <v>1257.0761392584207</v>
      </c>
    </row>
    <row r="74" spans="2:49" s="57" customFormat="1" hidden="1" outlineLevel="1" x14ac:dyDescent="0.3">
      <c r="B74" s="411" t="s">
        <v>279</v>
      </c>
      <c r="C74" s="412"/>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1"/>
      <c r="AW74" s="192"/>
    </row>
    <row r="75" spans="2:49" hidden="1" outlineLevel="1" x14ac:dyDescent="0.3">
      <c r="B75" s="356" t="s">
        <v>161</v>
      </c>
      <c r="C75" s="361"/>
      <c r="D75" s="220" t="s">
        <v>162</v>
      </c>
      <c r="E75" s="220"/>
      <c r="F75" s="220"/>
      <c r="G75" s="220"/>
      <c r="H75" s="220"/>
      <c r="I75" s="220"/>
      <c r="J75" s="220"/>
      <c r="K75" s="187" t="s">
        <v>187</v>
      </c>
      <c r="L75" s="187"/>
      <c r="M75" s="187"/>
      <c r="N75" s="187"/>
      <c r="O75" s="187"/>
      <c r="P75" s="220"/>
      <c r="Q75" s="220"/>
      <c r="R75" s="220"/>
      <c r="S75" s="187" t="s">
        <v>228</v>
      </c>
      <c r="T75" s="187"/>
      <c r="U75" s="187"/>
      <c r="V75" s="251" t="s">
        <v>229</v>
      </c>
      <c r="W75" s="251"/>
      <c r="X75" s="251"/>
      <c r="Y75" s="251"/>
      <c r="Z75" s="251"/>
      <c r="AA75" s="252" t="s">
        <v>230</v>
      </c>
      <c r="AB75" s="252"/>
      <c r="AC75" s="252"/>
      <c r="AD75" s="217" t="s">
        <v>231</v>
      </c>
      <c r="AE75" s="217"/>
      <c r="AF75" s="217"/>
      <c r="AG75" s="217"/>
      <c r="AH75" s="217"/>
      <c r="AI75" s="217"/>
      <c r="AJ75" s="217"/>
      <c r="AK75" s="217"/>
      <c r="AL75" s="217"/>
      <c r="AM75" s="217"/>
      <c r="AN75" s="184"/>
      <c r="AO75" s="184"/>
      <c r="AP75" s="184"/>
      <c r="AQ75" s="184"/>
      <c r="AR75" s="184"/>
      <c r="AS75" s="184"/>
      <c r="AT75" s="184"/>
      <c r="AU75" s="184"/>
      <c r="AV75" s="196"/>
      <c r="AW75" s="90"/>
    </row>
    <row r="76" spans="2:49" hidden="1" outlineLevel="1" x14ac:dyDescent="0.3">
      <c r="B76" s="356" t="s">
        <v>164</v>
      </c>
      <c r="C76" s="361"/>
      <c r="D76" s="194" t="s">
        <v>183</v>
      </c>
      <c r="E76" s="194"/>
      <c r="F76" s="189" t="s">
        <v>184</v>
      </c>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250" t="s">
        <v>227</v>
      </c>
      <c r="AN76" s="184"/>
      <c r="AO76" s="184"/>
      <c r="AP76" s="184"/>
      <c r="AQ76" s="184"/>
      <c r="AR76" s="184"/>
      <c r="AS76" s="184"/>
      <c r="AT76" s="184"/>
      <c r="AU76" s="184"/>
      <c r="AV76" s="196"/>
      <c r="AW76" s="90"/>
    </row>
    <row r="77" spans="2:49" hidden="1" outlineLevel="1" x14ac:dyDescent="0.3">
      <c r="B77" s="356" t="s">
        <v>160</v>
      </c>
      <c r="C77" s="361"/>
      <c r="D77" s="218"/>
      <c r="E77" s="218"/>
      <c r="F77" s="218" t="s">
        <v>185</v>
      </c>
      <c r="G77" s="218"/>
      <c r="H77" s="218"/>
      <c r="I77" s="218"/>
      <c r="J77" s="225" t="s">
        <v>192</v>
      </c>
      <c r="K77" s="224"/>
      <c r="L77" s="224"/>
      <c r="M77" s="224"/>
      <c r="N77" s="233" t="s">
        <v>191</v>
      </c>
      <c r="O77" s="222"/>
      <c r="P77" s="244" t="s">
        <v>198</v>
      </c>
      <c r="Q77" s="244"/>
      <c r="R77" s="244"/>
      <c r="S77" s="244"/>
      <c r="T77" s="244"/>
      <c r="U77" s="244"/>
      <c r="V77" s="218" t="s">
        <v>214</v>
      </c>
      <c r="W77" s="218"/>
      <c r="X77" s="218"/>
      <c r="Y77" s="218"/>
      <c r="Z77" s="218"/>
      <c r="AA77" s="225" t="s">
        <v>215</v>
      </c>
      <c r="AB77" s="225"/>
      <c r="AC77" s="225"/>
      <c r="AD77" s="272"/>
      <c r="AE77" s="233" t="s">
        <v>218</v>
      </c>
      <c r="AF77" s="233"/>
      <c r="AG77" s="233"/>
      <c r="AH77" s="233"/>
      <c r="AI77" s="233"/>
      <c r="AJ77" s="233"/>
      <c r="AK77" s="233"/>
      <c r="AL77" s="233"/>
      <c r="AM77" s="218" t="s">
        <v>232</v>
      </c>
      <c r="AN77" s="200"/>
      <c r="AO77" s="200"/>
      <c r="AP77" s="200"/>
      <c r="AQ77" s="200"/>
      <c r="AR77" s="200"/>
      <c r="AS77" s="200"/>
      <c r="AT77" s="184"/>
      <c r="AU77" s="191"/>
      <c r="AV77" s="372"/>
      <c r="AW77" s="90"/>
    </row>
    <row r="78" spans="2:49" hidden="1" outlineLevel="1" x14ac:dyDescent="0.3">
      <c r="B78" s="356" t="s">
        <v>163</v>
      </c>
      <c r="C78" s="361"/>
      <c r="D78" s="207"/>
      <c r="E78" s="207"/>
      <c r="F78" s="206"/>
      <c r="G78" s="206" t="s">
        <v>171</v>
      </c>
      <c r="H78" s="207"/>
      <c r="I78" s="207"/>
      <c r="J78" s="207"/>
      <c r="K78" s="228" t="s">
        <v>188</v>
      </c>
      <c r="L78" s="229"/>
      <c r="M78" s="229"/>
      <c r="N78" s="229"/>
      <c r="O78" s="229"/>
      <c r="P78" s="241" t="s">
        <v>197</v>
      </c>
      <c r="Q78" s="241"/>
      <c r="R78" s="241"/>
      <c r="S78" s="241"/>
      <c r="T78" s="241"/>
      <c r="U78" s="206" t="s">
        <v>224</v>
      </c>
      <c r="V78" s="207"/>
      <c r="W78" s="207"/>
      <c r="X78" s="207"/>
      <c r="Y78" s="207"/>
      <c r="Z78" s="226" t="s">
        <v>225</v>
      </c>
      <c r="AA78" s="227"/>
      <c r="AB78" s="227"/>
      <c r="AC78" s="227"/>
      <c r="AD78" s="228" t="s">
        <v>226</v>
      </c>
      <c r="AE78" s="229"/>
      <c r="AF78" s="229"/>
      <c r="AG78" s="229"/>
      <c r="AH78" s="229"/>
      <c r="AI78" s="229"/>
      <c r="AJ78" s="229"/>
      <c r="AK78" s="229"/>
      <c r="AL78" s="229"/>
      <c r="AM78" s="229"/>
      <c r="AN78" s="184"/>
      <c r="AO78" s="184"/>
      <c r="AP78" s="184"/>
      <c r="AQ78" s="184"/>
      <c r="AR78" s="184"/>
      <c r="AS78" s="184"/>
      <c r="AT78" s="184"/>
      <c r="AU78" s="190" t="s">
        <v>248</v>
      </c>
      <c r="AV78" s="373"/>
      <c r="AW78" s="90"/>
    </row>
    <row r="79" spans="2:49" hidden="1" outlineLevel="1" x14ac:dyDescent="0.3">
      <c r="B79" s="356" t="s">
        <v>177</v>
      </c>
      <c r="C79" s="361"/>
      <c r="D79" s="230"/>
      <c r="E79" s="230"/>
      <c r="F79" s="230" t="s">
        <v>178</v>
      </c>
      <c r="G79" s="230"/>
      <c r="H79" s="230"/>
      <c r="I79" s="230"/>
      <c r="J79" s="230"/>
      <c r="K79" s="230"/>
      <c r="L79" s="231" t="s">
        <v>189</v>
      </c>
      <c r="M79" s="232"/>
      <c r="N79" s="232"/>
      <c r="O79" s="232"/>
      <c r="P79" s="232"/>
      <c r="Q79" s="232"/>
      <c r="R79" s="232"/>
      <c r="S79" s="232"/>
      <c r="T79" s="232"/>
      <c r="U79" s="232"/>
      <c r="V79" s="232"/>
      <c r="W79" s="232"/>
      <c r="X79" s="232"/>
      <c r="Y79" s="232"/>
      <c r="Z79" s="232"/>
      <c r="AA79" s="232"/>
      <c r="AB79" s="232"/>
      <c r="AC79" s="254" t="s">
        <v>234</v>
      </c>
      <c r="AD79" s="253"/>
      <c r="AE79" s="253"/>
      <c r="AF79" s="253"/>
      <c r="AG79" s="253"/>
      <c r="AH79" s="253"/>
      <c r="AI79" s="253"/>
      <c r="AJ79" s="253"/>
      <c r="AK79" s="253"/>
      <c r="AL79" s="253"/>
      <c r="AM79" s="253"/>
      <c r="AN79" s="184"/>
      <c r="AO79" s="184"/>
      <c r="AP79" s="184"/>
      <c r="AQ79" s="184"/>
      <c r="AR79" s="184"/>
      <c r="AS79" s="184"/>
      <c r="AT79" s="184"/>
      <c r="AU79" s="184"/>
      <c r="AV79" s="196"/>
      <c r="AW79" s="90"/>
    </row>
    <row r="80" spans="2:49" s="67" customFormat="1" hidden="1" outlineLevel="1" x14ac:dyDescent="0.3">
      <c r="B80" s="307" t="s">
        <v>175</v>
      </c>
      <c r="C80" s="328"/>
      <c r="D80" s="211"/>
      <c r="E80" s="211"/>
      <c r="F80" s="210" t="s">
        <v>176</v>
      </c>
      <c r="G80" s="211"/>
      <c r="H80" s="210"/>
      <c r="I80" s="210"/>
      <c r="J80" s="210"/>
      <c r="K80" s="210"/>
      <c r="L80" s="210"/>
      <c r="M80" s="210"/>
      <c r="N80" s="210"/>
      <c r="O80" s="210"/>
      <c r="P80" s="339" t="s">
        <v>199</v>
      </c>
      <c r="Q80" s="340"/>
      <c r="R80" s="340"/>
      <c r="S80" s="340"/>
      <c r="T80" s="340"/>
      <c r="U80" s="340"/>
      <c r="V80" s="340"/>
      <c r="W80" s="340"/>
      <c r="X80" s="341" t="s">
        <v>233</v>
      </c>
      <c r="Y80" s="342"/>
      <c r="Z80" s="342"/>
      <c r="AA80" s="342"/>
      <c r="AB80" s="342"/>
      <c r="AC80" s="342"/>
      <c r="AD80" s="342"/>
      <c r="AE80" s="342"/>
      <c r="AF80" s="342"/>
      <c r="AG80" s="342"/>
      <c r="AH80" s="342"/>
      <c r="AI80" s="342"/>
      <c r="AJ80" s="342"/>
      <c r="AK80" s="342"/>
      <c r="AL80" s="342"/>
      <c r="AM80" s="342"/>
      <c r="AN80" s="333"/>
      <c r="AO80" s="333"/>
      <c r="AP80" s="333"/>
      <c r="AQ80" s="333"/>
      <c r="AR80" s="333"/>
      <c r="AS80" s="333"/>
      <c r="AT80" s="333"/>
      <c r="AU80" s="333"/>
      <c r="AV80" s="338"/>
      <c r="AW80" s="192"/>
    </row>
    <row r="81" spans="2:49" s="40" customFormat="1" collapsed="1" x14ac:dyDescent="0.3">
      <c r="B81" s="362" t="s">
        <v>145</v>
      </c>
      <c r="C81" s="357"/>
      <c r="D81" s="42"/>
      <c r="E81" s="42"/>
      <c r="F81" s="42"/>
      <c r="G81" s="42"/>
      <c r="H81" s="74"/>
      <c r="I81" s="42"/>
      <c r="J81" s="42"/>
      <c r="K81" s="42"/>
      <c r="L81" s="42"/>
      <c r="M81" s="112"/>
      <c r="N81" s="80"/>
      <c r="O81" s="80"/>
      <c r="P81" s="80"/>
      <c r="Q81" s="80"/>
      <c r="R81" s="112"/>
      <c r="S81" s="80"/>
      <c r="T81" s="80"/>
      <c r="U81" s="80"/>
      <c r="V81" s="80"/>
      <c r="W81" s="112"/>
      <c r="X81" s="80"/>
      <c r="Y81" s="80"/>
      <c r="Z81" s="80"/>
      <c r="AA81" s="80"/>
      <c r="AB81" s="112"/>
      <c r="AC81" s="80"/>
      <c r="AD81" s="80"/>
      <c r="AE81" s="80"/>
      <c r="AF81" s="80"/>
      <c r="AG81" s="112"/>
      <c r="AH81" s="80"/>
      <c r="AI81" s="80"/>
      <c r="AJ81" s="80"/>
      <c r="AK81" s="80"/>
      <c r="AL81" s="112"/>
      <c r="AM81" s="80"/>
      <c r="AN81" s="80"/>
      <c r="AO81" s="80"/>
      <c r="AP81" s="80"/>
      <c r="AQ81" s="112"/>
      <c r="AR81" s="80"/>
      <c r="AS81" s="80"/>
      <c r="AT81" s="80"/>
      <c r="AU81" s="80"/>
      <c r="AV81" s="112"/>
    </row>
    <row r="82" spans="2:49" s="40" customFormat="1" hidden="1" outlineLevel="1" x14ac:dyDescent="0.3">
      <c r="B82" s="392" t="s">
        <v>138</v>
      </c>
      <c r="C82" s="393"/>
      <c r="D82" s="42">
        <v>3391</v>
      </c>
      <c r="E82" s="42">
        <v>1861</v>
      </c>
      <c r="F82" s="42">
        <v>1545</v>
      </c>
      <c r="G82" s="42">
        <f>8274-F82-E82-D82</f>
        <v>1477</v>
      </c>
      <c r="H82" s="71">
        <f>SUM(D82:G82)</f>
        <v>8274</v>
      </c>
      <c r="I82" s="42">
        <v>3425</v>
      </c>
      <c r="J82" s="42">
        <v>1600</v>
      </c>
      <c r="K82" s="42">
        <v>1325</v>
      </c>
      <c r="L82" s="42">
        <f>7453-K82-J82-I82</f>
        <v>1103</v>
      </c>
      <c r="M82" s="71">
        <f>SUM(I82:L82)</f>
        <v>7453</v>
      </c>
      <c r="N82" s="42">
        <v>2528</v>
      </c>
      <c r="O82" s="42">
        <v>1207</v>
      </c>
      <c r="P82" s="42">
        <v>1060</v>
      </c>
      <c r="Q82" s="42">
        <f>5615-P82-O82-N82</f>
        <v>820</v>
      </c>
      <c r="R82" s="71">
        <f>SUM(N82:Q82)</f>
        <v>5615</v>
      </c>
      <c r="S82" s="42">
        <v>2143</v>
      </c>
      <c r="T82" s="42">
        <v>962</v>
      </c>
      <c r="U82" s="42">
        <v>733</v>
      </c>
      <c r="V82" s="42">
        <f>4411-U82-T82-S82</f>
        <v>573</v>
      </c>
      <c r="W82" s="71">
        <f>SUM(S82:V82)</f>
        <v>4411</v>
      </c>
      <c r="X82" s="42">
        <v>973</v>
      </c>
      <c r="Y82" s="42">
        <v>461</v>
      </c>
      <c r="Z82" s="42">
        <v>442</v>
      </c>
      <c r="AA82" s="42">
        <f>2286-Z82-Y82-X82</f>
        <v>410</v>
      </c>
      <c r="AB82" s="71">
        <f>SUM(X82:AA82)</f>
        <v>2286</v>
      </c>
      <c r="AC82" s="42"/>
      <c r="AD82" s="42"/>
      <c r="AE82" s="42">
        <f>AE83*AE85/1000</f>
        <v>0</v>
      </c>
      <c r="AF82" s="42">
        <f>AF83*AF85/1000</f>
        <v>0</v>
      </c>
      <c r="AG82" s="71">
        <f>SUM(AC82:AF82)</f>
        <v>0</v>
      </c>
      <c r="AH82" s="42">
        <f>AH83*AH85/1000</f>
        <v>0</v>
      </c>
      <c r="AI82" s="42">
        <f>AI83*AI85/1000</f>
        <v>0</v>
      </c>
      <c r="AJ82" s="42">
        <f>AJ83*AJ85/1000</f>
        <v>0</v>
      </c>
      <c r="AK82" s="42">
        <f>AK83*AK85/1000</f>
        <v>0</v>
      </c>
      <c r="AL82" s="71">
        <f>SUM(AH82:AK82)</f>
        <v>0</v>
      </c>
      <c r="AM82" s="42">
        <f>AM83*AM85/1000</f>
        <v>0</v>
      </c>
      <c r="AN82" s="42">
        <f>AN83*AN85/1000</f>
        <v>0</v>
      </c>
      <c r="AO82" s="42">
        <f>AO83*AO85/1000</f>
        <v>0</v>
      </c>
      <c r="AP82" s="42">
        <f>AP83*AP85/1000</f>
        <v>0</v>
      </c>
      <c r="AQ82" s="71">
        <f>SUM(AM82:AP82)</f>
        <v>0</v>
      </c>
      <c r="AR82" s="42">
        <f>AR83*AR85/1000</f>
        <v>0</v>
      </c>
      <c r="AS82" s="42">
        <f>AS83*AS85/1000</f>
        <v>0</v>
      </c>
      <c r="AT82" s="42">
        <f>AT83*AT85/1000</f>
        <v>0</v>
      </c>
      <c r="AU82" s="42">
        <f>AU83*AU85/1000</f>
        <v>0</v>
      </c>
      <c r="AV82" s="71">
        <f>SUM(AR82:AU82)</f>
        <v>0</v>
      </c>
    </row>
    <row r="83" spans="2:49" s="40" customFormat="1" hidden="1" outlineLevel="1" x14ac:dyDescent="0.3">
      <c r="B83" s="392" t="s">
        <v>101</v>
      </c>
      <c r="C83" s="393"/>
      <c r="D83" s="42">
        <v>20970</v>
      </c>
      <c r="E83" s="42">
        <v>10885</v>
      </c>
      <c r="F83" s="42">
        <v>9406</v>
      </c>
      <c r="G83" s="42">
        <f>50312-F83-E83-D83</f>
        <v>9051</v>
      </c>
      <c r="H83" s="71">
        <f>SUM(D83:G83)</f>
        <v>50312</v>
      </c>
      <c r="I83" s="42">
        <v>19446</v>
      </c>
      <c r="J83" s="42">
        <v>9017</v>
      </c>
      <c r="K83" s="42">
        <v>7535</v>
      </c>
      <c r="L83" s="42">
        <f>42620-K83-J83-I83</f>
        <v>6622</v>
      </c>
      <c r="M83" s="71">
        <f>SUM(I83:L83)</f>
        <v>42620</v>
      </c>
      <c r="N83" s="42">
        <v>15397</v>
      </c>
      <c r="O83" s="42">
        <v>7673</v>
      </c>
      <c r="P83" s="42">
        <v>6751</v>
      </c>
      <c r="Q83" s="42">
        <f>35165-P83-O83-N83</f>
        <v>5344</v>
      </c>
      <c r="R83" s="71">
        <f>SUM(N83:Q83)</f>
        <v>35165</v>
      </c>
      <c r="S83" s="42">
        <v>12679</v>
      </c>
      <c r="T83" s="42">
        <v>5633</v>
      </c>
      <c r="U83" s="42">
        <v>4569</v>
      </c>
      <c r="V83" s="42">
        <f>26379-U83-T83-S83</f>
        <v>3498</v>
      </c>
      <c r="W83" s="71">
        <f>SUM(S83:V83)</f>
        <v>26379</v>
      </c>
      <c r="X83" s="42">
        <v>6049</v>
      </c>
      <c r="Y83" s="42">
        <v>2761</v>
      </c>
      <c r="Z83" s="42">
        <v>2926</v>
      </c>
      <c r="AA83" s="42">
        <f>14377-Z83-Y83-X83</f>
        <v>2641</v>
      </c>
      <c r="AB83" s="71">
        <f>SUM(X83:AA83)</f>
        <v>14377</v>
      </c>
      <c r="AC83" s="80"/>
      <c r="AD83" s="80">
        <f>AC83*(1+AD84)</f>
        <v>0</v>
      </c>
      <c r="AE83" s="42">
        <f>AD83*(1+AE84)</f>
        <v>0</v>
      </c>
      <c r="AF83" s="42">
        <f>AE83*(1+AF84)</f>
        <v>0</v>
      </c>
      <c r="AG83" s="71">
        <f>SUM(AC83:AF83)</f>
        <v>0</v>
      </c>
      <c r="AH83" s="80">
        <f>AF83*(1+AH84)</f>
        <v>0</v>
      </c>
      <c r="AI83" s="80">
        <f>AH83*(1+AI84)</f>
        <v>0</v>
      </c>
      <c r="AJ83" s="42">
        <f>AI83*(1+AJ84)</f>
        <v>0</v>
      </c>
      <c r="AK83" s="42">
        <f>AJ83*(1+AK84)</f>
        <v>0</v>
      </c>
      <c r="AL83" s="71">
        <f>SUM(AH83:AK83)</f>
        <v>0</v>
      </c>
      <c r="AM83" s="80">
        <f>AK83*(1+AM84)</f>
        <v>0</v>
      </c>
      <c r="AN83" s="80">
        <f>AM83*(1+AN84)</f>
        <v>0</v>
      </c>
      <c r="AO83" s="42">
        <f>AN83*(1+AO84)</f>
        <v>0</v>
      </c>
      <c r="AP83" s="42">
        <f>AO83*(1+AP84)</f>
        <v>0</v>
      </c>
      <c r="AQ83" s="71">
        <f>SUM(AM83:AP83)</f>
        <v>0</v>
      </c>
      <c r="AR83" s="80">
        <f>AP83*(1+AR84)</f>
        <v>0</v>
      </c>
      <c r="AS83" s="80">
        <f>AR83*(1+AS84)</f>
        <v>0</v>
      </c>
      <c r="AT83" s="42">
        <f>AS83*(1+AT84)</f>
        <v>0</v>
      </c>
      <c r="AU83" s="42">
        <f>AT83*(1+AU84)</f>
        <v>0</v>
      </c>
      <c r="AV83" s="71">
        <f>SUM(AR83:AU83)</f>
        <v>0</v>
      </c>
    </row>
    <row r="84" spans="2:49" s="78" customFormat="1" hidden="1" outlineLevel="1" x14ac:dyDescent="0.3">
      <c r="B84" s="405" t="s">
        <v>264</v>
      </c>
      <c r="C84" s="406"/>
      <c r="D84" s="75"/>
      <c r="E84" s="311">
        <f>E83/D83-1</f>
        <v>-0.48092513113972346</v>
      </c>
      <c r="F84" s="311">
        <f>F83/E83-1</f>
        <v>-0.13587505741846573</v>
      </c>
      <c r="G84" s="311">
        <f>G83/F83-1</f>
        <v>-3.7741866893472253E-2</v>
      </c>
      <c r="H84" s="312"/>
      <c r="I84" s="311">
        <f>I83/G83-1</f>
        <v>1.148491879350348</v>
      </c>
      <c r="J84" s="311">
        <f>J83/I83-1</f>
        <v>-0.53630566697521342</v>
      </c>
      <c r="K84" s="311">
        <f>K83/J83-1</f>
        <v>-0.16435621603637574</v>
      </c>
      <c r="L84" s="311">
        <f>L83/K83-1</f>
        <v>-0.12116788321167882</v>
      </c>
      <c r="M84" s="312">
        <f>M83/H83-1</f>
        <v>-0.15288599141357928</v>
      </c>
      <c r="N84" s="311">
        <f>N83/L83-1</f>
        <v>1.3251283600120809</v>
      </c>
      <c r="O84" s="311">
        <f>O83/N83-1</f>
        <v>-0.50165616678573755</v>
      </c>
      <c r="P84" s="311">
        <f>P83/O83-1</f>
        <v>-0.12016160563013167</v>
      </c>
      <c r="Q84" s="311">
        <f>Q83/P83-1</f>
        <v>-0.20841356836024294</v>
      </c>
      <c r="R84" s="312">
        <f>R83/M83-1</f>
        <v>-0.17491787893007982</v>
      </c>
      <c r="S84" s="311">
        <f>S83/Q83-1</f>
        <v>1.372567365269461</v>
      </c>
      <c r="T84" s="311">
        <f>T83/S83-1</f>
        <v>-0.55572206009937686</v>
      </c>
      <c r="U84" s="311">
        <f>U83/T83-1</f>
        <v>-0.18888691638558497</v>
      </c>
      <c r="V84" s="311">
        <f>V83/U83-1</f>
        <v>-0.2344057780695995</v>
      </c>
      <c r="W84" s="312">
        <f>W83/R83-1</f>
        <v>-0.24985070382482577</v>
      </c>
      <c r="X84" s="311">
        <f>X83/V83-1</f>
        <v>0.72927387078330486</v>
      </c>
      <c r="Y84" s="311">
        <f>Y83/X83-1</f>
        <v>-0.54356091916019178</v>
      </c>
      <c r="Z84" s="311">
        <f>Z83/Y83-1</f>
        <v>5.9760956175298752E-2</v>
      </c>
      <c r="AA84" s="311">
        <f>AA83/Z83-1</f>
        <v>-9.740259740259738E-2</v>
      </c>
      <c r="AB84" s="312">
        <f>AB83/W83-1</f>
        <v>-0.45498313052048978</v>
      </c>
      <c r="AC84" s="75"/>
      <c r="AD84" s="75"/>
      <c r="AE84" s="75"/>
      <c r="AF84" s="113"/>
      <c r="AG84" s="77"/>
      <c r="AH84" s="113"/>
      <c r="AI84" s="113"/>
      <c r="AJ84" s="113"/>
      <c r="AK84" s="113"/>
      <c r="AL84" s="77"/>
      <c r="AM84" s="113"/>
      <c r="AN84" s="113"/>
      <c r="AO84" s="113"/>
      <c r="AP84" s="113"/>
      <c r="AQ84" s="77"/>
      <c r="AR84" s="113"/>
      <c r="AS84" s="113"/>
      <c r="AT84" s="113"/>
      <c r="AU84" s="113"/>
      <c r="AV84" s="77"/>
    </row>
    <row r="85" spans="2:49" s="40" customFormat="1" hidden="1" outlineLevel="1" x14ac:dyDescent="0.3">
      <c r="B85" s="407" t="s">
        <v>147</v>
      </c>
      <c r="C85" s="408"/>
      <c r="D85" s="156">
        <f t="shared" ref="D85:AB85" si="47">D82/D83*1000</f>
        <v>161.70720076299474</v>
      </c>
      <c r="E85" s="156">
        <f t="shared" si="47"/>
        <v>170.96922370234265</v>
      </c>
      <c r="F85" s="156">
        <f t="shared" si="47"/>
        <v>164.25685732511164</v>
      </c>
      <c r="G85" s="156">
        <f t="shared" si="47"/>
        <v>163.18638824439287</v>
      </c>
      <c r="H85" s="157">
        <f t="shared" si="47"/>
        <v>164.45380823660361</v>
      </c>
      <c r="I85" s="156">
        <f t="shared" si="47"/>
        <v>176.12876684150982</v>
      </c>
      <c r="J85" s="156">
        <f t="shared" si="47"/>
        <v>177.44260840634357</v>
      </c>
      <c r="K85" s="156">
        <f t="shared" si="47"/>
        <v>175.84605175846053</v>
      </c>
      <c r="L85" s="156">
        <f t="shared" si="47"/>
        <v>166.56599214738748</v>
      </c>
      <c r="M85" s="157">
        <f t="shared" si="47"/>
        <v>174.87095260441106</v>
      </c>
      <c r="N85" s="156">
        <f t="shared" si="47"/>
        <v>164.18782879781776</v>
      </c>
      <c r="O85" s="156">
        <f t="shared" si="47"/>
        <v>157.30483513619183</v>
      </c>
      <c r="P85" s="156">
        <f t="shared" si="47"/>
        <v>157.01377573692787</v>
      </c>
      <c r="Q85" s="156">
        <f t="shared" si="47"/>
        <v>153.44311377245509</v>
      </c>
      <c r="R85" s="157">
        <f t="shared" si="47"/>
        <v>159.67581401962178</v>
      </c>
      <c r="S85" s="156">
        <f t="shared" si="47"/>
        <v>169.01963877277387</v>
      </c>
      <c r="T85" s="156">
        <f t="shared" si="47"/>
        <v>170.77933605538789</v>
      </c>
      <c r="U85" s="156">
        <f t="shared" si="47"/>
        <v>160.42897789450646</v>
      </c>
      <c r="V85" s="156">
        <f t="shared" si="47"/>
        <v>163.80789022298455</v>
      </c>
      <c r="W85" s="157">
        <f t="shared" si="47"/>
        <v>167.21634633610068</v>
      </c>
      <c r="X85" s="156">
        <f t="shared" si="47"/>
        <v>160.85303355926601</v>
      </c>
      <c r="Y85" s="156">
        <f t="shared" si="47"/>
        <v>166.96848967765303</v>
      </c>
      <c r="Z85" s="156">
        <f t="shared" si="47"/>
        <v>151.05946684894053</v>
      </c>
      <c r="AA85" s="156">
        <f t="shared" si="47"/>
        <v>155.2442256720939</v>
      </c>
      <c r="AB85" s="157">
        <f t="shared" si="47"/>
        <v>159.00396466578562</v>
      </c>
      <c r="AC85" s="156"/>
      <c r="AD85" s="158"/>
      <c r="AE85" s="158"/>
      <c r="AF85" s="158"/>
      <c r="AG85" s="160"/>
      <c r="AH85" s="158"/>
      <c r="AI85" s="158"/>
      <c r="AJ85" s="158"/>
      <c r="AK85" s="158"/>
      <c r="AL85" s="160"/>
      <c r="AM85" s="158"/>
      <c r="AN85" s="158"/>
      <c r="AO85" s="158"/>
      <c r="AP85" s="158"/>
      <c r="AQ85" s="160"/>
      <c r="AR85" s="158"/>
      <c r="AS85" s="158"/>
      <c r="AT85" s="158"/>
      <c r="AU85" s="158"/>
      <c r="AV85" s="160"/>
    </row>
    <row r="86" spans="2:49" hidden="1" outlineLevel="1" x14ac:dyDescent="0.3">
      <c r="B86" s="409" t="s">
        <v>280</v>
      </c>
      <c r="C86" s="410"/>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262"/>
      <c r="AI86" s="199"/>
      <c r="AJ86" s="199"/>
      <c r="AK86" s="199"/>
      <c r="AL86" s="199"/>
      <c r="AM86" s="262"/>
      <c r="AN86" s="199"/>
      <c r="AO86" s="199"/>
      <c r="AP86" s="199"/>
      <c r="AQ86" s="199"/>
      <c r="AR86" s="199"/>
      <c r="AS86" s="199"/>
      <c r="AT86" s="199"/>
      <c r="AU86" s="199"/>
      <c r="AV86" s="264"/>
      <c r="AW86" s="90"/>
    </row>
    <row r="87" spans="2:49" hidden="1" outlineLevel="1" x14ac:dyDescent="0.3">
      <c r="B87" s="356" t="s">
        <v>166</v>
      </c>
      <c r="C87" s="361"/>
      <c r="D87" s="220" t="s">
        <v>292</v>
      </c>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02"/>
      <c r="AC87" s="184"/>
      <c r="AD87" s="184"/>
      <c r="AE87" s="184"/>
      <c r="AF87" s="184"/>
      <c r="AG87" s="184"/>
      <c r="AH87" s="184"/>
      <c r="AI87" s="184"/>
      <c r="AJ87" s="184"/>
      <c r="AK87" s="184"/>
      <c r="AL87" s="184"/>
      <c r="AM87" s="184"/>
      <c r="AN87" s="184"/>
      <c r="AO87" s="184"/>
      <c r="AP87" s="184"/>
      <c r="AQ87" s="184"/>
      <c r="AR87" s="184"/>
      <c r="AS87" s="184"/>
      <c r="AT87" s="184"/>
      <c r="AU87" s="184"/>
      <c r="AV87" s="196"/>
      <c r="AW87" s="90"/>
    </row>
    <row r="88" spans="2:49" hidden="1" outlineLevel="1" x14ac:dyDescent="0.3">
      <c r="B88" s="356" t="s">
        <v>167</v>
      </c>
      <c r="C88" s="361"/>
      <c r="D88" s="194"/>
      <c r="E88" s="195"/>
      <c r="F88" s="195"/>
      <c r="G88" s="195"/>
      <c r="H88" s="189" t="s">
        <v>173</v>
      </c>
      <c r="I88" s="203"/>
      <c r="J88" s="203"/>
      <c r="K88" s="203"/>
      <c r="L88" s="203"/>
      <c r="M88" s="203"/>
      <c r="N88" s="189"/>
      <c r="O88" s="203"/>
      <c r="P88" s="203"/>
      <c r="Q88" s="203"/>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96"/>
      <c r="AW88" s="90"/>
    </row>
    <row r="89" spans="2:49" hidden="1" outlineLevel="1" x14ac:dyDescent="0.3">
      <c r="B89" s="356" t="s">
        <v>165</v>
      </c>
      <c r="C89" s="361"/>
      <c r="D89" s="208" t="s">
        <v>169</v>
      </c>
      <c r="E89" s="209"/>
      <c r="F89" s="209"/>
      <c r="G89" s="209"/>
      <c r="H89" s="204" t="s">
        <v>172</v>
      </c>
      <c r="I89" s="205"/>
      <c r="J89" s="205"/>
      <c r="K89" s="205"/>
      <c r="L89" s="204"/>
      <c r="M89" s="205"/>
      <c r="N89" s="205"/>
      <c r="O89" s="205"/>
      <c r="P89" s="205"/>
      <c r="Q89" s="190" t="s">
        <v>203</v>
      </c>
      <c r="R89" s="185"/>
      <c r="S89" s="185"/>
      <c r="T89" s="185"/>
      <c r="U89" s="185"/>
      <c r="V89" s="185"/>
      <c r="W89" s="185"/>
      <c r="X89" s="185"/>
      <c r="Y89" s="185"/>
      <c r="Z89" s="185"/>
      <c r="AA89" s="185"/>
      <c r="AB89" s="185"/>
      <c r="AC89" s="185"/>
      <c r="AD89" s="185"/>
      <c r="AE89" s="223" t="s">
        <v>219</v>
      </c>
      <c r="AF89" s="223"/>
      <c r="AG89" s="223"/>
      <c r="AH89" s="223"/>
      <c r="AI89" s="223"/>
      <c r="AJ89" s="223"/>
      <c r="AK89" s="223"/>
      <c r="AL89" s="223"/>
      <c r="AM89" s="223"/>
      <c r="AN89" s="184"/>
      <c r="AO89" s="184"/>
      <c r="AP89" s="184"/>
      <c r="AQ89" s="184"/>
      <c r="AR89" s="184"/>
      <c r="AS89" s="184"/>
      <c r="AT89" s="184"/>
      <c r="AU89" s="184"/>
      <c r="AV89" s="196"/>
      <c r="AW89" s="90"/>
    </row>
    <row r="90" spans="2:49" hidden="1" outlineLevel="1" x14ac:dyDescent="0.3">
      <c r="B90" s="364" t="s">
        <v>168</v>
      </c>
      <c r="C90" s="363"/>
      <c r="D90" s="210" t="s">
        <v>170</v>
      </c>
      <c r="E90" s="211"/>
      <c r="F90" s="211"/>
      <c r="G90" s="211"/>
      <c r="H90" s="212" t="s">
        <v>174</v>
      </c>
      <c r="I90" s="259"/>
      <c r="J90" s="259"/>
      <c r="K90" s="259"/>
      <c r="L90" s="212"/>
      <c r="M90" s="259"/>
      <c r="N90" s="259"/>
      <c r="O90" s="259"/>
      <c r="P90" s="259"/>
      <c r="Q90" s="265" t="s">
        <v>202</v>
      </c>
      <c r="R90" s="266"/>
      <c r="S90" s="266"/>
      <c r="T90" s="266"/>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8"/>
      <c r="AW90" s="90"/>
    </row>
    <row r="91" spans="2:49" s="40" customFormat="1" collapsed="1" x14ac:dyDescent="0.3">
      <c r="B91" s="409" t="s">
        <v>149</v>
      </c>
      <c r="C91" s="410"/>
      <c r="D91" s="161"/>
      <c r="E91" s="161"/>
      <c r="F91" s="161"/>
      <c r="G91" s="161"/>
      <c r="H91" s="162"/>
      <c r="I91" s="161"/>
      <c r="J91" s="161"/>
      <c r="K91" s="161"/>
      <c r="L91" s="161"/>
      <c r="M91" s="162"/>
      <c r="N91" s="161"/>
      <c r="O91" s="161"/>
      <c r="P91" s="161"/>
      <c r="Q91" s="161"/>
      <c r="R91" s="162"/>
      <c r="S91" s="161"/>
      <c r="T91" s="161"/>
      <c r="U91" s="161"/>
      <c r="V91" s="161"/>
      <c r="W91" s="162"/>
      <c r="X91" s="161"/>
      <c r="Y91" s="161"/>
      <c r="Z91" s="161"/>
      <c r="AA91" s="161"/>
      <c r="AB91" s="162"/>
      <c r="AC91" s="161"/>
      <c r="AD91" s="163"/>
      <c r="AE91" s="163"/>
      <c r="AF91" s="163"/>
      <c r="AG91" s="164"/>
      <c r="AH91" s="163"/>
      <c r="AI91" s="163"/>
      <c r="AJ91" s="163"/>
      <c r="AK91" s="163"/>
      <c r="AL91" s="164"/>
      <c r="AM91" s="163"/>
      <c r="AN91" s="163"/>
      <c r="AO91" s="163"/>
      <c r="AP91" s="163"/>
      <c r="AQ91" s="164"/>
      <c r="AR91" s="163"/>
      <c r="AS91" s="163"/>
      <c r="AT91" s="163"/>
      <c r="AU91" s="163"/>
      <c r="AV91" s="164"/>
    </row>
    <row r="92" spans="2:49" s="40" customFormat="1" hidden="1" outlineLevel="1" x14ac:dyDescent="0.3">
      <c r="B92" s="356" t="s">
        <v>139</v>
      </c>
      <c r="C92" s="357"/>
      <c r="D92" s="42"/>
      <c r="E92" s="42"/>
      <c r="F92" s="42"/>
      <c r="G92" s="42"/>
      <c r="H92" s="71"/>
      <c r="I92" s="42"/>
      <c r="J92" s="42"/>
      <c r="K92" s="42"/>
      <c r="L92" s="42"/>
      <c r="M92" s="71"/>
      <c r="N92" s="42"/>
      <c r="O92" s="42"/>
      <c r="P92" s="42"/>
      <c r="Q92" s="42"/>
      <c r="R92" s="71"/>
      <c r="S92" s="42"/>
      <c r="T92" s="42"/>
      <c r="U92" s="42"/>
      <c r="V92" s="42"/>
      <c r="W92" s="71"/>
      <c r="X92" s="42"/>
      <c r="Y92" s="42"/>
      <c r="Z92" s="42"/>
      <c r="AA92" s="42"/>
      <c r="AB92" s="71"/>
      <c r="AC92" s="42">
        <f>AC93*AC96/1000</f>
        <v>0</v>
      </c>
      <c r="AD92" s="42">
        <f>AD93*AD96/1000</f>
        <v>0</v>
      </c>
      <c r="AE92" s="134">
        <f>AE93*AE96/1000</f>
        <v>867.55000000000018</v>
      </c>
      <c r="AF92" s="134">
        <f>AF93*AF96/1000</f>
        <v>1084.4375000000002</v>
      </c>
      <c r="AG92" s="71">
        <f>SUM(AC92:AF92)</f>
        <v>1951.9875000000004</v>
      </c>
      <c r="AH92" s="134">
        <f>AH93*AH96/1000</f>
        <v>1626.6562500000005</v>
      </c>
      <c r="AI92" s="134">
        <f>AI93*AI96/1000</f>
        <v>690.61093749999941</v>
      </c>
      <c r="AJ92" s="134">
        <f>AJ93*AJ96/1000</f>
        <v>870.44984374999956</v>
      </c>
      <c r="AK92" s="134">
        <f>AK93*AK96/1000</f>
        <v>889.59482812499994</v>
      </c>
      <c r="AL92" s="71">
        <f>SUM(AH92:AK92)</f>
        <v>4077.3118593749991</v>
      </c>
      <c r="AM92" s="134">
        <f>AM93*AM96/1000</f>
        <v>1650.5517249999989</v>
      </c>
      <c r="AN92" s="134">
        <f>AN93*AN96/1000</f>
        <v>1092.9137937499991</v>
      </c>
      <c r="AO92" s="42">
        <f>AO93*AO96/1000</f>
        <v>983.62241437499927</v>
      </c>
      <c r="AP92" s="42">
        <f>AP93*AP96/1000</f>
        <v>1229.5280179687488</v>
      </c>
      <c r="AQ92" s="71">
        <f>SUM(AM92:AP92)</f>
        <v>4956.6159510937459</v>
      </c>
      <c r="AR92" s="42">
        <f>AR93*AR96/1000</f>
        <v>1536.9100224609363</v>
      </c>
      <c r="AS92" s="42">
        <f>AS93*AS96/1000</f>
        <v>1152.6825168457019</v>
      </c>
      <c r="AT92" s="42">
        <f>AT93*AT96/1000</f>
        <v>1037.4142651611321</v>
      </c>
      <c r="AU92" s="42">
        <f>AU93*AU96/1000</f>
        <v>1141.1556916772454</v>
      </c>
      <c r="AV92" s="71">
        <f>SUM(AR92:AU92)</f>
        <v>4868.1624961450152</v>
      </c>
    </row>
    <row r="93" spans="2:49" s="40" customFormat="1" hidden="1" outlineLevel="1" x14ac:dyDescent="0.3">
      <c r="B93" s="356" t="s">
        <v>105</v>
      </c>
      <c r="C93" s="357"/>
      <c r="D93" s="42"/>
      <c r="E93" s="42"/>
      <c r="F93" s="42"/>
      <c r="G93" s="42"/>
      <c r="H93" s="71"/>
      <c r="I93" s="42"/>
      <c r="J93" s="42"/>
      <c r="K93" s="42"/>
      <c r="L93" s="42"/>
      <c r="M93" s="71"/>
      <c r="N93" s="42"/>
      <c r="O93" s="42"/>
      <c r="P93" s="42"/>
      <c r="Q93" s="42"/>
      <c r="R93" s="71"/>
      <c r="S93" s="42"/>
      <c r="T93" s="42"/>
      <c r="U93" s="42"/>
      <c r="V93" s="42"/>
      <c r="W93" s="71"/>
      <c r="X93" s="42"/>
      <c r="Y93" s="42"/>
      <c r="Z93" s="42"/>
      <c r="AA93" s="42"/>
      <c r="AB93" s="71"/>
      <c r="AC93" s="80"/>
      <c r="AD93" s="80">
        <v>0</v>
      </c>
      <c r="AE93" s="134">
        <v>2168.8750000000005</v>
      </c>
      <c r="AF93" s="134">
        <v>2711.0937500000005</v>
      </c>
      <c r="AG93" s="71">
        <f>SUM(AC93:AF93)</f>
        <v>4879.9687500000009</v>
      </c>
      <c r="AH93" s="134">
        <v>4066.6406250000009</v>
      </c>
      <c r="AI93" s="134">
        <v>1726.5273437499986</v>
      </c>
      <c r="AJ93" s="134">
        <f>AE93*(1+AJ95)</f>
        <v>2176.1246093749987</v>
      </c>
      <c r="AK93" s="134">
        <f>AF93*(1+AK95)</f>
        <v>2223.9870703124998</v>
      </c>
      <c r="AL93" s="71">
        <f>SUM(AH93:AK93)</f>
        <v>10193.279648437499</v>
      </c>
      <c r="AM93" s="134">
        <f>AH93*(1+AM95)</f>
        <v>4126.3793124999975</v>
      </c>
      <c r="AN93" s="134">
        <f>AI93*(1+AN95)</f>
        <v>2732.2844843749976</v>
      </c>
      <c r="AO93" s="42">
        <f>AJ93*(1+AO95)</f>
        <v>2459.0560359374981</v>
      </c>
      <c r="AP93" s="42">
        <f>AK93*(1+AP95)</f>
        <v>3073.8200449218725</v>
      </c>
      <c r="AQ93" s="71">
        <f>SUM(AM93:AP93)</f>
        <v>12391.539877734365</v>
      </c>
      <c r="AR93" s="42">
        <f>AM93*(1+AR95)</f>
        <v>3842.2750561523408</v>
      </c>
      <c r="AS93" s="42">
        <f>AN93*(1+AS95)</f>
        <v>2881.7062921142551</v>
      </c>
      <c r="AT93" s="42">
        <f>AO93*(1+AT95)</f>
        <v>2593.5356629028302</v>
      </c>
      <c r="AU93" s="42">
        <f>AP93*(1+AU95)</f>
        <v>2852.8892291931134</v>
      </c>
      <c r="AV93" s="71">
        <f>SUM(AR93:AU93)</f>
        <v>12170.406240362539</v>
      </c>
    </row>
    <row r="94" spans="2:49" s="322" customFormat="1" hidden="1" outlineLevel="1" x14ac:dyDescent="0.3">
      <c r="B94" s="366" t="s">
        <v>265</v>
      </c>
      <c r="C94" s="367"/>
      <c r="D94" s="113"/>
      <c r="E94" s="113"/>
      <c r="F94" s="113"/>
      <c r="G94" s="113"/>
      <c r="H94" s="77"/>
      <c r="I94" s="113"/>
      <c r="J94" s="113"/>
      <c r="K94" s="113"/>
      <c r="L94" s="113"/>
      <c r="M94" s="77"/>
      <c r="N94" s="113"/>
      <c r="O94" s="113"/>
      <c r="P94" s="113"/>
      <c r="Q94" s="113"/>
      <c r="R94" s="77"/>
      <c r="S94" s="113"/>
      <c r="T94" s="113"/>
      <c r="U94" s="113"/>
      <c r="V94" s="113"/>
      <c r="W94" s="77"/>
      <c r="X94" s="113"/>
      <c r="Y94" s="113"/>
      <c r="Z94" s="113"/>
      <c r="AA94" s="113"/>
      <c r="AB94" s="77"/>
      <c r="AC94" s="113"/>
      <c r="AD94" s="113"/>
      <c r="AE94" s="313"/>
      <c r="AF94" s="313">
        <f>AF93/AE93-1</f>
        <v>0.25</v>
      </c>
      <c r="AG94" s="314"/>
      <c r="AH94" s="313">
        <f>AH93/AF93-1</f>
        <v>0.5</v>
      </c>
      <c r="AI94" s="313">
        <f>AI93/AH93-1</f>
        <v>-0.57544137705799903</v>
      </c>
      <c r="AJ94" s="313">
        <f>AJ93/AI93-1</f>
        <v>0.26040552861936139</v>
      </c>
      <c r="AK94" s="313">
        <f>AK93/AJ93-1</f>
        <v>2.1994356725393294E-2</v>
      </c>
      <c r="AL94" s="314"/>
      <c r="AM94" s="313">
        <f>AM93/AK93-1</f>
        <v>0.85539716825790091</v>
      </c>
      <c r="AN94" s="313">
        <f>AN93/AM93-1</f>
        <v>-0.33784941289858716</v>
      </c>
      <c r="AO94" s="313">
        <f>AO93/AN93-1</f>
        <v>-9.9999999999999867E-2</v>
      </c>
      <c r="AP94" s="313">
        <f>AP93/AO93-1</f>
        <v>0.25</v>
      </c>
      <c r="AQ94" s="314"/>
      <c r="AR94" s="313">
        <f>AR93/AP93-1</f>
        <v>0.25</v>
      </c>
      <c r="AS94" s="313">
        <f>AS93/AR93-1</f>
        <v>-0.25000000000000011</v>
      </c>
      <c r="AT94" s="313">
        <f>AT93/AS93-1</f>
        <v>-9.9999999999999756E-2</v>
      </c>
      <c r="AU94" s="313">
        <f>AU93/AT93-1</f>
        <v>0.10000000000000009</v>
      </c>
      <c r="AV94" s="314"/>
    </row>
    <row r="95" spans="2:49" s="78" customFormat="1" hidden="1" outlineLevel="1" x14ac:dyDescent="0.3">
      <c r="B95" s="401" t="s">
        <v>266</v>
      </c>
      <c r="C95" s="402"/>
      <c r="D95" s="75"/>
      <c r="E95" s="75"/>
      <c r="F95" s="75"/>
      <c r="G95" s="75"/>
      <c r="H95" s="76"/>
      <c r="I95" s="75"/>
      <c r="J95" s="75"/>
      <c r="K95" s="113"/>
      <c r="L95" s="113"/>
      <c r="M95" s="76"/>
      <c r="N95" s="75"/>
      <c r="O95" s="75"/>
      <c r="P95" s="113"/>
      <c r="Q95" s="113"/>
      <c r="R95" s="76"/>
      <c r="S95" s="75"/>
      <c r="T95" s="75"/>
      <c r="U95" s="113"/>
      <c r="V95" s="113"/>
      <c r="W95" s="76"/>
      <c r="X95" s="75"/>
      <c r="Y95" s="75"/>
      <c r="Z95" s="113"/>
      <c r="AA95" s="113"/>
      <c r="AB95" s="76"/>
      <c r="AC95" s="113"/>
      <c r="AD95" s="113"/>
      <c r="AE95" s="313"/>
      <c r="AF95" s="313"/>
      <c r="AG95" s="314"/>
      <c r="AH95" s="313"/>
      <c r="AI95" s="313"/>
      <c r="AJ95" s="315">
        <v>3.3425667108515356E-3</v>
      </c>
      <c r="AK95" s="315">
        <v>-0.17967164716731043</v>
      </c>
      <c r="AL95" s="314">
        <f>AL93/AG93-1</f>
        <v>1.088800189230207</v>
      </c>
      <c r="AM95" s="315">
        <v>1.4689935258293652E-2</v>
      </c>
      <c r="AN95" s="315">
        <v>0.58253183435861811</v>
      </c>
      <c r="AO95" s="315">
        <v>0.130016188109632</v>
      </c>
      <c r="AP95" s="315">
        <v>0.38212136480180159</v>
      </c>
      <c r="AQ95" s="314"/>
      <c r="AR95" s="315">
        <v>-6.8850736888638076E-2</v>
      </c>
      <c r="AS95" s="315">
        <v>5.46875E-2</v>
      </c>
      <c r="AT95" s="315">
        <v>5.46875E-2</v>
      </c>
      <c r="AU95" s="315">
        <v>-7.1874999999999911E-2</v>
      </c>
      <c r="AV95" s="314"/>
    </row>
    <row r="96" spans="2:49" s="40" customFormat="1" hidden="1" outlineLevel="1" x14ac:dyDescent="0.3">
      <c r="B96" s="356" t="s">
        <v>148</v>
      </c>
      <c r="C96" s="357"/>
      <c r="D96" s="42"/>
      <c r="E96" s="42"/>
      <c r="F96" s="42"/>
      <c r="G96" s="42"/>
      <c r="H96" s="74"/>
      <c r="I96" s="42"/>
      <c r="J96" s="42"/>
      <c r="K96" s="42"/>
      <c r="L96" s="42"/>
      <c r="M96" s="74"/>
      <c r="N96" s="42"/>
      <c r="O96" s="42"/>
      <c r="P96" s="42"/>
      <c r="Q96" s="42"/>
      <c r="R96" s="74"/>
      <c r="S96" s="42"/>
      <c r="T96" s="42"/>
      <c r="U96" s="42"/>
      <c r="V96" s="42"/>
      <c r="W96" s="74"/>
      <c r="X96" s="42"/>
      <c r="Y96" s="42"/>
      <c r="Z96" s="42"/>
      <c r="AA96" s="42"/>
      <c r="AB96" s="74"/>
      <c r="AC96" s="80"/>
      <c r="AD96" s="80"/>
      <c r="AE96" s="134">
        <v>400</v>
      </c>
      <c r="AF96" s="134">
        <v>400</v>
      </c>
      <c r="AG96" s="74"/>
      <c r="AH96" s="134">
        <v>400</v>
      </c>
      <c r="AI96" s="134">
        <v>400</v>
      </c>
      <c r="AJ96" s="134">
        <v>400</v>
      </c>
      <c r="AK96" s="134">
        <v>400</v>
      </c>
      <c r="AL96" s="74"/>
      <c r="AM96" s="134">
        <v>400</v>
      </c>
      <c r="AN96" s="134">
        <v>400</v>
      </c>
      <c r="AO96" s="134">
        <v>400</v>
      </c>
      <c r="AP96" s="134">
        <v>400</v>
      </c>
      <c r="AQ96" s="74"/>
      <c r="AR96" s="134">
        <v>400</v>
      </c>
      <c r="AS96" s="134">
        <v>400</v>
      </c>
      <c r="AT96" s="134">
        <v>400</v>
      </c>
      <c r="AU96" s="134">
        <v>400</v>
      </c>
      <c r="AV96" s="74"/>
    </row>
    <row r="97" spans="2:50" s="40" customFormat="1" hidden="1" outlineLevel="1" x14ac:dyDescent="0.3">
      <c r="B97" s="392" t="s">
        <v>274</v>
      </c>
      <c r="C97" s="393"/>
      <c r="D97" s="42"/>
      <c r="E97" s="42"/>
      <c r="F97" s="42"/>
      <c r="G97" s="42"/>
      <c r="H97" s="71"/>
      <c r="I97" s="42"/>
      <c r="J97" s="42"/>
      <c r="K97" s="42"/>
      <c r="L97" s="42"/>
      <c r="M97" s="71"/>
      <c r="N97" s="42">
        <v>1468</v>
      </c>
      <c r="O97" s="42">
        <v>1195</v>
      </c>
      <c r="P97" s="42">
        <v>1227</v>
      </c>
      <c r="Q97" s="42">
        <f>5145-P97-O97-N97</f>
        <v>1255</v>
      </c>
      <c r="R97" s="71">
        <f>SUM(N97:Q97)</f>
        <v>5145</v>
      </c>
      <c r="S97" s="42">
        <v>1829</v>
      </c>
      <c r="T97" s="42">
        <v>1379</v>
      </c>
      <c r="U97" s="42">
        <v>1179</v>
      </c>
      <c r="V97" s="42">
        <f>5706-U97-T97-S97</f>
        <v>1319</v>
      </c>
      <c r="W97" s="71">
        <f>SUM(S97:V97)</f>
        <v>5706</v>
      </c>
      <c r="X97" s="42">
        <v>1863</v>
      </c>
      <c r="Y97" s="42">
        <v>1419</v>
      </c>
      <c r="Z97" s="42">
        <v>1325</v>
      </c>
      <c r="AA97" s="42">
        <f>6093-Z97-Y97-X97</f>
        <v>1486</v>
      </c>
      <c r="AB97" s="71">
        <f>SUM(X97:AA97)</f>
        <v>6093</v>
      </c>
      <c r="AC97" s="42">
        <v>2689</v>
      </c>
      <c r="AD97" s="42">
        <v>1689</v>
      </c>
      <c r="AE97" s="134">
        <f>AD97*(1+AE98)</f>
        <v>1773.45</v>
      </c>
      <c r="AF97" s="134">
        <f>AE97*(1+AF98)</f>
        <v>1963.5625000000018</v>
      </c>
      <c r="AG97" s="71">
        <f>SUM(AC97:AF97)</f>
        <v>8115.0125000000016</v>
      </c>
      <c r="AH97" s="134">
        <f>AF97*(1+AH98)</f>
        <v>2724.3437500000009</v>
      </c>
      <c r="AI97" s="134">
        <f>AH97*(1+AI98)</f>
        <v>1498.3890625000006</v>
      </c>
      <c r="AJ97" s="134">
        <f>AI97*(1+AJ98)</f>
        <v>1348.5501562500006</v>
      </c>
      <c r="AK97" s="134">
        <f>AJ97*(1+AK98)</f>
        <v>1483.4051718750006</v>
      </c>
      <c r="AL97" s="71">
        <f>SUM(AH97:AK97)</f>
        <v>7054.6881406250022</v>
      </c>
      <c r="AM97" s="134">
        <f>AK97*(1+AM98)</f>
        <v>2373.4482750000011</v>
      </c>
      <c r="AN97" s="134">
        <f>AM97*(1+AN98)</f>
        <v>1780.0862062500009</v>
      </c>
      <c r="AO97" s="42">
        <f>AN97*(1+AO98)</f>
        <v>1889.3775856250008</v>
      </c>
      <c r="AP97" s="42">
        <f>AO97*(1+AP98)</f>
        <v>1643.4719820312512</v>
      </c>
      <c r="AQ97" s="71">
        <f>SUM(AM97:AP97)</f>
        <v>7686.384048906255</v>
      </c>
      <c r="AR97" s="42">
        <f>AP97*(1+AR98)</f>
        <v>2487.0899775390617</v>
      </c>
      <c r="AS97" s="42">
        <f>AR97*(1+AS98)</f>
        <v>1720.3174831542974</v>
      </c>
      <c r="AT97" s="42">
        <f>AS97*(1+AT98)</f>
        <v>1835.5857348388681</v>
      </c>
      <c r="AU97" s="42">
        <f>AT97*(1+AU98)</f>
        <v>1731.8443083227548</v>
      </c>
      <c r="AV97" s="71">
        <f>SUM(AR97:AU97)</f>
        <v>7774.8375038549821</v>
      </c>
    </row>
    <row r="98" spans="2:50" s="40" customFormat="1" hidden="1" outlineLevel="1" x14ac:dyDescent="0.3">
      <c r="B98" s="392" t="s">
        <v>112</v>
      </c>
      <c r="C98" s="393"/>
      <c r="D98" s="75"/>
      <c r="E98" s="75"/>
      <c r="F98" s="75"/>
      <c r="G98" s="75"/>
      <c r="H98" s="76"/>
      <c r="I98" s="75"/>
      <c r="J98" s="75"/>
      <c r="K98" s="75"/>
      <c r="L98" s="75"/>
      <c r="M98" s="76"/>
      <c r="N98" s="165"/>
      <c r="O98" s="165">
        <f>O97/N97-1</f>
        <v>-0.18596730245231607</v>
      </c>
      <c r="P98" s="165">
        <f>P97/O97-1</f>
        <v>2.6778242677824249E-2</v>
      </c>
      <c r="Q98" s="165">
        <f>Q97/P97-1</f>
        <v>2.2819885900570602E-2</v>
      </c>
      <c r="R98" s="166"/>
      <c r="S98" s="165">
        <f>S97/Q97-1</f>
        <v>0.45737051792828676</v>
      </c>
      <c r="T98" s="165">
        <f>T97/S97-1</f>
        <v>-0.24603608529250953</v>
      </c>
      <c r="U98" s="165">
        <f>U97/T97-1</f>
        <v>-0.14503263234227703</v>
      </c>
      <c r="V98" s="165">
        <f>V97/U97-1</f>
        <v>0.1187446988973706</v>
      </c>
      <c r="W98" s="166">
        <f>W97/R97-1</f>
        <v>0.10903790087463561</v>
      </c>
      <c r="X98" s="165">
        <f>X97/V97-1</f>
        <v>0.41243366186504926</v>
      </c>
      <c r="Y98" s="165">
        <f>Y97/X97-1</f>
        <v>-0.23832528180354262</v>
      </c>
      <c r="Z98" s="165">
        <f>Z97/Y97-1</f>
        <v>-6.6243833685694198E-2</v>
      </c>
      <c r="AA98" s="165">
        <f>AA97/Z97-1</f>
        <v>0.12150943396226421</v>
      </c>
      <c r="AB98" s="166">
        <f>AB97/W97-1</f>
        <v>6.7823343848580464E-2</v>
      </c>
      <c r="AC98" s="165">
        <f>AC97/AA97-1</f>
        <v>0.8095558546433379</v>
      </c>
      <c r="AD98" s="165">
        <f>AD97/AC97-1</f>
        <v>-0.37188545927854222</v>
      </c>
      <c r="AE98" s="167">
        <v>0.05</v>
      </c>
      <c r="AF98" s="167">
        <v>0.10719924441061308</v>
      </c>
      <c r="AG98" s="166">
        <f>AG97/AB97-1</f>
        <v>0.33185827999343531</v>
      </c>
      <c r="AH98" s="167">
        <v>0.38744947003214736</v>
      </c>
      <c r="AI98" s="167">
        <v>-0.45</v>
      </c>
      <c r="AJ98" s="167">
        <v>-0.1</v>
      </c>
      <c r="AK98" s="167">
        <v>0.1</v>
      </c>
      <c r="AL98" s="166">
        <f>AL97/AG97-1</f>
        <v>-0.13066207345644865</v>
      </c>
      <c r="AM98" s="167">
        <v>0.6</v>
      </c>
      <c r="AN98" s="167">
        <v>-0.25</v>
      </c>
      <c r="AO98" s="167">
        <v>6.1396677863842009E-2</v>
      </c>
      <c r="AP98" s="167">
        <v>-0.13015164648119013</v>
      </c>
      <c r="AQ98" s="166">
        <f>AQ97/AL97-1</f>
        <v>8.954271197951047E-2</v>
      </c>
      <c r="AR98" s="167">
        <v>0.51331449804525398</v>
      </c>
      <c r="AS98" s="167">
        <v>-0.30830106723499967</v>
      </c>
      <c r="AT98" s="167">
        <v>6.7004057572687223E-2</v>
      </c>
      <c r="AU98" s="167">
        <v>-5.6516797089415136E-2</v>
      </c>
      <c r="AV98" s="166">
        <f>AV97/AQ97-1</f>
        <v>1.1507811005268875E-2</v>
      </c>
    </row>
    <row r="99" spans="2:50" s="325" customFormat="1" hidden="1" outlineLevel="1" x14ac:dyDescent="0.3">
      <c r="B99" s="359" t="s">
        <v>273</v>
      </c>
      <c r="C99" s="360"/>
      <c r="D99" s="323"/>
      <c r="E99" s="323"/>
      <c r="F99" s="323"/>
      <c r="G99" s="323"/>
      <c r="H99" s="324"/>
      <c r="I99" s="323"/>
      <c r="J99" s="323"/>
      <c r="K99" s="323"/>
      <c r="L99" s="323"/>
      <c r="M99" s="324"/>
      <c r="N99" s="326">
        <f>+N97+N92</f>
        <v>1468</v>
      </c>
      <c r="O99" s="326">
        <f t="shared" ref="O99:AV99" si="48">+O97+O92</f>
        <v>1195</v>
      </c>
      <c r="P99" s="326">
        <f t="shared" si="48"/>
        <v>1227</v>
      </c>
      <c r="Q99" s="326">
        <f t="shared" si="48"/>
        <v>1255</v>
      </c>
      <c r="R99" s="327">
        <f t="shared" si="48"/>
        <v>5145</v>
      </c>
      <c r="S99" s="326">
        <f t="shared" si="48"/>
        <v>1829</v>
      </c>
      <c r="T99" s="326">
        <f t="shared" si="48"/>
        <v>1379</v>
      </c>
      <c r="U99" s="326">
        <f t="shared" si="48"/>
        <v>1179</v>
      </c>
      <c r="V99" s="326">
        <f t="shared" si="48"/>
        <v>1319</v>
      </c>
      <c r="W99" s="327">
        <f t="shared" si="48"/>
        <v>5706</v>
      </c>
      <c r="X99" s="326">
        <f t="shared" si="48"/>
        <v>1863</v>
      </c>
      <c r="Y99" s="326">
        <f t="shared" si="48"/>
        <v>1419</v>
      </c>
      <c r="Z99" s="326">
        <f t="shared" si="48"/>
        <v>1325</v>
      </c>
      <c r="AA99" s="326">
        <f t="shared" si="48"/>
        <v>1486</v>
      </c>
      <c r="AB99" s="327">
        <f t="shared" si="48"/>
        <v>6093</v>
      </c>
      <c r="AC99" s="326">
        <f t="shared" si="48"/>
        <v>2689</v>
      </c>
      <c r="AD99" s="326">
        <f t="shared" si="48"/>
        <v>1689</v>
      </c>
      <c r="AE99" s="326">
        <f t="shared" si="48"/>
        <v>2641</v>
      </c>
      <c r="AF99" s="326">
        <f t="shared" si="48"/>
        <v>3048.0000000000018</v>
      </c>
      <c r="AG99" s="327">
        <f t="shared" si="48"/>
        <v>10067.000000000002</v>
      </c>
      <c r="AH99" s="326">
        <f t="shared" si="48"/>
        <v>4351.0000000000018</v>
      </c>
      <c r="AI99" s="326">
        <f t="shared" si="48"/>
        <v>2189</v>
      </c>
      <c r="AJ99" s="326">
        <f t="shared" si="48"/>
        <v>2219</v>
      </c>
      <c r="AK99" s="326">
        <f t="shared" si="48"/>
        <v>2373.0000000000005</v>
      </c>
      <c r="AL99" s="327">
        <f t="shared" si="48"/>
        <v>11132.000000000002</v>
      </c>
      <c r="AM99" s="326">
        <f t="shared" si="48"/>
        <v>4024</v>
      </c>
      <c r="AN99" s="326">
        <f t="shared" si="48"/>
        <v>2873</v>
      </c>
      <c r="AO99" s="326">
        <f t="shared" si="48"/>
        <v>2873</v>
      </c>
      <c r="AP99" s="326">
        <f t="shared" si="48"/>
        <v>2873</v>
      </c>
      <c r="AQ99" s="327">
        <f t="shared" si="48"/>
        <v>12643</v>
      </c>
      <c r="AR99" s="326">
        <f t="shared" si="48"/>
        <v>4023.9999999999982</v>
      </c>
      <c r="AS99" s="326">
        <f t="shared" si="48"/>
        <v>2872.9999999999991</v>
      </c>
      <c r="AT99" s="326">
        <f t="shared" si="48"/>
        <v>2873</v>
      </c>
      <c r="AU99" s="326">
        <f t="shared" si="48"/>
        <v>2873</v>
      </c>
      <c r="AV99" s="327">
        <f t="shared" si="48"/>
        <v>12642.999999999996</v>
      </c>
    </row>
    <row r="100" spans="2:50" s="40" customFormat="1" hidden="1" outlineLevel="1" x14ac:dyDescent="0.3">
      <c r="B100" s="174" t="s">
        <v>272</v>
      </c>
      <c r="C100" s="175"/>
      <c r="D100" s="176"/>
      <c r="E100" s="176"/>
      <c r="F100" s="176"/>
      <c r="G100" s="176"/>
      <c r="H100" s="177"/>
      <c r="I100" s="176"/>
      <c r="J100" s="176"/>
      <c r="K100" s="176"/>
      <c r="L100" s="176"/>
      <c r="M100" s="177"/>
      <c r="N100" s="176"/>
      <c r="O100" s="176"/>
      <c r="P100" s="176"/>
      <c r="Q100" s="176"/>
      <c r="R100" s="177"/>
      <c r="S100" s="176"/>
      <c r="T100" s="176"/>
      <c r="U100" s="176"/>
      <c r="V100" s="176"/>
      <c r="W100" s="177"/>
      <c r="X100" s="176"/>
      <c r="Y100" s="176"/>
      <c r="Z100" s="176"/>
      <c r="AA100" s="176"/>
      <c r="AB100" s="177"/>
      <c r="AC100" s="176"/>
      <c r="AD100" s="176"/>
      <c r="AE100" s="308">
        <f>AE92+AE97-2641</f>
        <v>0</v>
      </c>
      <c r="AF100" s="308"/>
      <c r="AG100" s="309"/>
      <c r="AH100" s="308"/>
      <c r="AI100" s="308">
        <f>AI92+AI97-2189</f>
        <v>0</v>
      </c>
      <c r="AJ100" s="308">
        <f>AJ92+AJ97-2219</f>
        <v>0</v>
      </c>
      <c r="AK100" s="308">
        <f>AK92+AK97-2373</f>
        <v>0</v>
      </c>
      <c r="AL100" s="309"/>
      <c r="AM100" s="308">
        <f>AM92+AM97-4024</f>
        <v>0</v>
      </c>
      <c r="AN100" s="308">
        <f>AN92+AN97-2873</f>
        <v>0</v>
      </c>
      <c r="AO100" s="308"/>
      <c r="AP100" s="308"/>
      <c r="AQ100" s="309"/>
      <c r="AR100" s="308"/>
      <c r="AS100" s="308"/>
      <c r="AT100" s="308"/>
      <c r="AU100" s="308"/>
      <c r="AV100" s="309"/>
      <c r="AX100" s="40" t="s">
        <v>21</v>
      </c>
    </row>
    <row r="101" spans="2:50" hidden="1" outlineLevel="1" x14ac:dyDescent="0.3">
      <c r="B101" s="409" t="s">
        <v>281</v>
      </c>
      <c r="C101" s="410"/>
      <c r="D101" s="199"/>
      <c r="E101" s="261"/>
      <c r="F101" s="199"/>
      <c r="G101" s="199"/>
      <c r="H101" s="199"/>
      <c r="I101" s="199"/>
      <c r="J101" s="199"/>
      <c r="K101" s="199"/>
      <c r="L101" s="199"/>
      <c r="M101" s="199"/>
      <c r="N101" s="199"/>
      <c r="O101" s="199"/>
      <c r="P101" s="199"/>
      <c r="Q101" s="199"/>
      <c r="R101" s="199"/>
      <c r="S101" s="262"/>
      <c r="T101" s="199"/>
      <c r="U101" s="199"/>
      <c r="V101" s="263"/>
      <c r="W101" s="199"/>
      <c r="X101" s="262"/>
      <c r="Y101" s="199"/>
      <c r="Z101" s="199"/>
      <c r="AA101" s="199"/>
      <c r="AB101" s="199"/>
      <c r="AC101" s="262"/>
      <c r="AD101" s="199"/>
      <c r="AE101" s="199"/>
      <c r="AF101" s="199"/>
      <c r="AG101" s="199"/>
      <c r="AH101" s="263"/>
      <c r="AI101" s="199"/>
      <c r="AJ101" s="199"/>
      <c r="AK101" s="199"/>
      <c r="AL101" s="199"/>
      <c r="AM101" s="199"/>
      <c r="AN101" s="199"/>
      <c r="AO101" s="199"/>
      <c r="AP101" s="199"/>
      <c r="AQ101" s="199"/>
      <c r="AR101" s="199"/>
      <c r="AS101" s="199"/>
      <c r="AT101" s="199"/>
      <c r="AU101" s="199"/>
      <c r="AV101" s="264"/>
      <c r="AW101" s="90"/>
    </row>
    <row r="102" spans="2:50" ht="14.4" hidden="1" customHeight="1" outlineLevel="1" x14ac:dyDescent="0.3">
      <c r="B102" s="356" t="s">
        <v>241</v>
      </c>
      <c r="C102" s="361"/>
      <c r="D102" s="214"/>
      <c r="E102" s="214"/>
      <c r="F102" s="214"/>
      <c r="G102" s="213" t="s">
        <v>243</v>
      </c>
      <c r="H102" s="214"/>
      <c r="I102" s="214"/>
      <c r="J102" s="214"/>
      <c r="K102" s="214"/>
      <c r="L102" s="214"/>
      <c r="M102" s="214"/>
      <c r="N102" s="214"/>
      <c r="O102" s="236" t="s">
        <v>242</v>
      </c>
      <c r="P102" s="237"/>
      <c r="Q102" s="237"/>
      <c r="R102" s="237"/>
      <c r="S102" s="237"/>
      <c r="T102" s="237"/>
      <c r="U102" s="237"/>
      <c r="V102" s="237"/>
      <c r="W102" s="237"/>
      <c r="X102" s="237"/>
      <c r="Y102" s="237"/>
      <c r="Z102" s="237"/>
      <c r="AA102" s="237"/>
      <c r="AB102" s="237"/>
      <c r="AC102" s="237"/>
      <c r="AD102" s="237"/>
      <c r="AE102" s="237"/>
      <c r="AF102" s="237"/>
      <c r="AG102" s="237"/>
      <c r="AH102" s="256" t="s">
        <v>244</v>
      </c>
      <c r="AI102" s="256"/>
      <c r="AJ102" s="256"/>
      <c r="AK102" s="256"/>
      <c r="AL102" s="256"/>
      <c r="AM102" s="256"/>
      <c r="AN102" s="184"/>
      <c r="AO102" s="184"/>
      <c r="AP102" s="184"/>
      <c r="AQ102" s="184"/>
      <c r="AR102" s="184"/>
      <c r="AS102" s="184"/>
      <c r="AT102" s="184"/>
      <c r="AU102" s="184"/>
      <c r="AV102" s="196"/>
      <c r="AW102" s="90"/>
    </row>
    <row r="103" spans="2:50" ht="14.4" hidden="1" customHeight="1" outlineLevel="1" x14ac:dyDescent="0.3">
      <c r="B103" s="356" t="s">
        <v>157</v>
      </c>
      <c r="C103" s="361"/>
      <c r="D103" s="184"/>
      <c r="E103" s="201"/>
      <c r="F103" s="184"/>
      <c r="G103" s="184"/>
      <c r="H103" s="184"/>
      <c r="I103" s="184"/>
      <c r="J103" s="184"/>
      <c r="K103" s="184"/>
      <c r="L103" s="184"/>
      <c r="M103" s="184"/>
      <c r="N103" s="184"/>
      <c r="O103" s="184"/>
      <c r="P103" s="184"/>
      <c r="Q103" s="184"/>
      <c r="R103" s="184"/>
      <c r="S103" s="186"/>
      <c r="T103" s="184"/>
      <c r="U103" s="184"/>
      <c r="V103" s="118"/>
      <c r="W103" s="184"/>
      <c r="X103" s="186"/>
      <c r="Y103" s="184"/>
      <c r="Z103" s="184"/>
      <c r="AA103" s="184"/>
      <c r="AB103" s="184"/>
      <c r="AC103" s="186"/>
      <c r="AD103" s="184"/>
      <c r="AE103" s="220" t="s">
        <v>158</v>
      </c>
      <c r="AF103" s="221"/>
      <c r="AG103" s="221"/>
      <c r="AH103" s="221"/>
      <c r="AI103" s="221"/>
      <c r="AJ103" s="221"/>
      <c r="AK103" s="187" t="s">
        <v>245</v>
      </c>
      <c r="AL103" s="188"/>
      <c r="AM103" s="188"/>
      <c r="AN103" s="188"/>
      <c r="AO103" s="188"/>
      <c r="AP103" s="188"/>
      <c r="AQ103" s="188"/>
      <c r="AR103" s="184"/>
      <c r="AS103" s="184"/>
      <c r="AT103" s="184"/>
      <c r="AU103" s="184"/>
      <c r="AV103" s="196"/>
      <c r="AW103" s="90"/>
    </row>
    <row r="104" spans="2:50" ht="14.4" hidden="1" customHeight="1" outlineLevel="1" x14ac:dyDescent="0.3">
      <c r="B104" s="364" t="s">
        <v>159</v>
      </c>
      <c r="C104" s="36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257" t="s">
        <v>246</v>
      </c>
      <c r="AN104" s="258"/>
      <c r="AO104" s="258"/>
      <c r="AP104" s="258"/>
      <c r="AQ104" s="258"/>
      <c r="AR104" s="193"/>
      <c r="AS104" s="193"/>
      <c r="AT104" s="193"/>
      <c r="AU104" s="193"/>
      <c r="AV104" s="198"/>
      <c r="AW104" s="90"/>
    </row>
    <row r="105" spans="2:50" s="40" customFormat="1" collapsed="1" x14ac:dyDescent="0.3">
      <c r="B105" s="362" t="s">
        <v>271</v>
      </c>
      <c r="C105" s="357"/>
      <c r="D105" s="42"/>
      <c r="E105" s="42"/>
      <c r="F105" s="42"/>
      <c r="G105" s="42"/>
      <c r="H105" s="74"/>
      <c r="I105" s="42"/>
      <c r="J105" s="42"/>
      <c r="K105" s="42"/>
      <c r="L105" s="42"/>
      <c r="M105" s="74"/>
      <c r="N105" s="42"/>
      <c r="O105" s="42"/>
      <c r="P105" s="42"/>
      <c r="Q105" s="42"/>
      <c r="R105" s="74"/>
      <c r="S105" s="42"/>
      <c r="T105" s="42"/>
      <c r="U105" s="42"/>
      <c r="V105" s="42"/>
      <c r="W105" s="74"/>
      <c r="X105" s="42"/>
      <c r="Y105" s="42"/>
      <c r="Z105" s="42"/>
      <c r="AA105" s="42"/>
      <c r="AB105" s="74"/>
      <c r="AC105" s="80"/>
      <c r="AD105" s="80"/>
      <c r="AE105" s="80"/>
      <c r="AF105" s="80"/>
      <c r="AG105" s="112"/>
      <c r="AH105" s="80"/>
      <c r="AI105" s="80"/>
      <c r="AJ105" s="80"/>
      <c r="AK105" s="80"/>
      <c r="AL105" s="112"/>
      <c r="AM105" s="80"/>
      <c r="AN105" s="80"/>
      <c r="AO105" s="80"/>
      <c r="AP105" s="80"/>
      <c r="AQ105" s="112"/>
      <c r="AR105" s="80"/>
      <c r="AS105" s="80"/>
      <c r="AT105" s="80"/>
      <c r="AU105" s="80"/>
      <c r="AV105" s="112"/>
    </row>
    <row r="106" spans="2:50" s="40" customFormat="1" hidden="1" outlineLevel="1" x14ac:dyDescent="0.3">
      <c r="B106" s="392" t="s">
        <v>151</v>
      </c>
      <c r="C106" s="393"/>
      <c r="D106" s="42"/>
      <c r="E106" s="42"/>
      <c r="F106" s="42"/>
      <c r="G106" s="42"/>
      <c r="H106" s="71"/>
      <c r="I106" s="42"/>
      <c r="J106" s="42"/>
      <c r="K106" s="42"/>
      <c r="L106" s="42"/>
      <c r="M106" s="71"/>
      <c r="N106" s="42">
        <v>3020</v>
      </c>
      <c r="O106" s="42">
        <v>3171</v>
      </c>
      <c r="P106" s="42">
        <v>3203</v>
      </c>
      <c r="Q106" s="42">
        <f>12890-P106-O106-N106</f>
        <v>3496</v>
      </c>
      <c r="R106" s="71">
        <f>SUM(N106:Q106)</f>
        <v>12890</v>
      </c>
      <c r="S106" s="42">
        <v>3687</v>
      </c>
      <c r="T106" s="42">
        <v>4114</v>
      </c>
      <c r="U106" s="42">
        <v>3990</v>
      </c>
      <c r="V106" s="42">
        <f>16051-U106-T106-S106</f>
        <v>4260</v>
      </c>
      <c r="W106" s="71">
        <f>SUM(S106:V106)</f>
        <v>16051</v>
      </c>
      <c r="X106" s="42">
        <v>4397</v>
      </c>
      <c r="Y106" s="42">
        <v>4573</v>
      </c>
      <c r="Z106" s="42">
        <v>4485</v>
      </c>
      <c r="AA106" s="42">
        <f>18063-Z106-Y106-X106</f>
        <v>4608</v>
      </c>
      <c r="AB106" s="71">
        <f>SUM(X106:AA106)</f>
        <v>18063</v>
      </c>
      <c r="AC106" s="42">
        <v>4799</v>
      </c>
      <c r="AD106" s="42">
        <v>4996</v>
      </c>
      <c r="AE106" s="42">
        <v>5028</v>
      </c>
      <c r="AF106" s="42">
        <v>5086</v>
      </c>
      <c r="AG106" s="71">
        <f>SUM(AC106:AF106)</f>
        <v>19909</v>
      </c>
      <c r="AH106" s="42">
        <v>6056</v>
      </c>
      <c r="AI106" s="42">
        <v>5991</v>
      </c>
      <c r="AJ106" s="42">
        <v>5976</v>
      </c>
      <c r="AK106" s="42">
        <v>6325</v>
      </c>
      <c r="AL106" s="71">
        <f>SUM(AH106:AK106)</f>
        <v>24348</v>
      </c>
      <c r="AM106" s="42">
        <v>7172</v>
      </c>
      <c r="AN106" s="42">
        <v>7041</v>
      </c>
      <c r="AO106" s="42">
        <f>AN106*(1+AO107)</f>
        <v>7270.0185185185092</v>
      </c>
      <c r="AP106" s="42">
        <f>AO106*(1+AP107)</f>
        <v>7659.1851851851698</v>
      </c>
      <c r="AQ106" s="71">
        <f>SUM(AM106:AP106)</f>
        <v>29142.203703703679</v>
      </c>
      <c r="AR106" s="42">
        <f>AP106*(1+AR107)</f>
        <v>8778.2222222222208</v>
      </c>
      <c r="AS106" s="42">
        <f>AR106*(1+AS107)</f>
        <v>8602.6577777777766</v>
      </c>
      <c r="AT106" s="42">
        <f>AS106*(1+AT107)</f>
        <v>8860.7375111111105</v>
      </c>
      <c r="AU106" s="42">
        <f>AT106*(1+AU107)</f>
        <v>9303.774386666666</v>
      </c>
      <c r="AV106" s="71">
        <f>SUM(AR106:AU106)</f>
        <v>35545.391897777772</v>
      </c>
    </row>
    <row r="107" spans="2:50" s="40" customFormat="1" hidden="1" outlineLevel="1" x14ac:dyDescent="0.3">
      <c r="B107" s="392" t="s">
        <v>269</v>
      </c>
      <c r="C107" s="393"/>
      <c r="D107" s="75"/>
      <c r="E107" s="75"/>
      <c r="F107" s="75"/>
      <c r="G107" s="75"/>
      <c r="H107" s="76"/>
      <c r="I107" s="75"/>
      <c r="J107" s="75"/>
      <c r="K107" s="75"/>
      <c r="L107" s="75"/>
      <c r="M107" s="76"/>
      <c r="N107" s="311"/>
      <c r="O107" s="311">
        <f>O106/N106-1</f>
        <v>5.0000000000000044E-2</v>
      </c>
      <c r="P107" s="311">
        <f>P106/O106-1</f>
        <v>1.0091453800063155E-2</v>
      </c>
      <c r="Q107" s="311">
        <f>Q106/P106-1</f>
        <v>9.1476740555729075E-2</v>
      </c>
      <c r="R107" s="312"/>
      <c r="S107" s="311">
        <f>S106/Q106-1</f>
        <v>5.4633867276887793E-2</v>
      </c>
      <c r="T107" s="311">
        <f>T106/S106-1</f>
        <v>0.11581231353403854</v>
      </c>
      <c r="U107" s="311">
        <f>U106/T106-1</f>
        <v>-3.0140982012639816E-2</v>
      </c>
      <c r="V107" s="311">
        <f>V106/U106-1</f>
        <v>6.7669172932330879E-2</v>
      </c>
      <c r="W107" s="312">
        <f>W106/R106-1</f>
        <v>0.24522885958107055</v>
      </c>
      <c r="X107" s="311">
        <f>X106/V106-1</f>
        <v>3.215962441314546E-2</v>
      </c>
      <c r="Y107" s="311">
        <f>Y106/X106-1</f>
        <v>4.0027291335001047E-2</v>
      </c>
      <c r="Z107" s="311">
        <f>Z106/Y106-1</f>
        <v>-1.9243385086376574E-2</v>
      </c>
      <c r="AA107" s="311">
        <f>AA106/Z106-1</f>
        <v>2.7424749163879492E-2</v>
      </c>
      <c r="AB107" s="312">
        <f>AB106/W106-1</f>
        <v>0.12535044545511176</v>
      </c>
      <c r="AC107" s="311">
        <f>AC106/AA106-1</f>
        <v>4.1449652777777679E-2</v>
      </c>
      <c r="AD107" s="311">
        <f>AD106/AC106-1</f>
        <v>4.1050218795582349E-2</v>
      </c>
      <c r="AE107" s="311">
        <f>AE106/AD106-1</f>
        <v>6.4051240992795133E-3</v>
      </c>
      <c r="AF107" s="311">
        <f>AF106/AE106-1</f>
        <v>1.1535401750198959E-2</v>
      </c>
      <c r="AG107" s="312">
        <f>AG106/AB106-1</f>
        <v>0.10219786303493339</v>
      </c>
      <c r="AH107" s="316">
        <f>AH106/AF106-1</f>
        <v>0.19071962249311847</v>
      </c>
      <c r="AI107" s="316">
        <f>AI106/AH106-1</f>
        <v>-1.0733157199471544E-2</v>
      </c>
      <c r="AJ107" s="316">
        <f>AJ106/AI106-1</f>
        <v>-2.5037556334501776E-3</v>
      </c>
      <c r="AK107" s="316">
        <f>AK106/AJ106-1</f>
        <v>5.8400267737617195E-2</v>
      </c>
      <c r="AL107" s="317">
        <f>AL106/AG106-1</f>
        <v>0.22296448842232164</v>
      </c>
      <c r="AM107" s="318">
        <f>AM106/AK106-1</f>
        <v>0.13391304347826094</v>
      </c>
      <c r="AN107" s="318">
        <f>AN106/AM106-1</f>
        <v>-1.8265476854433915E-2</v>
      </c>
      <c r="AO107" s="319">
        <v>3.252641933226947E-2</v>
      </c>
      <c r="AP107" s="319">
        <v>5.3530354245365182E-2</v>
      </c>
      <c r="AQ107" s="317">
        <f>AQ106/AL106-1</f>
        <v>0.19690338852076872</v>
      </c>
      <c r="AR107" s="319">
        <v>0.14610392750413664</v>
      </c>
      <c r="AS107" s="319">
        <v>-0.02</v>
      </c>
      <c r="AT107" s="319">
        <v>0.03</v>
      </c>
      <c r="AU107" s="319">
        <v>0.05</v>
      </c>
      <c r="AV107" s="317">
        <f>AV106/AQ106-1</f>
        <v>0.21972216854898696</v>
      </c>
    </row>
    <row r="108" spans="2:50" s="40" customFormat="1" hidden="1" outlineLevel="1" x14ac:dyDescent="0.3">
      <c r="B108" s="356" t="s">
        <v>270</v>
      </c>
      <c r="C108" s="357"/>
      <c r="D108" s="75"/>
      <c r="E108" s="75"/>
      <c r="F108" s="75"/>
      <c r="G108" s="75"/>
      <c r="H108" s="76"/>
      <c r="I108" s="75"/>
      <c r="J108" s="75"/>
      <c r="K108" s="75"/>
      <c r="L108" s="75"/>
      <c r="M108" s="76"/>
      <c r="N108" s="311"/>
      <c r="O108" s="311"/>
      <c r="P108" s="311"/>
      <c r="Q108" s="311"/>
      <c r="R108" s="312"/>
      <c r="S108" s="311">
        <f>S106/N106-1</f>
        <v>0.22086092715231787</v>
      </c>
      <c r="T108" s="311">
        <f t="shared" ref="T108:W108" si="49">T106/O106-1</f>
        <v>0.2973825291706087</v>
      </c>
      <c r="U108" s="311">
        <f t="shared" si="49"/>
        <v>0.24570714954729933</v>
      </c>
      <c r="V108" s="311">
        <f t="shared" si="49"/>
        <v>0.21853546910755139</v>
      </c>
      <c r="W108" s="312">
        <f t="shared" si="49"/>
        <v>0.24522885958107055</v>
      </c>
      <c r="X108" s="311">
        <f>X106/S106-1</f>
        <v>0.19256848386221859</v>
      </c>
      <c r="Y108" s="311">
        <f t="shared" ref="Y108:AB108" si="50">Y106/T106-1</f>
        <v>0.11157024793388426</v>
      </c>
      <c r="Z108" s="311">
        <f t="shared" si="50"/>
        <v>0.12406015037593976</v>
      </c>
      <c r="AA108" s="311">
        <f t="shared" si="50"/>
        <v>8.1690140845070314E-2</v>
      </c>
      <c r="AB108" s="312">
        <f t="shared" si="50"/>
        <v>0.12535044545511176</v>
      </c>
      <c r="AC108" s="311">
        <f>AC106/X106-1</f>
        <v>9.1425972253809329E-2</v>
      </c>
      <c r="AD108" s="311">
        <f t="shared" ref="AD108:AG108" si="51">AD106/Y106-1</f>
        <v>9.2499453312923752E-2</v>
      </c>
      <c r="AE108" s="311">
        <f t="shared" si="51"/>
        <v>0.12107023411371243</v>
      </c>
      <c r="AF108" s="311">
        <f t="shared" si="51"/>
        <v>0.10373263888888884</v>
      </c>
      <c r="AG108" s="312">
        <f t="shared" si="51"/>
        <v>0.10219786303493339</v>
      </c>
      <c r="AH108" s="311">
        <f>AH106/AC106-1</f>
        <v>0.2619295686601375</v>
      </c>
      <c r="AI108" s="311">
        <f t="shared" ref="AI108:AL108" si="52">AI106/AD106-1</f>
        <v>0.19915932746196963</v>
      </c>
      <c r="AJ108" s="311">
        <f t="shared" si="52"/>
        <v>0.1885441527446301</v>
      </c>
      <c r="AK108" s="311">
        <f t="shared" si="52"/>
        <v>0.24360990955564299</v>
      </c>
      <c r="AL108" s="312">
        <f t="shared" si="52"/>
        <v>0.22296448842232164</v>
      </c>
      <c r="AM108" s="311">
        <f>AM106/AH106-1</f>
        <v>0.18428005284015847</v>
      </c>
      <c r="AN108" s="311">
        <f t="shared" ref="AN108:AQ108" si="53">AN106/AI106-1</f>
        <v>0.17526289434151221</v>
      </c>
      <c r="AO108" s="311">
        <f t="shared" si="53"/>
        <v>0.21653589667311057</v>
      </c>
      <c r="AP108" s="311">
        <f t="shared" si="53"/>
        <v>0.21093836919923636</v>
      </c>
      <c r="AQ108" s="312">
        <f t="shared" si="53"/>
        <v>0.19690338852076872</v>
      </c>
      <c r="AR108" s="311">
        <f>AR106/AM106-1</f>
        <v>0.22395736506165931</v>
      </c>
      <c r="AS108" s="311">
        <f t="shared" ref="AS108:AV108" si="54">AS106/AN106-1</f>
        <v>0.22179488393378444</v>
      </c>
      <c r="AT108" s="311">
        <f t="shared" si="54"/>
        <v>0.21880535634684461</v>
      </c>
      <c r="AU108" s="311">
        <f t="shared" si="54"/>
        <v>0.21472116964380938</v>
      </c>
      <c r="AV108" s="312">
        <f t="shared" si="54"/>
        <v>0.21972216854898696</v>
      </c>
    </row>
    <row r="109" spans="2:50" s="40" customFormat="1" hidden="1" outlineLevel="1" x14ac:dyDescent="0.3">
      <c r="B109" s="392" t="s">
        <v>140</v>
      </c>
      <c r="C109" s="393"/>
      <c r="D109" s="42">
        <v>1164</v>
      </c>
      <c r="E109" s="42">
        <v>1327</v>
      </c>
      <c r="F109" s="42">
        <v>1214</v>
      </c>
      <c r="G109" s="42">
        <f>4948-F109-E109-D109</f>
        <v>1243</v>
      </c>
      <c r="H109" s="71">
        <f>SUM(D109:G109)</f>
        <v>4948</v>
      </c>
      <c r="I109" s="42">
        <v>1431</v>
      </c>
      <c r="J109" s="42">
        <v>1634</v>
      </c>
      <c r="K109" s="42">
        <v>1571</v>
      </c>
      <c r="L109" s="42">
        <f>6314-K109-J109-I109</f>
        <v>1678</v>
      </c>
      <c r="M109" s="71">
        <f>SUM(I109:L109)</f>
        <v>6314</v>
      </c>
      <c r="N109" s="42"/>
      <c r="O109" s="42"/>
      <c r="P109" s="42"/>
      <c r="Q109" s="42"/>
      <c r="R109" s="74"/>
      <c r="S109" s="42"/>
      <c r="T109" s="42"/>
      <c r="U109" s="42"/>
      <c r="V109" s="42"/>
      <c r="W109" s="74"/>
      <c r="X109" s="42"/>
      <c r="Y109" s="42"/>
      <c r="Z109" s="42"/>
      <c r="AA109" s="42"/>
      <c r="AB109" s="74"/>
      <c r="AC109" s="42"/>
      <c r="AD109" s="42"/>
      <c r="AE109" s="42"/>
      <c r="AF109" s="42"/>
      <c r="AG109" s="74"/>
      <c r="AH109" s="42"/>
      <c r="AI109" s="42"/>
      <c r="AJ109" s="42"/>
      <c r="AK109" s="42"/>
      <c r="AL109" s="74"/>
      <c r="AM109" s="42"/>
      <c r="AN109" s="42"/>
      <c r="AO109" s="42"/>
      <c r="AP109" s="42"/>
      <c r="AQ109" s="74"/>
      <c r="AR109" s="42"/>
      <c r="AS109" s="42"/>
      <c r="AT109" s="42"/>
      <c r="AU109" s="42"/>
      <c r="AV109" s="74"/>
    </row>
    <row r="110" spans="2:50" s="40" customFormat="1" hidden="1" outlineLevel="1" x14ac:dyDescent="0.3">
      <c r="B110" s="392" t="s">
        <v>141</v>
      </c>
      <c r="C110" s="393"/>
      <c r="D110" s="42">
        <v>469</v>
      </c>
      <c r="E110" s="42">
        <v>472</v>
      </c>
      <c r="F110" s="42">
        <v>396</v>
      </c>
      <c r="G110" s="42">
        <f>1814-F110-E110-D110</f>
        <v>477</v>
      </c>
      <c r="H110" s="71">
        <f>SUM(D110:G110)</f>
        <v>1814</v>
      </c>
      <c r="I110" s="42">
        <v>593</v>
      </c>
      <c r="J110" s="42">
        <v>580</v>
      </c>
      <c r="K110" s="42">
        <v>517</v>
      </c>
      <c r="L110" s="42">
        <f>2330-K110-J110-I110</f>
        <v>640</v>
      </c>
      <c r="M110" s="71">
        <f>SUM(I110:L110)</f>
        <v>2330</v>
      </c>
      <c r="N110" s="42"/>
      <c r="O110" s="42"/>
      <c r="P110" s="42"/>
      <c r="Q110" s="42"/>
      <c r="R110" s="74"/>
      <c r="S110" s="42"/>
      <c r="T110" s="42"/>
      <c r="U110" s="42"/>
      <c r="V110" s="42"/>
      <c r="W110" s="74"/>
      <c r="X110" s="42"/>
      <c r="Y110" s="42"/>
      <c r="Z110" s="42"/>
      <c r="AA110" s="42"/>
      <c r="AB110" s="74"/>
      <c r="AC110" s="42"/>
      <c r="AD110" s="42"/>
      <c r="AE110" s="42"/>
      <c r="AF110" s="42"/>
      <c r="AG110" s="74"/>
      <c r="AH110" s="42"/>
      <c r="AI110" s="42"/>
      <c r="AJ110" s="42"/>
      <c r="AK110" s="42"/>
      <c r="AL110" s="74"/>
      <c r="AM110" s="42"/>
      <c r="AN110" s="42"/>
      <c r="AO110" s="42"/>
      <c r="AP110" s="42"/>
      <c r="AQ110" s="74"/>
      <c r="AR110" s="42"/>
      <c r="AS110" s="42"/>
      <c r="AT110" s="42"/>
      <c r="AU110" s="42"/>
      <c r="AV110" s="74"/>
    </row>
    <row r="111" spans="2:50" s="40" customFormat="1" ht="16.2" hidden="1" outlineLevel="1" x14ac:dyDescent="0.45">
      <c r="B111" s="392" t="s">
        <v>142</v>
      </c>
      <c r="C111" s="393"/>
      <c r="D111" s="153">
        <v>631</v>
      </c>
      <c r="E111" s="153">
        <v>634</v>
      </c>
      <c r="F111" s="153">
        <v>646</v>
      </c>
      <c r="G111" s="153">
        <f>2573-F111-E111-D111</f>
        <v>662</v>
      </c>
      <c r="H111" s="154">
        <f>SUM(D111:G111)</f>
        <v>2573</v>
      </c>
      <c r="I111" s="153">
        <v>786</v>
      </c>
      <c r="J111" s="153">
        <v>743</v>
      </c>
      <c r="K111" s="153">
        <v>696</v>
      </c>
      <c r="L111" s="153">
        <f>2954-K111-J111-I111</f>
        <v>729</v>
      </c>
      <c r="M111" s="154">
        <f>SUM(I111:L111)</f>
        <v>2954</v>
      </c>
      <c r="N111" s="42"/>
      <c r="O111" s="42"/>
      <c r="P111" s="42"/>
      <c r="Q111" s="42"/>
      <c r="R111" s="74"/>
      <c r="S111" s="42"/>
      <c r="T111" s="42"/>
      <c r="U111" s="42"/>
      <c r="V111" s="42"/>
      <c r="W111" s="74"/>
      <c r="X111" s="42"/>
      <c r="Y111" s="42"/>
      <c r="Z111" s="42"/>
      <c r="AA111" s="42"/>
      <c r="AB111" s="74"/>
      <c r="AC111" s="42"/>
      <c r="AD111" s="42"/>
      <c r="AE111" s="42"/>
      <c r="AF111" s="42"/>
      <c r="AG111" s="74"/>
      <c r="AH111" s="42"/>
      <c r="AI111" s="45"/>
      <c r="AJ111" s="42"/>
      <c r="AK111" s="42"/>
      <c r="AL111" s="74"/>
      <c r="AM111" s="42"/>
      <c r="AN111" s="42"/>
      <c r="AO111" s="42"/>
      <c r="AP111" s="42"/>
      <c r="AQ111" s="74"/>
      <c r="AR111" s="42"/>
      <c r="AS111" s="42"/>
      <c r="AT111" s="42"/>
      <c r="AU111" s="42"/>
      <c r="AV111" s="74"/>
    </row>
    <row r="112" spans="2:50" s="128" customFormat="1" collapsed="1" x14ac:dyDescent="0.3">
      <c r="B112" s="403" t="s">
        <v>96</v>
      </c>
      <c r="C112" s="404"/>
      <c r="D112" s="151">
        <f t="shared" ref="D112:AI112" si="55">SUM(D109:D111)+D106+D92+D82+D69+D55+D41+D97</f>
        <v>15683</v>
      </c>
      <c r="E112" s="151">
        <f t="shared" si="55"/>
        <v>13499</v>
      </c>
      <c r="F112" s="151">
        <f t="shared" si="55"/>
        <v>15700</v>
      </c>
      <c r="G112" s="151">
        <f t="shared" si="55"/>
        <v>20343</v>
      </c>
      <c r="H112" s="152">
        <f t="shared" si="55"/>
        <v>65225</v>
      </c>
      <c r="I112" s="151">
        <f t="shared" si="55"/>
        <v>26741</v>
      </c>
      <c r="J112" s="151">
        <f t="shared" si="55"/>
        <v>24667</v>
      </c>
      <c r="K112" s="151">
        <f t="shared" si="55"/>
        <v>28571</v>
      </c>
      <c r="L112" s="151">
        <f t="shared" si="55"/>
        <v>28270</v>
      </c>
      <c r="M112" s="152">
        <f t="shared" si="55"/>
        <v>108249</v>
      </c>
      <c r="N112" s="151">
        <f t="shared" si="55"/>
        <v>46333</v>
      </c>
      <c r="O112" s="151">
        <f t="shared" si="55"/>
        <v>39186</v>
      </c>
      <c r="P112" s="151">
        <f t="shared" si="55"/>
        <v>35023</v>
      </c>
      <c r="Q112" s="151">
        <f t="shared" si="55"/>
        <v>35966</v>
      </c>
      <c r="R112" s="152">
        <f t="shared" si="55"/>
        <v>156508</v>
      </c>
      <c r="S112" s="151">
        <f t="shared" si="55"/>
        <v>54512</v>
      </c>
      <c r="T112" s="151">
        <f t="shared" si="55"/>
        <v>43603</v>
      </c>
      <c r="U112" s="151">
        <f t="shared" si="55"/>
        <v>35323</v>
      </c>
      <c r="V112" s="151">
        <f t="shared" si="55"/>
        <v>37472</v>
      </c>
      <c r="W112" s="152">
        <f t="shared" si="55"/>
        <v>170910</v>
      </c>
      <c r="X112" s="151">
        <f t="shared" si="55"/>
        <v>57594</v>
      </c>
      <c r="Y112" s="151">
        <f t="shared" si="55"/>
        <v>45646</v>
      </c>
      <c r="Z112" s="151">
        <f t="shared" si="55"/>
        <v>37432</v>
      </c>
      <c r="AA112" s="151">
        <f t="shared" si="55"/>
        <v>42123</v>
      </c>
      <c r="AB112" s="152">
        <f t="shared" si="55"/>
        <v>182795</v>
      </c>
      <c r="AC112" s="151">
        <f t="shared" si="55"/>
        <v>74599</v>
      </c>
      <c r="AD112" s="151">
        <f t="shared" si="55"/>
        <v>58010</v>
      </c>
      <c r="AE112" s="151">
        <f t="shared" si="55"/>
        <v>49605</v>
      </c>
      <c r="AF112" s="151">
        <f t="shared" si="55"/>
        <v>51501</v>
      </c>
      <c r="AG112" s="152">
        <f t="shared" si="55"/>
        <v>233715</v>
      </c>
      <c r="AH112" s="151">
        <f t="shared" si="55"/>
        <v>75872</v>
      </c>
      <c r="AI112" s="151">
        <f t="shared" si="55"/>
        <v>50557</v>
      </c>
      <c r="AJ112" s="151">
        <f t="shared" ref="AJ112:AV112" si="56">SUM(AJ109:AJ111)+AJ106+AJ92+AJ82+AJ69+AJ55+AJ41+AJ97</f>
        <v>42358</v>
      </c>
      <c r="AK112" s="151">
        <f t="shared" si="56"/>
        <v>46852</v>
      </c>
      <c r="AL112" s="152">
        <f t="shared" si="56"/>
        <v>215638.99999999997</v>
      </c>
      <c r="AM112" s="151">
        <f t="shared" si="56"/>
        <v>78351</v>
      </c>
      <c r="AN112" s="151">
        <f t="shared" si="56"/>
        <v>52896</v>
      </c>
      <c r="AO112" s="151">
        <f t="shared" si="56"/>
        <v>44971.999999999993</v>
      </c>
      <c r="AP112" s="151">
        <f t="shared" si="56"/>
        <v>50746.999999999993</v>
      </c>
      <c r="AQ112" s="152">
        <f t="shared" si="56"/>
        <v>226965.99999999997</v>
      </c>
      <c r="AR112" s="151">
        <f t="shared" si="56"/>
        <v>83945</v>
      </c>
      <c r="AS112" s="151">
        <f t="shared" si="56"/>
        <v>60256.000000000007</v>
      </c>
      <c r="AT112" s="151">
        <f t="shared" si="56"/>
        <v>51661.195844444446</v>
      </c>
      <c r="AU112" s="151">
        <f t="shared" si="56"/>
        <v>54600.804155555554</v>
      </c>
      <c r="AV112" s="152">
        <f t="shared" si="56"/>
        <v>250463</v>
      </c>
    </row>
    <row r="113" spans="2:61" s="276" customFormat="1" x14ac:dyDescent="0.3">
      <c r="B113" s="362" t="s">
        <v>249</v>
      </c>
      <c r="C113" s="361"/>
      <c r="D113" s="73"/>
      <c r="E113" s="73"/>
      <c r="F113" s="73"/>
      <c r="G113" s="73"/>
      <c r="H113" s="72"/>
      <c r="I113" s="73"/>
      <c r="J113" s="73"/>
      <c r="K113" s="73"/>
      <c r="L113" s="73"/>
      <c r="M113" s="72"/>
      <c r="N113" s="73"/>
      <c r="O113" s="73"/>
      <c r="P113" s="73"/>
      <c r="Q113" s="73"/>
      <c r="R113" s="72"/>
      <c r="S113" s="73"/>
      <c r="T113" s="73"/>
      <c r="U113" s="73"/>
      <c r="V113" s="73"/>
      <c r="W113" s="72"/>
      <c r="X113" s="73"/>
      <c r="Y113" s="73"/>
      <c r="Z113" s="73"/>
      <c r="AA113" s="73"/>
      <c r="AB113" s="72"/>
      <c r="AC113" s="73"/>
      <c r="AD113" s="73"/>
      <c r="AE113" s="73"/>
      <c r="AF113" s="73"/>
      <c r="AG113" s="72"/>
      <c r="AH113" s="73"/>
      <c r="AI113" s="73"/>
      <c r="AJ113" s="73"/>
      <c r="AK113" s="73"/>
      <c r="AL113" s="72"/>
      <c r="AM113" s="73"/>
      <c r="AN113" s="73"/>
      <c r="AO113" s="73"/>
      <c r="AP113" s="73"/>
      <c r="AQ113" s="72"/>
      <c r="AR113" s="73"/>
      <c r="AS113" s="73"/>
      <c r="AT113" s="73"/>
      <c r="AU113" s="73"/>
      <c r="AV113" s="72"/>
    </row>
    <row r="114" spans="2:61" s="94" customFormat="1" hidden="1" outlineLevel="1" x14ac:dyDescent="0.3">
      <c r="B114" s="396" t="s">
        <v>250</v>
      </c>
      <c r="C114" s="397"/>
      <c r="D114" s="41"/>
      <c r="E114" s="41"/>
      <c r="F114" s="41"/>
      <c r="G114" s="41"/>
      <c r="H114" s="71"/>
      <c r="I114" s="41"/>
      <c r="J114" s="41"/>
      <c r="K114" s="41"/>
      <c r="L114" s="41"/>
      <c r="M114" s="71"/>
      <c r="N114" s="41"/>
      <c r="O114" s="41"/>
      <c r="P114" s="41">
        <v>100.68</v>
      </c>
      <c r="Q114" s="41">
        <v>100.67</v>
      </c>
      <c r="R114" s="71"/>
      <c r="S114" s="41">
        <v>99.22</v>
      </c>
      <c r="T114" s="41">
        <v>99.8</v>
      </c>
      <c r="U114" s="41">
        <v>100.83</v>
      </c>
      <c r="V114" s="41">
        <v>101.95</v>
      </c>
      <c r="W114" s="71"/>
      <c r="X114" s="41">
        <v>101.38</v>
      </c>
      <c r="Y114" s="41">
        <v>102.9</v>
      </c>
      <c r="Z114" s="41">
        <v>102.38</v>
      </c>
      <c r="AA114" s="41">
        <v>103.24</v>
      </c>
      <c r="AB114" s="71"/>
      <c r="AC114" s="41">
        <v>108.05</v>
      </c>
      <c r="AD114" s="41">
        <v>114.45</v>
      </c>
      <c r="AE114" s="41">
        <v>114.83</v>
      </c>
      <c r="AF114" s="41">
        <v>118.83</v>
      </c>
      <c r="AG114" s="71"/>
      <c r="AH114" s="41">
        <v>120.78</v>
      </c>
      <c r="AI114" s="41">
        <v>123.26</v>
      </c>
      <c r="AJ114" s="41">
        <v>120.42</v>
      </c>
      <c r="AK114" s="41">
        <v>121.5</v>
      </c>
      <c r="AL114" s="71"/>
      <c r="AM114" s="41">
        <v>125.52</v>
      </c>
      <c r="AN114" s="41"/>
      <c r="AO114" s="41"/>
      <c r="AP114" s="41"/>
      <c r="AQ114" s="71"/>
      <c r="AR114" s="41"/>
      <c r="AS114" s="41"/>
      <c r="AT114" s="41"/>
      <c r="AU114" s="41"/>
      <c r="AV114" s="71"/>
    </row>
    <row r="115" spans="2:61" s="94" customFormat="1" hidden="1" outlineLevel="1" x14ac:dyDescent="0.3">
      <c r="B115" s="396" t="s">
        <v>254</v>
      </c>
      <c r="C115" s="397"/>
      <c r="D115" s="41"/>
      <c r="E115" s="41"/>
      <c r="F115" s="41"/>
      <c r="G115" s="41"/>
      <c r="H115" s="71"/>
      <c r="I115" s="41"/>
      <c r="J115" s="41"/>
      <c r="K115" s="41"/>
      <c r="L115" s="41"/>
      <c r="M115" s="71"/>
      <c r="N115" s="41"/>
      <c r="O115" s="44"/>
      <c r="P115" s="44"/>
      <c r="Q115" s="44"/>
      <c r="R115" s="43"/>
      <c r="S115" s="44"/>
      <c r="T115" s="44"/>
      <c r="U115" s="44">
        <f>U114/P114-1</f>
        <v>1.4898688915374603E-3</v>
      </c>
      <c r="V115" s="44">
        <f>V114/Q114-1</f>
        <v>1.2714810767855411E-2</v>
      </c>
      <c r="W115" s="43"/>
      <c r="X115" s="44">
        <f>X114/S114-1</f>
        <v>2.1769804474904175E-2</v>
      </c>
      <c r="Y115" s="44">
        <f>Y114/T114-1</f>
        <v>3.106212424849697E-2</v>
      </c>
      <c r="Z115" s="44">
        <f>Z114/U114-1</f>
        <v>1.5372409005256271E-2</v>
      </c>
      <c r="AA115" s="44">
        <f>AA114/V114-1</f>
        <v>1.2653261402648219E-2</v>
      </c>
      <c r="AB115" s="43"/>
      <c r="AC115" s="44">
        <f>AC114/X114-1</f>
        <v>6.5792069441704459E-2</v>
      </c>
      <c r="AD115" s="44">
        <f>AD114/Y114-1</f>
        <v>0.11224489795918369</v>
      </c>
      <c r="AE115" s="44">
        <f>AE114/Z114-1</f>
        <v>0.12160578237937103</v>
      </c>
      <c r="AF115" s="44">
        <f>AF114/AA114-1</f>
        <v>0.15100736148779537</v>
      </c>
      <c r="AG115" s="43"/>
      <c r="AH115" s="44">
        <f>AH114/AC114-1</f>
        <v>0.11781582600647855</v>
      </c>
      <c r="AI115" s="44">
        <f>AI114/AD114-1</f>
        <v>7.6976845784185288E-2</v>
      </c>
      <c r="AJ115" s="44">
        <f>AJ114/AE114-1</f>
        <v>4.8680658364538942E-2</v>
      </c>
      <c r="AK115" s="44">
        <f>AK114/AF114-1</f>
        <v>2.2469073466296452E-2</v>
      </c>
      <c r="AL115" s="43"/>
      <c r="AM115" s="44">
        <f>AM114/AH114-1</f>
        <v>3.9244908097367137E-2</v>
      </c>
      <c r="AN115" s="44"/>
      <c r="AO115" s="44"/>
      <c r="AP115" s="44"/>
      <c r="AQ115" s="43"/>
      <c r="AR115" s="44"/>
      <c r="AS115" s="44"/>
      <c r="AT115" s="44"/>
      <c r="AU115" s="44"/>
      <c r="AV115" s="43"/>
      <c r="AW115" s="277"/>
      <c r="AX115" s="277"/>
      <c r="AY115" s="277"/>
      <c r="AZ115" s="277"/>
      <c r="BA115" s="277"/>
      <c r="BB115" s="277"/>
      <c r="BC115" s="277"/>
      <c r="BD115" s="277"/>
      <c r="BE115" s="277"/>
      <c r="BF115" s="277"/>
      <c r="BG115" s="277"/>
      <c r="BH115" s="277"/>
      <c r="BI115" s="277"/>
    </row>
    <row r="116" spans="2:61" ht="15" customHeight="1" collapsed="1" x14ac:dyDescent="0.45">
      <c r="B116" s="409" t="s">
        <v>150</v>
      </c>
      <c r="C116" s="410"/>
      <c r="D116" s="168"/>
      <c r="E116" s="168"/>
      <c r="F116" s="168"/>
      <c r="G116" s="168"/>
      <c r="H116" s="169"/>
      <c r="I116" s="168"/>
      <c r="J116" s="168"/>
      <c r="K116" s="168"/>
      <c r="L116" s="168"/>
      <c r="M116" s="169"/>
      <c r="N116" s="168"/>
      <c r="O116" s="168"/>
      <c r="P116" s="168"/>
      <c r="Q116" s="168"/>
      <c r="R116" s="169"/>
      <c r="S116" s="168"/>
      <c r="T116" s="168"/>
      <c r="U116" s="168"/>
      <c r="V116" s="168"/>
      <c r="W116" s="169"/>
      <c r="X116" s="168"/>
      <c r="Y116" s="168"/>
      <c r="Z116" s="168"/>
      <c r="AA116" s="168"/>
      <c r="AB116" s="169"/>
      <c r="AC116" s="170"/>
      <c r="AD116" s="168"/>
      <c r="AE116" s="168"/>
      <c r="AF116" s="168"/>
      <c r="AG116" s="171"/>
      <c r="AH116" s="168"/>
      <c r="AI116" s="168"/>
      <c r="AJ116" s="168"/>
      <c r="AK116" s="168"/>
      <c r="AL116" s="171"/>
      <c r="AM116" s="168"/>
      <c r="AN116" s="168"/>
      <c r="AO116" s="168"/>
      <c r="AP116" s="168"/>
      <c r="AQ116" s="171"/>
      <c r="AR116" s="168"/>
      <c r="AS116" s="168"/>
      <c r="AT116" s="168"/>
      <c r="AU116" s="168"/>
      <c r="AV116" s="171"/>
    </row>
    <row r="117" spans="2:61" outlineLevel="1" x14ac:dyDescent="0.3">
      <c r="B117" s="392" t="s">
        <v>16</v>
      </c>
      <c r="C117" s="393"/>
      <c r="D117" s="16"/>
      <c r="E117" s="16"/>
      <c r="F117" s="16"/>
      <c r="G117" s="25"/>
      <c r="H117" s="13"/>
      <c r="I117" s="16">
        <f t="shared" ref="I117:AV117" si="57">I11/D11-1</f>
        <v>0.7050946885162277</v>
      </c>
      <c r="J117" s="16">
        <f t="shared" si="57"/>
        <v>0.82732054226238971</v>
      </c>
      <c r="K117" s="16">
        <f t="shared" si="57"/>
        <v>0.8198089171974523</v>
      </c>
      <c r="L117" s="25">
        <f t="shared" si="57"/>
        <v>0.38966720739320659</v>
      </c>
      <c r="M117" s="13">
        <f t="shared" si="57"/>
        <v>0.65962437715599842</v>
      </c>
      <c r="N117" s="16">
        <f t="shared" si="57"/>
        <v>0.73265771661493595</v>
      </c>
      <c r="O117" s="16">
        <f t="shared" si="57"/>
        <v>0.5886001540519723</v>
      </c>
      <c r="P117" s="16">
        <f t="shared" si="57"/>
        <v>0.2258233873508102</v>
      </c>
      <c r="Q117" s="25">
        <f t="shared" si="57"/>
        <v>0.27223204810753443</v>
      </c>
      <c r="R117" s="13">
        <f t="shared" si="57"/>
        <v>0.44581474193756976</v>
      </c>
      <c r="S117" s="16">
        <f t="shared" si="57"/>
        <v>0.17652644983057431</v>
      </c>
      <c r="T117" s="16">
        <f t="shared" si="57"/>
        <v>0.11271882815291168</v>
      </c>
      <c r="U117" s="16">
        <f t="shared" si="57"/>
        <v>8.5657996173942319E-3</v>
      </c>
      <c r="V117" s="25">
        <f t="shared" si="57"/>
        <v>4.1872879942167707E-2</v>
      </c>
      <c r="W117" s="13">
        <f t="shared" si="57"/>
        <v>9.2020855163953197E-2</v>
      </c>
      <c r="X117" s="16">
        <f t="shared" si="57"/>
        <v>5.6538009979454129E-2</v>
      </c>
      <c r="Y117" s="16">
        <f t="shared" si="57"/>
        <v>4.6854574226544043E-2</v>
      </c>
      <c r="Z117" s="16">
        <f t="shared" si="57"/>
        <v>5.9706140475044522E-2</v>
      </c>
      <c r="AA117" s="25">
        <f t="shared" si="57"/>
        <v>0.12411934244235701</v>
      </c>
      <c r="AB117" s="13">
        <f t="shared" si="57"/>
        <v>6.9539523725937524E-2</v>
      </c>
      <c r="AC117" s="16">
        <f t="shared" si="57"/>
        <v>0.29525645032468661</v>
      </c>
      <c r="AD117" s="16">
        <f t="shared" si="57"/>
        <v>0.27086710774218981</v>
      </c>
      <c r="AE117" s="16">
        <f t="shared" si="57"/>
        <v>0.32520303483650359</v>
      </c>
      <c r="AF117" s="25">
        <f t="shared" si="57"/>
        <v>0.22263371554732569</v>
      </c>
      <c r="AG117" s="13">
        <f t="shared" si="57"/>
        <v>0.27856341803659834</v>
      </c>
      <c r="AH117" s="16">
        <f t="shared" si="57"/>
        <v>1.7064571911151516E-2</v>
      </c>
      <c r="AI117" s="16">
        <f t="shared" si="57"/>
        <v>-0.12847784864678502</v>
      </c>
      <c r="AJ117" s="16">
        <f t="shared" si="57"/>
        <v>-0.14609414373551055</v>
      </c>
      <c r="AK117" s="25">
        <f t="shared" si="57"/>
        <v>-9.0270091842876821E-2</v>
      </c>
      <c r="AL117" s="13">
        <f t="shared" si="57"/>
        <v>-7.7342061913013738E-2</v>
      </c>
      <c r="AM117" s="16">
        <f t="shared" si="57"/>
        <v>3.2673450021088124E-2</v>
      </c>
      <c r="AN117" s="16">
        <f t="shared" si="57"/>
        <v>4.626461221987066E-2</v>
      </c>
      <c r="AO117" s="16">
        <f t="shared" si="57"/>
        <v>6.1712073280135726E-2</v>
      </c>
      <c r="AP117" s="25">
        <f t="shared" si="57"/>
        <v>8.3134124477076687E-2</v>
      </c>
      <c r="AQ117" s="13">
        <f t="shared" si="57"/>
        <v>5.2527604004841466E-2</v>
      </c>
      <c r="AR117" s="16">
        <f t="shared" si="57"/>
        <v>7.1396663731158494E-2</v>
      </c>
      <c r="AS117" s="16">
        <f t="shared" si="57"/>
        <v>0.13914095583787067</v>
      </c>
      <c r="AT117" s="16">
        <f t="shared" si="57"/>
        <v>0.14874134671449912</v>
      </c>
      <c r="AU117" s="25">
        <f t="shared" si="57"/>
        <v>7.5941516849381552E-2</v>
      </c>
      <c r="AV117" s="13">
        <f t="shared" si="57"/>
        <v>0.10352651939056945</v>
      </c>
    </row>
    <row r="118" spans="2:61" outlineLevel="1" x14ac:dyDescent="0.3">
      <c r="B118" s="392" t="s">
        <v>17</v>
      </c>
      <c r="C118" s="393"/>
      <c r="D118" s="16"/>
      <c r="E118" s="16">
        <f>E11/D11-1</f>
        <v>-0.13925907033093154</v>
      </c>
      <c r="F118" s="16">
        <f>F11/E11-1</f>
        <v>0.16304911474924078</v>
      </c>
      <c r="G118" s="16">
        <f>G11/F11-1</f>
        <v>0.29573248407643304</v>
      </c>
      <c r="H118" s="13"/>
      <c r="I118" s="16">
        <f>I11/G11-1</f>
        <v>0.31450621835520809</v>
      </c>
      <c r="J118" s="16">
        <f>J11/I11-1</f>
        <v>-7.7558804831532102E-2</v>
      </c>
      <c r="K118" s="16">
        <f>K11/J11-1</f>
        <v>0.15826813151173624</v>
      </c>
      <c r="L118" s="16">
        <f>L11/K11-1</f>
        <v>-1.0535158027370373E-2</v>
      </c>
      <c r="M118" s="13"/>
      <c r="N118" s="16">
        <f>N11/L11-1</f>
        <v>0.63894587902369993</v>
      </c>
      <c r="O118" s="16">
        <f>O11/N11-1</f>
        <v>-0.15425290829430427</v>
      </c>
      <c r="P118" s="16">
        <f>P11/O11-1</f>
        <v>-0.1062369213494615</v>
      </c>
      <c r="Q118" s="16">
        <f>Q11/P11-1</f>
        <v>2.6925163464009305E-2</v>
      </c>
      <c r="R118" s="13"/>
      <c r="S118" s="16">
        <f>S11/Q11-1</f>
        <v>0.51565367291330699</v>
      </c>
      <c r="T118" s="16">
        <f>T11/S11-1</f>
        <v>-0.20012107425887882</v>
      </c>
      <c r="U118" s="16">
        <f>U11/T11-1</f>
        <v>-0.18989519069788774</v>
      </c>
      <c r="V118" s="16">
        <f>V11/U11-1</f>
        <v>6.0838547122271658E-2</v>
      </c>
      <c r="W118" s="13"/>
      <c r="X118" s="16">
        <f>X11/V11-1</f>
        <v>0.53698761742100776</v>
      </c>
      <c r="Y118" s="16">
        <f>Y11/X11-1</f>
        <v>-0.20745216515609266</v>
      </c>
      <c r="Z118" s="16">
        <f>Z11/Y11-1</f>
        <v>-0.17995005038776668</v>
      </c>
      <c r="AA118" s="16">
        <f>AA11/Z11-1</f>
        <v>0.12532058132079493</v>
      </c>
      <c r="AB118" s="13"/>
      <c r="AC118" s="120">
        <f>AC11/AA11-1</f>
        <v>0.77098022458039561</v>
      </c>
      <c r="AD118" s="120">
        <f>AD11/AC11-1</f>
        <v>-0.2223756350621322</v>
      </c>
      <c r="AE118" s="120">
        <f>AE11/AD11-1</f>
        <v>-0.14488881227374595</v>
      </c>
      <c r="AF118" s="120">
        <f>AF11/AE11-1</f>
        <v>3.8221953432113764E-2</v>
      </c>
      <c r="AG118" s="18"/>
      <c r="AH118" s="16">
        <f>AH11/AF11-1</f>
        <v>0.47321411234733302</v>
      </c>
      <c r="AI118" s="16">
        <f>AI11/AH11-1</f>
        <v>-0.33365404892450445</v>
      </c>
      <c r="AJ118" s="16">
        <f>AJ11/AI11-1</f>
        <v>-0.16217338845263762</v>
      </c>
      <c r="AK118" s="16">
        <f>AK11/AJ11-1</f>
        <v>0.10609566079607169</v>
      </c>
      <c r="AL118" s="18"/>
      <c r="AM118" s="120">
        <f>AM11/AK11-1</f>
        <v>0.6723085460599334</v>
      </c>
      <c r="AN118" s="16">
        <f>AN11/AM11-1</f>
        <v>-0.32488417505839107</v>
      </c>
      <c r="AO118" s="16">
        <f>AO11/AN11-1</f>
        <v>-0.14980338777979441</v>
      </c>
      <c r="AP118" s="16">
        <f>AP11/AO11-1</f>
        <v>0.12841323490171663</v>
      </c>
      <c r="AQ118" s="18"/>
      <c r="AR118" s="16">
        <f>AR11/AP11-1</f>
        <v>0.65418645437168732</v>
      </c>
      <c r="AS118" s="16">
        <f>AS11/AR11-1</f>
        <v>-0.28219667639525869</v>
      </c>
      <c r="AT118" s="16">
        <f>AT11/AS11-1</f>
        <v>-0.14263814650085571</v>
      </c>
      <c r="AU118" s="16">
        <f>AU11/AT11-1</f>
        <v>5.6901669871570082E-2</v>
      </c>
      <c r="AV118" s="116"/>
    </row>
    <row r="119" spans="2:61" outlineLevel="1" x14ac:dyDescent="0.3">
      <c r="B119" s="392" t="s">
        <v>22</v>
      </c>
      <c r="C119" s="393"/>
      <c r="D119" s="38">
        <f t="shared" ref="D119:AN119" si="58">D13/D11</f>
        <v>0.40878658419945163</v>
      </c>
      <c r="E119" s="38">
        <f t="shared" si="58"/>
        <v>0.41669753315060376</v>
      </c>
      <c r="F119" s="38">
        <f t="shared" si="58"/>
        <v>0.39082802547770701</v>
      </c>
      <c r="G119" s="38">
        <f t="shared" si="58"/>
        <v>0.36926706975372364</v>
      </c>
      <c r="H119" s="13">
        <f t="shared" si="58"/>
        <v>0.39377539287083174</v>
      </c>
      <c r="I119" s="38">
        <f t="shared" si="58"/>
        <v>0.38510152948655624</v>
      </c>
      <c r="J119" s="38">
        <f t="shared" si="58"/>
        <v>0.4142376454372238</v>
      </c>
      <c r="K119" s="38">
        <f t="shared" si="58"/>
        <v>0.41727625914388716</v>
      </c>
      <c r="L119" s="38">
        <f t="shared" si="58"/>
        <v>0.40254686947293949</v>
      </c>
      <c r="M119" s="13">
        <f t="shared" si="58"/>
        <v>0.40478895878945764</v>
      </c>
      <c r="N119" s="38">
        <f t="shared" si="58"/>
        <v>0.44683055273778949</v>
      </c>
      <c r="O119" s="38">
        <f t="shared" si="58"/>
        <v>0.4737406216505895</v>
      </c>
      <c r="P119" s="38">
        <f t="shared" si="58"/>
        <v>0.42811866487736633</v>
      </c>
      <c r="Q119" s="38">
        <f t="shared" si="58"/>
        <v>0.40040593894233445</v>
      </c>
      <c r="R119" s="13">
        <f t="shared" si="58"/>
        <v>0.43871239808827661</v>
      </c>
      <c r="S119" s="38">
        <f t="shared" si="58"/>
        <v>0.38633695333137658</v>
      </c>
      <c r="T119" s="38">
        <f t="shared" si="58"/>
        <v>0.37495126482122787</v>
      </c>
      <c r="U119" s="38">
        <f t="shared" si="58"/>
        <v>0.36871160433711747</v>
      </c>
      <c r="V119" s="38">
        <f t="shared" si="58"/>
        <v>0.37016972672929122</v>
      </c>
      <c r="W119" s="13">
        <f t="shared" si="58"/>
        <v>0.37624480720847231</v>
      </c>
      <c r="X119" s="38">
        <f t="shared" si="58"/>
        <v>0.37931034482758619</v>
      </c>
      <c r="Y119" s="38">
        <f t="shared" si="58"/>
        <v>0.39317793453971872</v>
      </c>
      <c r="Z119" s="38">
        <f t="shared" si="58"/>
        <v>0.39364714682624491</v>
      </c>
      <c r="AA119" s="38">
        <f t="shared" si="58"/>
        <v>0.38005365239892697</v>
      </c>
      <c r="AB119" s="13">
        <f t="shared" si="58"/>
        <v>0.38588035777783858</v>
      </c>
      <c r="AC119" s="37">
        <f t="shared" si="58"/>
        <v>0.39867826646469789</v>
      </c>
      <c r="AD119" s="37">
        <f t="shared" si="58"/>
        <v>0.40779176004137219</v>
      </c>
      <c r="AE119" s="37">
        <f t="shared" si="58"/>
        <v>0.3967543594395726</v>
      </c>
      <c r="AF119" s="37">
        <f t="shared" si="58"/>
        <v>0.39898254402827127</v>
      </c>
      <c r="AG119" s="114">
        <f t="shared" si="58"/>
        <v>0.40059902017414373</v>
      </c>
      <c r="AH119" s="37">
        <f t="shared" si="58"/>
        <v>0.40097796288485871</v>
      </c>
      <c r="AI119" s="150">
        <f t="shared" si="58"/>
        <v>0.39403050022746605</v>
      </c>
      <c r="AJ119" s="150">
        <f t="shared" si="58"/>
        <v>0.38023513858066954</v>
      </c>
      <c r="AK119" s="150">
        <f t="shared" si="58"/>
        <v>0.38019721676769402</v>
      </c>
      <c r="AL119" s="119">
        <f t="shared" si="58"/>
        <v>0.39075955648097049</v>
      </c>
      <c r="AM119" s="37">
        <f t="shared" si="58"/>
        <v>0.38513867085295656</v>
      </c>
      <c r="AN119" s="37">
        <f t="shared" si="58"/>
        <v>0.38927329098608593</v>
      </c>
      <c r="AO119" s="345">
        <v>0.38190000000000002</v>
      </c>
      <c r="AP119" s="344">
        <v>0.38329999999999997</v>
      </c>
      <c r="AQ119" s="114">
        <f>AQ13/AQ11</f>
        <v>0.38504944308839212</v>
      </c>
      <c r="AR119" s="344">
        <v>0.38519999999999999</v>
      </c>
      <c r="AS119" s="344">
        <v>0.38869999999999999</v>
      </c>
      <c r="AT119" s="135">
        <v>0.38</v>
      </c>
      <c r="AU119" s="135">
        <v>0.38</v>
      </c>
      <c r="AV119" s="114">
        <f>AV13/AV11</f>
        <v>0.3838358607858246</v>
      </c>
    </row>
    <row r="120" spans="2:61" outlineLevel="1" x14ac:dyDescent="0.3">
      <c r="B120" s="396" t="s">
        <v>23</v>
      </c>
      <c r="C120" s="397"/>
      <c r="D120" s="38">
        <f t="shared" ref="D120:AV120" si="59">D17/D11</f>
        <v>0.30128164254288081</v>
      </c>
      <c r="E120" s="38">
        <f t="shared" si="59"/>
        <v>0.29476257500555597</v>
      </c>
      <c r="F120" s="38">
        <f t="shared" si="59"/>
        <v>0.2696815286624204</v>
      </c>
      <c r="G120" s="38">
        <f t="shared" si="59"/>
        <v>0.26775795113798356</v>
      </c>
      <c r="H120" s="13">
        <f t="shared" si="59"/>
        <v>0.28187044844768111</v>
      </c>
      <c r="I120" s="38">
        <f t="shared" si="59"/>
        <v>0.29269660820462962</v>
      </c>
      <c r="J120" s="38">
        <f t="shared" si="59"/>
        <v>0.31921190254185755</v>
      </c>
      <c r="K120" s="38">
        <f t="shared" si="59"/>
        <v>0.32826992404886074</v>
      </c>
      <c r="L120" s="38">
        <f t="shared" si="59"/>
        <v>0.30810045985143264</v>
      </c>
      <c r="M120" s="13">
        <f t="shared" si="59"/>
        <v>0.31215068961376086</v>
      </c>
      <c r="N120" s="38">
        <f t="shared" si="59"/>
        <v>0.37424729674314205</v>
      </c>
      <c r="O120" s="38">
        <f t="shared" si="59"/>
        <v>0.39258919001684273</v>
      </c>
      <c r="P120" s="38">
        <f t="shared" si="59"/>
        <v>0.33043999657368017</v>
      </c>
      <c r="Q120" s="38">
        <f t="shared" si="59"/>
        <v>0.30428738252794307</v>
      </c>
      <c r="R120" s="13">
        <f t="shared" si="59"/>
        <v>0.35295959311984054</v>
      </c>
      <c r="S120" s="38">
        <f t="shared" si="59"/>
        <v>0.31571030231875552</v>
      </c>
      <c r="T120" s="38">
        <f t="shared" si="59"/>
        <v>0.28800770589179642</v>
      </c>
      <c r="U120" s="38">
        <f t="shared" si="59"/>
        <v>0.26048183902839511</v>
      </c>
      <c r="V120" s="38">
        <f t="shared" si="59"/>
        <v>0.26766652433817251</v>
      </c>
      <c r="W120" s="13">
        <f t="shared" si="59"/>
        <v>0.28669475162366159</v>
      </c>
      <c r="X120" s="38">
        <f t="shared" si="59"/>
        <v>0.30320866756953851</v>
      </c>
      <c r="Y120" s="38">
        <f t="shared" si="59"/>
        <v>0.29779170135389738</v>
      </c>
      <c r="Z120" s="38">
        <f t="shared" si="59"/>
        <v>0.27468476170121819</v>
      </c>
      <c r="AA120" s="38">
        <f t="shared" si="59"/>
        <v>0.26505709469885813</v>
      </c>
      <c r="AB120" s="13">
        <f t="shared" si="59"/>
        <v>0.28722339232473537</v>
      </c>
      <c r="AC120" s="37">
        <f t="shared" si="59"/>
        <v>0.32501776163219348</v>
      </c>
      <c r="AD120" s="37">
        <f t="shared" si="59"/>
        <v>0.31508360627478021</v>
      </c>
      <c r="AE120" s="37">
        <f t="shared" si="59"/>
        <v>0.28390283237576858</v>
      </c>
      <c r="AF120" s="37">
        <f t="shared" si="59"/>
        <v>0.28393623424787867</v>
      </c>
      <c r="AG120" s="114">
        <f t="shared" si="59"/>
        <v>0.30477290717326661</v>
      </c>
      <c r="AH120" s="37">
        <f t="shared" si="59"/>
        <v>0.31857602277520036</v>
      </c>
      <c r="AI120" s="37">
        <f t="shared" si="59"/>
        <v>0.27665802955080404</v>
      </c>
      <c r="AJ120" s="37">
        <f t="shared" si="59"/>
        <v>0.23856178289815383</v>
      </c>
      <c r="AK120" s="37">
        <f t="shared" si="59"/>
        <v>0.25102450268931958</v>
      </c>
      <c r="AL120" s="114">
        <f t="shared" si="59"/>
        <v>0.27835410106706115</v>
      </c>
      <c r="AM120" s="37">
        <f t="shared" si="59"/>
        <v>0.29813276154739571</v>
      </c>
      <c r="AN120" s="37">
        <f t="shared" si="59"/>
        <v>0.2665040834845735</v>
      </c>
      <c r="AO120" s="37">
        <f t="shared" si="59"/>
        <v>0.23299908846388476</v>
      </c>
      <c r="AP120" s="37">
        <f t="shared" si="59"/>
        <v>0.24494049073108026</v>
      </c>
      <c r="AQ120" s="114">
        <f t="shared" si="59"/>
        <v>0.26596243529659935</v>
      </c>
      <c r="AR120" s="37">
        <f t="shared" si="59"/>
        <v>0.29173942781497675</v>
      </c>
      <c r="AS120" s="37">
        <f t="shared" si="59"/>
        <v>0.26155928817047447</v>
      </c>
      <c r="AT120" s="37">
        <f t="shared" si="59"/>
        <v>0.23499999999999999</v>
      </c>
      <c r="AU120" s="37">
        <f t="shared" si="59"/>
        <v>0.23500000000000004</v>
      </c>
      <c r="AV120" s="114">
        <f t="shared" si="59"/>
        <v>0.26040633840498723</v>
      </c>
    </row>
    <row r="121" spans="2:61" outlineLevel="1" x14ac:dyDescent="0.3">
      <c r="B121" s="396" t="s">
        <v>33</v>
      </c>
      <c r="C121" s="397"/>
      <c r="D121" s="38">
        <f t="shared" ref="D121:AV121" si="60">D21/D11</f>
        <v>0.21539246317668814</v>
      </c>
      <c r="E121" s="38">
        <f t="shared" si="60"/>
        <v>0.22772057189421438</v>
      </c>
      <c r="F121" s="38">
        <f t="shared" si="60"/>
        <v>0.20719745222929936</v>
      </c>
      <c r="G121" s="38">
        <f t="shared" si="60"/>
        <v>0.2117681757852824</v>
      </c>
      <c r="H121" s="13">
        <f t="shared" si="60"/>
        <v>0.21484093522422384</v>
      </c>
      <c r="I121" s="38">
        <f t="shared" si="60"/>
        <v>0.22452413896264165</v>
      </c>
      <c r="J121" s="38">
        <f t="shared" si="60"/>
        <v>0.24271293631167146</v>
      </c>
      <c r="K121" s="38">
        <f t="shared" si="60"/>
        <v>0.25578383675755134</v>
      </c>
      <c r="L121" s="38">
        <f t="shared" si="60"/>
        <v>0.23427661832331093</v>
      </c>
      <c r="M121" s="13">
        <f t="shared" si="60"/>
        <v>0.2394664153941376</v>
      </c>
      <c r="N121" s="38">
        <f t="shared" si="60"/>
        <v>0.28195886301340295</v>
      </c>
      <c r="O121" s="38">
        <f t="shared" si="60"/>
        <v>0.2965855152350329</v>
      </c>
      <c r="P121" s="38">
        <f t="shared" si="60"/>
        <v>0.25194871941295721</v>
      </c>
      <c r="Q121" s="38">
        <f t="shared" si="60"/>
        <v>0.2286325974531502</v>
      </c>
      <c r="R121" s="13">
        <f t="shared" si="60"/>
        <v>0.26665090602397323</v>
      </c>
      <c r="S121" s="38">
        <f t="shared" si="60"/>
        <v>0.23991047842676841</v>
      </c>
      <c r="T121" s="38">
        <f t="shared" si="60"/>
        <v>0.2189528243469486</v>
      </c>
      <c r="U121" s="38">
        <f t="shared" si="60"/>
        <v>0.19534014664666083</v>
      </c>
      <c r="V121" s="38">
        <f t="shared" si="60"/>
        <v>0.20046968403074295</v>
      </c>
      <c r="W121" s="13">
        <f t="shared" si="60"/>
        <v>0.21670469837926393</v>
      </c>
      <c r="X121" s="38">
        <f t="shared" si="60"/>
        <v>0.2269680869535021</v>
      </c>
      <c r="Y121" s="38">
        <f t="shared" si="60"/>
        <v>0.22396266923717303</v>
      </c>
      <c r="Z121" s="38">
        <f t="shared" si="60"/>
        <v>0.20698867279333191</v>
      </c>
      <c r="AA121" s="38">
        <f t="shared" si="60"/>
        <v>0.20100657597986848</v>
      </c>
      <c r="AB121" s="13">
        <f t="shared" si="60"/>
        <v>0.21614376760852322</v>
      </c>
      <c r="AC121" s="37">
        <f t="shared" si="60"/>
        <v>0.24161181785278624</v>
      </c>
      <c r="AD121" s="37">
        <f t="shared" si="60"/>
        <v>0.2339079469057059</v>
      </c>
      <c r="AE121" s="37">
        <f t="shared" si="60"/>
        <v>0.21524039915331117</v>
      </c>
      <c r="AF121" s="37">
        <f t="shared" si="60"/>
        <v>0.21599580590668144</v>
      </c>
      <c r="AG121" s="50">
        <f t="shared" si="60"/>
        <v>0.22845773698735639</v>
      </c>
      <c r="AH121" s="37">
        <f t="shared" si="60"/>
        <v>0.24199968367777308</v>
      </c>
      <c r="AI121" s="37">
        <f t="shared" si="60"/>
        <v>0.20800284827026921</v>
      </c>
      <c r="AJ121" s="37">
        <f t="shared" si="60"/>
        <v>0.18405023844374144</v>
      </c>
      <c r="AK121" s="37">
        <f t="shared" si="60"/>
        <v>0.19239306753180227</v>
      </c>
      <c r="AL121" s="114">
        <f t="shared" si="60"/>
        <v>0.211867983064288</v>
      </c>
      <c r="AM121" s="37">
        <f t="shared" si="60"/>
        <v>0.22834424576584855</v>
      </c>
      <c r="AN121" s="37">
        <f t="shared" si="60"/>
        <v>0.20850347852389595</v>
      </c>
      <c r="AO121" s="37">
        <f t="shared" si="60"/>
        <v>0.18103895934729122</v>
      </c>
      <c r="AP121" s="37">
        <f t="shared" si="60"/>
        <v>0.18850211017510979</v>
      </c>
      <c r="AQ121" s="114">
        <f t="shared" si="60"/>
        <v>0.20543870299878703</v>
      </c>
      <c r="AR121" s="37">
        <f t="shared" si="60"/>
        <v>0.22087952972306013</v>
      </c>
      <c r="AS121" s="37">
        <f t="shared" si="60"/>
        <v>0.20016739732901354</v>
      </c>
      <c r="AT121" s="37">
        <f t="shared" si="60"/>
        <v>0.18159700620557526</v>
      </c>
      <c r="AU121" s="37">
        <f t="shared" si="60"/>
        <v>0.181287734874061</v>
      </c>
      <c r="AV121" s="114">
        <f t="shared" si="60"/>
        <v>0.19916312359938676</v>
      </c>
    </row>
    <row r="122" spans="2:61" outlineLevel="1" x14ac:dyDescent="0.3">
      <c r="B122" s="396" t="s">
        <v>9</v>
      </c>
      <c r="C122" s="397"/>
      <c r="D122" s="16">
        <f t="shared" ref="D122:AN122" si="61">D20/D19</f>
        <v>0.2900378310214376</v>
      </c>
      <c r="E122" s="16">
        <f t="shared" si="61"/>
        <v>0.23703152146934722</v>
      </c>
      <c r="F122" s="16">
        <f t="shared" si="61"/>
        <v>0.24207828518173347</v>
      </c>
      <c r="G122" s="16">
        <f t="shared" si="61"/>
        <v>0.21113349203442594</v>
      </c>
      <c r="H122" s="13">
        <f t="shared" si="61"/>
        <v>0.24417475728155341</v>
      </c>
      <c r="I122" s="16">
        <f t="shared" si="61"/>
        <v>0.24601280924274771</v>
      </c>
      <c r="J122" s="16">
        <f t="shared" si="61"/>
        <v>0.24215189873417722</v>
      </c>
      <c r="K122" s="16">
        <f t="shared" si="61"/>
        <v>0.23484451889854466</v>
      </c>
      <c r="L122" s="16">
        <f t="shared" si="61"/>
        <v>0.24661585712660675</v>
      </c>
      <c r="M122" s="13">
        <f t="shared" si="61"/>
        <v>0.24215757930127174</v>
      </c>
      <c r="N122" s="16">
        <f t="shared" si="61"/>
        <v>0.2525032900383361</v>
      </c>
      <c r="O122" s="16">
        <f t="shared" si="61"/>
        <v>0.25173834663919648</v>
      </c>
      <c r="P122" s="16">
        <f t="shared" si="61"/>
        <v>0.25604923699519433</v>
      </c>
      <c r="Q122" s="16">
        <f t="shared" si="61"/>
        <v>0.24511153952079318</v>
      </c>
      <c r="R122" s="13">
        <f t="shared" si="61"/>
        <v>0.25160052364471064</v>
      </c>
      <c r="S122" s="16">
        <f t="shared" si="61"/>
        <v>0.25995925758261657</v>
      </c>
      <c r="T122" s="16">
        <f t="shared" si="61"/>
        <v>0.26020922123208057</v>
      </c>
      <c r="U122" s="16">
        <f t="shared" si="61"/>
        <v>0.2686804451510334</v>
      </c>
      <c r="V122" s="16">
        <f t="shared" si="61"/>
        <v>0.25939071280686188</v>
      </c>
      <c r="W122" s="13">
        <f t="shared" si="61"/>
        <v>0.26154919748778788</v>
      </c>
      <c r="X122" s="38">
        <f t="shared" si="61"/>
        <v>0.26184425998080074</v>
      </c>
      <c r="Y122" s="38">
        <f t="shared" si="61"/>
        <v>0.26016789694601244</v>
      </c>
      <c r="Z122" s="38">
        <f t="shared" si="61"/>
        <v>0.26096909576497518</v>
      </c>
      <c r="AA122" s="38">
        <f t="shared" si="61"/>
        <v>0.26194211994421202</v>
      </c>
      <c r="AB122" s="13">
        <f t="shared" si="61"/>
        <v>0.26126058747639436</v>
      </c>
      <c r="AC122" s="37">
        <f t="shared" si="61"/>
        <v>0.26179554390563564</v>
      </c>
      <c r="AD122" s="37">
        <f t="shared" si="61"/>
        <v>0.26906916612798965</v>
      </c>
      <c r="AE122" s="37">
        <f t="shared" si="61"/>
        <v>0.26228148967042081</v>
      </c>
      <c r="AF122" s="37">
        <f t="shared" si="61"/>
        <v>0.26145266232903996</v>
      </c>
      <c r="AG122" s="50">
        <f t="shared" si="61"/>
        <v>0.26368337585327173</v>
      </c>
      <c r="AH122" s="37">
        <f t="shared" si="61"/>
        <v>0.25279778618809262</v>
      </c>
      <c r="AI122" s="37">
        <f t="shared" si="61"/>
        <v>0.25639937774006505</v>
      </c>
      <c r="AJ122" s="37">
        <f t="shared" si="61"/>
        <v>0.25532524596427547</v>
      </c>
      <c r="AK122" s="37">
        <f t="shared" si="61"/>
        <v>0.26042008532983263</v>
      </c>
      <c r="AL122" s="50">
        <f t="shared" si="61"/>
        <v>0.25557257381216192</v>
      </c>
      <c r="AM122" s="37">
        <f t="shared" si="61"/>
        <v>0.26009098428453264</v>
      </c>
      <c r="AN122" s="37">
        <f t="shared" si="61"/>
        <v>0.24891037864342141</v>
      </c>
      <c r="AO122" s="345">
        <v>0.255</v>
      </c>
      <c r="AP122" s="135">
        <v>0.26</v>
      </c>
      <c r="AQ122" s="114">
        <f>AQ20/AQ19</f>
        <v>0.25656753175218516</v>
      </c>
      <c r="AR122" s="136">
        <v>0.26</v>
      </c>
      <c r="AS122" s="136">
        <v>0.26</v>
      </c>
      <c r="AT122" s="136">
        <v>0.26</v>
      </c>
      <c r="AU122" s="136">
        <v>0.26</v>
      </c>
      <c r="AV122" s="115">
        <f>AV20/AV19</f>
        <v>0.26000000000000006</v>
      </c>
    </row>
    <row r="123" spans="2:61" outlineLevel="1" x14ac:dyDescent="0.3">
      <c r="B123" s="392" t="s">
        <v>19</v>
      </c>
      <c r="C123" s="393"/>
      <c r="D123" s="38">
        <f t="shared" ref="D123:AN123" si="62">D15/D11</f>
        <v>8.2127144041318628E-2</v>
      </c>
      <c r="E123" s="38">
        <f t="shared" si="62"/>
        <v>9.0377064967775395E-2</v>
      </c>
      <c r="F123" s="38">
        <f t="shared" si="62"/>
        <v>9.1592356687898085E-2</v>
      </c>
      <c r="G123" s="38">
        <f t="shared" si="62"/>
        <v>7.7225581281030325E-2</v>
      </c>
      <c r="H123" s="13">
        <f t="shared" si="62"/>
        <v>8.4584131851284022E-2</v>
      </c>
      <c r="I123" s="38">
        <f t="shared" si="62"/>
        <v>7.0902359672413151E-2</v>
      </c>
      <c r="J123" s="38">
        <f t="shared" si="62"/>
        <v>7.147200713503872E-2</v>
      </c>
      <c r="K123" s="38">
        <f t="shared" si="62"/>
        <v>6.7026005390080856E-2</v>
      </c>
      <c r="L123" s="38">
        <f t="shared" si="62"/>
        <v>7.1630703926423775E-2</v>
      </c>
      <c r="M123" s="13">
        <f t="shared" si="62"/>
        <v>7.0199262810741903E-2</v>
      </c>
      <c r="N123" s="38">
        <f t="shared" si="62"/>
        <v>5.6223426067813435E-2</v>
      </c>
      <c r="O123" s="38">
        <f t="shared" si="62"/>
        <v>5.9689685091614354E-2</v>
      </c>
      <c r="P123" s="38">
        <f t="shared" si="62"/>
        <v>7.2666533420894838E-2</v>
      </c>
      <c r="Q123" s="38">
        <f t="shared" si="62"/>
        <v>7.0928098759939939E-2</v>
      </c>
      <c r="R123" s="13">
        <f t="shared" si="62"/>
        <v>6.4150075395506934E-2</v>
      </c>
      <c r="S123" s="38">
        <f t="shared" si="62"/>
        <v>5.209862048723217E-2</v>
      </c>
      <c r="T123" s="38">
        <f t="shared" si="62"/>
        <v>6.1280187143086487E-2</v>
      </c>
      <c r="U123" s="38">
        <f t="shared" si="62"/>
        <v>7.4880389547886644E-2</v>
      </c>
      <c r="V123" s="38">
        <f t="shared" si="62"/>
        <v>7.1333262169086253E-2</v>
      </c>
      <c r="W123" s="13">
        <f t="shared" si="62"/>
        <v>6.3366684219764782E-2</v>
      </c>
      <c r="X123" s="38">
        <f t="shared" si="62"/>
        <v>5.3008993992429768E-2</v>
      </c>
      <c r="Y123" s="38">
        <f t="shared" si="62"/>
        <v>6.4233448714016567E-2</v>
      </c>
      <c r="Z123" s="38">
        <f t="shared" si="62"/>
        <v>7.6138063688822394E-2</v>
      </c>
      <c r="AA123" s="38">
        <f t="shared" si="62"/>
        <v>7.4970918500581629E-2</v>
      </c>
      <c r="AB123" s="13">
        <f t="shared" si="62"/>
        <v>6.5609015563883044E-2</v>
      </c>
      <c r="AC123" s="37">
        <f t="shared" si="62"/>
        <v>4.8258019544497918E-2</v>
      </c>
      <c r="AD123" s="37">
        <f t="shared" si="62"/>
        <v>5.9644888812273748E-2</v>
      </c>
      <c r="AE123" s="37">
        <f t="shared" si="62"/>
        <v>7.1847596008466894E-2</v>
      </c>
      <c r="AF123" s="37">
        <f t="shared" si="62"/>
        <v>7.1940350672802467E-2</v>
      </c>
      <c r="AG123" s="13">
        <f t="shared" si="62"/>
        <v>6.1309714823609952E-2</v>
      </c>
      <c r="AH123" s="37">
        <f t="shared" si="62"/>
        <v>5.0716997047659217E-2</v>
      </c>
      <c r="AI123" s="37">
        <f t="shared" si="62"/>
        <v>6.770575785746781E-2</v>
      </c>
      <c r="AJ123" s="37">
        <f t="shared" si="62"/>
        <v>8.1236130128901268E-2</v>
      </c>
      <c r="AK123" s="37">
        <f t="shared" si="62"/>
        <v>7.4319132587723047E-2</v>
      </c>
      <c r="AL123" s="13">
        <f t="shared" si="62"/>
        <v>6.5822972653369755E-2</v>
      </c>
      <c r="AM123" s="37">
        <f t="shared" si="62"/>
        <v>5.0363109596559076E-2</v>
      </c>
      <c r="AN123" s="37">
        <f t="shared" si="62"/>
        <v>7.0288868723532974E-2</v>
      </c>
      <c r="AO123" s="135">
        <v>8.8900911536115262E-2</v>
      </c>
      <c r="AP123" s="135">
        <v>8.3359509268919704E-2</v>
      </c>
      <c r="AQ123" s="115">
        <f>AQ15/AQ11</f>
        <v>7.0020605775631781E-2</v>
      </c>
      <c r="AR123" s="135">
        <v>5.846057218502327E-2</v>
      </c>
      <c r="AS123" s="135">
        <v>7.714071182952556E-2</v>
      </c>
      <c r="AT123" s="135">
        <v>8.5000000000000006E-2</v>
      </c>
      <c r="AU123" s="135">
        <v>8.5000000000000006E-2</v>
      </c>
      <c r="AV123" s="13">
        <f>AV15/AV11</f>
        <v>7.4214288993071517E-2</v>
      </c>
    </row>
    <row r="124" spans="2:61" outlineLevel="1" x14ac:dyDescent="0.3">
      <c r="B124" s="392" t="s">
        <v>20</v>
      </c>
      <c r="C124" s="393"/>
      <c r="D124" s="38">
        <f t="shared" ref="D124:AN124" si="63">D14/D11</f>
        <v>2.5377797615252183E-2</v>
      </c>
      <c r="E124" s="38">
        <f t="shared" si="63"/>
        <v>3.1557893177272388E-2</v>
      </c>
      <c r="F124" s="38">
        <f t="shared" si="63"/>
        <v>2.9554140127388533E-2</v>
      </c>
      <c r="G124" s="38">
        <f t="shared" si="63"/>
        <v>2.428353733470973E-2</v>
      </c>
      <c r="H124" s="13">
        <f t="shared" si="63"/>
        <v>2.7320812571866616E-2</v>
      </c>
      <c r="I124" s="38">
        <f t="shared" si="63"/>
        <v>2.1502561609513481E-2</v>
      </c>
      <c r="J124" s="38">
        <f t="shared" si="63"/>
        <v>2.3553735760327564E-2</v>
      </c>
      <c r="K124" s="38">
        <f t="shared" si="63"/>
        <v>2.1980329704945574E-2</v>
      </c>
      <c r="L124" s="38">
        <f t="shared" si="63"/>
        <v>2.2815705695083129E-2</v>
      </c>
      <c r="M124" s="13">
        <f t="shared" si="63"/>
        <v>2.2439006364954873E-2</v>
      </c>
      <c r="N124" s="38">
        <f t="shared" si="63"/>
        <v>1.6359829926834005E-2</v>
      </c>
      <c r="O124" s="38">
        <f t="shared" si="63"/>
        <v>2.1461746542132395E-2</v>
      </c>
      <c r="P124" s="38">
        <f t="shared" si="63"/>
        <v>2.5012134882791307E-2</v>
      </c>
      <c r="Q124" s="38">
        <f t="shared" si="63"/>
        <v>2.5190457654451427E-2</v>
      </c>
      <c r="R124" s="13">
        <f t="shared" si="63"/>
        <v>2.1602729572929181E-2</v>
      </c>
      <c r="S124" s="38">
        <f t="shared" si="63"/>
        <v>1.8528030525388907E-2</v>
      </c>
      <c r="T124" s="38">
        <f t="shared" si="63"/>
        <v>2.5663371786344976E-2</v>
      </c>
      <c r="U124" s="38">
        <f t="shared" si="63"/>
        <v>3.3349375760835714E-2</v>
      </c>
      <c r="V124" s="38">
        <f t="shared" si="63"/>
        <v>3.1169940222032452E-2</v>
      </c>
      <c r="W124" s="13">
        <f t="shared" si="63"/>
        <v>2.6183371365045931E-2</v>
      </c>
      <c r="X124" s="38">
        <f t="shared" si="63"/>
        <v>2.3092683265617947E-2</v>
      </c>
      <c r="Y124" s="38">
        <f t="shared" si="63"/>
        <v>3.1152784471804758E-2</v>
      </c>
      <c r="Z124" s="38">
        <f t="shared" si="63"/>
        <v>4.2824321436204314E-2</v>
      </c>
      <c r="AA124" s="38">
        <f t="shared" si="63"/>
        <v>4.0025639199487213E-2</v>
      </c>
      <c r="AB124" s="13">
        <f t="shared" si="63"/>
        <v>3.3047949889220163E-2</v>
      </c>
      <c r="AC124" s="37">
        <f t="shared" si="63"/>
        <v>2.5402485288006541E-2</v>
      </c>
      <c r="AD124" s="37">
        <f t="shared" si="63"/>
        <v>3.3063264954318224E-2</v>
      </c>
      <c r="AE124" s="37">
        <f t="shared" si="63"/>
        <v>4.1003931055337166E-2</v>
      </c>
      <c r="AF124" s="37">
        <f t="shared" si="63"/>
        <v>4.3105959107590144E-2</v>
      </c>
      <c r="AG124" s="13">
        <f t="shared" si="63"/>
        <v>3.4516398177267184E-2</v>
      </c>
      <c r="AH124" s="37">
        <f t="shared" si="63"/>
        <v>3.1684943061999156E-2</v>
      </c>
      <c r="AI124" s="37">
        <f t="shared" si="63"/>
        <v>4.966671281919418E-2</v>
      </c>
      <c r="AJ124" s="37">
        <f t="shared" si="63"/>
        <v>6.0437225553614429E-2</v>
      </c>
      <c r="AK124" s="37">
        <f t="shared" si="63"/>
        <v>5.4853581490651414E-2</v>
      </c>
      <c r="AL124" s="13">
        <f t="shared" si="63"/>
        <v>4.6582482760539605E-2</v>
      </c>
      <c r="AM124" s="37">
        <f t="shared" si="63"/>
        <v>3.6642799709001798E-2</v>
      </c>
      <c r="AN124" s="37">
        <f t="shared" si="63"/>
        <v>5.2480338777979432E-2</v>
      </c>
      <c r="AO124" s="135">
        <v>0.06</v>
      </c>
      <c r="AP124" s="135">
        <v>5.5E-2</v>
      </c>
      <c r="AQ124" s="13">
        <f>AQ14/AQ11</f>
        <v>4.9066402016161005E-2</v>
      </c>
      <c r="AR124" s="135">
        <v>3.5000000000000003E-2</v>
      </c>
      <c r="AS124" s="135">
        <v>0.05</v>
      </c>
      <c r="AT124" s="135">
        <v>0.06</v>
      </c>
      <c r="AU124" s="135">
        <v>0.06</v>
      </c>
      <c r="AV124" s="13">
        <f>AV14/AV11</f>
        <v>4.9215233387765865E-2</v>
      </c>
    </row>
    <row r="125" spans="2:61" x14ac:dyDescent="0.3">
      <c r="B125" s="411" t="s">
        <v>256</v>
      </c>
      <c r="C125" s="412"/>
      <c r="D125" s="172"/>
      <c r="E125" s="172"/>
      <c r="F125" s="172"/>
      <c r="G125" s="172"/>
      <c r="H125" s="173"/>
      <c r="I125" s="172"/>
      <c r="J125" s="172"/>
      <c r="K125" s="172"/>
      <c r="L125" s="172"/>
      <c r="M125" s="173"/>
      <c r="N125" s="172"/>
      <c r="O125" s="172"/>
      <c r="P125" s="172"/>
      <c r="Q125" s="172"/>
      <c r="R125" s="173"/>
      <c r="S125" s="172"/>
      <c r="T125" s="172"/>
      <c r="U125" s="172"/>
      <c r="V125" s="172"/>
      <c r="W125" s="173"/>
      <c r="X125" s="172"/>
      <c r="Y125" s="172"/>
      <c r="Z125" s="172"/>
      <c r="AA125" s="172"/>
      <c r="AB125" s="173"/>
      <c r="AC125" s="172"/>
      <c r="AD125" s="172"/>
      <c r="AE125" s="172"/>
      <c r="AF125" s="172"/>
      <c r="AG125" s="173"/>
      <c r="AH125" s="172"/>
      <c r="AI125" s="172"/>
      <c r="AJ125" s="172"/>
      <c r="AK125" s="172"/>
      <c r="AL125" s="173"/>
      <c r="AM125" s="172"/>
      <c r="AN125" s="172"/>
      <c r="AO125" s="172"/>
      <c r="AP125" s="172"/>
      <c r="AQ125" s="173"/>
      <c r="AR125" s="172"/>
      <c r="AS125" s="172"/>
      <c r="AT125" s="172"/>
      <c r="AU125" s="172"/>
      <c r="AV125" s="173"/>
    </row>
    <row r="126" spans="2:61" outlineLevel="1" x14ac:dyDescent="0.3">
      <c r="B126" s="396" t="s">
        <v>124</v>
      </c>
      <c r="C126" s="397"/>
      <c r="D126" s="38"/>
      <c r="E126" s="38">
        <f t="shared" ref="E126:G127" si="64">E22/D22-1</f>
        <v>4.4336621872584914E-3</v>
      </c>
      <c r="F126" s="38">
        <f t="shared" si="64"/>
        <v>5.1225940666499437E-3</v>
      </c>
      <c r="G126" s="38">
        <f t="shared" si="64"/>
        <v>2.6792879978088102E-3</v>
      </c>
      <c r="H126" s="13"/>
      <c r="I126" s="38">
        <f>G22/H22-1</f>
        <v>5.6957235920367388E-3</v>
      </c>
      <c r="J126" s="38">
        <f t="shared" ref="J126:L127" si="65">J22/I22-1</f>
        <v>4.244561587479101E-3</v>
      </c>
      <c r="K126" s="38">
        <f t="shared" si="65"/>
        <v>3.1542597671565531E-3</v>
      </c>
      <c r="L126" s="38">
        <f t="shared" si="65"/>
        <v>3.0378772426513656E-3</v>
      </c>
      <c r="M126" s="13"/>
      <c r="N126" s="38">
        <f>L22/M22-1</f>
        <v>5.0455634870754107E-3</v>
      </c>
      <c r="O126" s="38">
        <f t="shared" ref="O126:Q127" si="66">O22/N22-1</f>
        <v>2.7292031178003384E-3</v>
      </c>
      <c r="P126" s="38">
        <f t="shared" si="66"/>
        <v>3.2284255694732256E-3</v>
      </c>
      <c r="Q126" s="38">
        <f t="shared" si="66"/>
        <v>2.2479350414565946E-3</v>
      </c>
      <c r="R126" s="13"/>
      <c r="S126" s="38">
        <f>Q22/R22-1</f>
        <v>4.1541850585762319E-3</v>
      </c>
      <c r="T126" s="38">
        <f t="shared" ref="T126:V127" si="67">T22/S22-1</f>
        <v>7.5938635618100214E-4</v>
      </c>
      <c r="U126" s="38">
        <f t="shared" si="67"/>
        <v>-2.2360953099574421E-2</v>
      </c>
      <c r="V126" s="38">
        <f t="shared" si="67"/>
        <v>-1.5942360606191919E-2</v>
      </c>
      <c r="W126" s="13"/>
      <c r="X126" s="38">
        <f>V22/W22-1</f>
        <v>-2.308140483279908E-2</v>
      </c>
      <c r="Y126" s="38">
        <f t="shared" ref="Y126:AA127" si="68">Y22/X22-1</f>
        <v>-2.3787151032506393E-2</v>
      </c>
      <c r="Z126" s="38">
        <f t="shared" si="68"/>
        <v>5.8734917239873479</v>
      </c>
      <c r="AA126" s="38">
        <f t="shared" si="68"/>
        <v>-1.5326327495604031E-2</v>
      </c>
      <c r="AB126" s="13"/>
      <c r="AC126" s="37">
        <f>(AC22+AC130)/AA22-1</f>
        <v>-5.3538783380819854E-3</v>
      </c>
      <c r="AD126" s="37">
        <f>(AD22+AD130)/AC22-1</f>
        <v>1.2182918610792459E-3</v>
      </c>
      <c r="AE126" s="37">
        <f>(AE22+AE130)/AD22-1</f>
        <v>-5.6409480291934599E-3</v>
      </c>
      <c r="AF126" s="37">
        <f>(AF22+AF130)/AE22-1</f>
        <v>6.7778555379809369E-3</v>
      </c>
      <c r="AG126" s="13"/>
      <c r="AH126" s="37">
        <f>(AH22+AH130)/AF22-1</f>
        <v>-7.3696723694836042E-3</v>
      </c>
      <c r="AI126" s="37">
        <f>(AI22+AI130)/AH22-1</f>
        <v>4.8959835017454711E-3</v>
      </c>
      <c r="AJ126" s="37">
        <f>(AJ22+AJ130)/AI22-1</f>
        <v>3.28184344725857E-3</v>
      </c>
      <c r="AK126" s="37">
        <f>(AK22+AK130)/AJ22-1</f>
        <v>-8.7351626256555459E-3</v>
      </c>
      <c r="AL126" s="13"/>
      <c r="AM126" s="37">
        <f>(AM22+AM130)/AK22-1</f>
        <v>3.8847867004352388E-3</v>
      </c>
      <c r="AN126" s="37">
        <f>(AN22+AN130)/AM22-1</f>
        <v>-4.5809694187122219E-3</v>
      </c>
      <c r="AO126" s="135">
        <v>-1.458381310478768E-2</v>
      </c>
      <c r="AP126" s="135">
        <v>-1.7040164027228452E-2</v>
      </c>
      <c r="AQ126" s="13"/>
      <c r="AR126" s="135">
        <v>-1.4999999999999999E-2</v>
      </c>
      <c r="AS126" s="135">
        <v>-1.4999999999999999E-2</v>
      </c>
      <c r="AT126" s="135">
        <v>-1.4999999999999999E-2</v>
      </c>
      <c r="AU126" s="135">
        <v>-1.4999999999999999E-2</v>
      </c>
      <c r="AV126" s="13"/>
    </row>
    <row r="127" spans="2:61" outlineLevel="1" x14ac:dyDescent="0.3">
      <c r="B127" s="396" t="s">
        <v>125</v>
      </c>
      <c r="C127" s="397"/>
      <c r="D127" s="38"/>
      <c r="E127" s="38">
        <f t="shared" si="64"/>
        <v>3.3649241179714018E-3</v>
      </c>
      <c r="F127" s="38">
        <f t="shared" si="64"/>
        <v>4.8576301526310761E-3</v>
      </c>
      <c r="G127" s="38">
        <f t="shared" si="64"/>
        <v>1.1616095174478147E-3</v>
      </c>
      <c r="H127" s="13"/>
      <c r="I127" s="38">
        <f>G23/H23-1</f>
        <v>4.0296128564460965E-3</v>
      </c>
      <c r="J127" s="38">
        <f t="shared" si="65"/>
        <v>2.9898601945659298E-3</v>
      </c>
      <c r="K127" s="38">
        <f t="shared" si="65"/>
        <v>1.9937090253263623E-3</v>
      </c>
      <c r="L127" s="38">
        <f t="shared" si="65"/>
        <v>1.6652231661626882E-3</v>
      </c>
      <c r="M127" s="13"/>
      <c r="N127" s="38">
        <f>L23/M23-1</f>
        <v>2.911095385614626E-3</v>
      </c>
      <c r="O127" s="38">
        <f t="shared" si="66"/>
        <v>3.5270802445273031E-3</v>
      </c>
      <c r="P127" s="38">
        <f t="shared" si="66"/>
        <v>2.2923230461013855E-3</v>
      </c>
      <c r="Q127" s="38">
        <f t="shared" si="66"/>
        <v>1.3900341391299698E-3</v>
      </c>
      <c r="R127" s="13"/>
      <c r="S127" s="38">
        <f>Q23/R23-1</f>
        <v>3.1950371466489269E-3</v>
      </c>
      <c r="T127" s="38">
        <f t="shared" si="67"/>
        <v>-1.247866117267793E-3</v>
      </c>
      <c r="U127" s="38">
        <f t="shared" si="67"/>
        <v>-2.3011833600236731E-2</v>
      </c>
      <c r="V127" s="38">
        <f t="shared" si="67"/>
        <v>-1.6082848082870749E-2</v>
      </c>
      <c r="W127" s="13"/>
      <c r="X127" s="38">
        <f>V23/W23-1</f>
        <v>-2.3894731762500343E-2</v>
      </c>
      <c r="Y127" s="38">
        <f t="shared" si="68"/>
        <v>-2.4320762503161508E-2</v>
      </c>
      <c r="Z127" s="38">
        <f t="shared" si="68"/>
        <v>5.8806348405053619</v>
      </c>
      <c r="AA127" s="38">
        <f t="shared" si="68"/>
        <v>-1.4783660604794857E-2</v>
      </c>
      <c r="AB127" s="13"/>
      <c r="AC127" s="37">
        <f>(AC23+AC130)/AA23-1</f>
        <v>-5.8262822053652963E-3</v>
      </c>
      <c r="AD127" s="37">
        <f>(AD23+AD130)/AC23-1</f>
        <v>1.6077687818205622E-3</v>
      </c>
      <c r="AE127" s="37">
        <f>(AE23+AE130)/AD23-1</f>
        <v>-5.2320928890803309E-3</v>
      </c>
      <c r="AF127" s="37">
        <f>(AF23+AF130)/AE23-1</f>
        <v>5.4089388657807547E-3</v>
      </c>
      <c r="AG127" s="13"/>
      <c r="AH127" s="37">
        <f>(AH23+AH130)/AF23-1</f>
        <v>-7.3949459417549379E-3</v>
      </c>
      <c r="AI127" s="37">
        <f>(AI23+AI130)/AH23-1</f>
        <v>3.3114066890789218E-3</v>
      </c>
      <c r="AJ127" s="37">
        <f>(AJ23+AJ130)/AI23-1</f>
        <v>3.8469181915197215E-3</v>
      </c>
      <c r="AK127" s="37">
        <f>(AK23+AK130)/AJ23-1</f>
        <v>-9.2910709949614034E-3</v>
      </c>
      <c r="AL127" s="13"/>
      <c r="AM127" s="37">
        <f>(AM23+AM130)/AK23-1</f>
        <v>4.4058670881264028E-3</v>
      </c>
      <c r="AN127" s="37">
        <f>(AN23+AN130)/AM23-1</f>
        <v>-3.3239528192354761E-3</v>
      </c>
      <c r="AO127" s="135">
        <v>-1.4328112807066945E-2</v>
      </c>
      <c r="AP127" s="135">
        <v>-1.6483391810546678E-2</v>
      </c>
      <c r="AQ127" s="13"/>
      <c r="AR127" s="135">
        <v>-1.4999999999999999E-2</v>
      </c>
      <c r="AS127" s="135">
        <v>-1.4999999999999999E-2</v>
      </c>
      <c r="AT127" s="135">
        <v>-1.4999999999999999E-2</v>
      </c>
      <c r="AU127" s="135">
        <v>-1.4999999999999999E-2</v>
      </c>
      <c r="AV127" s="13"/>
    </row>
    <row r="128" spans="2:61" outlineLevel="1" x14ac:dyDescent="0.3">
      <c r="B128" s="396" t="s">
        <v>30</v>
      </c>
      <c r="C128" s="397"/>
      <c r="D128" s="38"/>
      <c r="E128" s="38"/>
      <c r="F128" s="38"/>
      <c r="G128" s="38"/>
      <c r="H128" s="13"/>
      <c r="I128" s="38"/>
      <c r="J128" s="38"/>
      <c r="K128" s="38"/>
      <c r="L128" s="38"/>
      <c r="M128" s="13"/>
      <c r="N128" s="38"/>
      <c r="O128" s="38"/>
      <c r="P128" s="38"/>
      <c r="Q128" s="38"/>
      <c r="R128" s="13"/>
      <c r="S128" s="38"/>
      <c r="T128" s="38"/>
      <c r="U128" s="38"/>
      <c r="V128" s="38"/>
      <c r="W128" s="13"/>
      <c r="X128" s="38"/>
      <c r="Y128" s="38"/>
      <c r="Z128" s="38"/>
      <c r="AA128" s="38"/>
      <c r="AB128" s="13"/>
      <c r="AC128" s="47">
        <v>109.4</v>
      </c>
      <c r="AD128" s="47">
        <v>124.11</v>
      </c>
      <c r="AE128" s="47">
        <v>128.08000000000001</v>
      </c>
      <c r="AF128" s="47">
        <v>115.15</v>
      </c>
      <c r="AG128" s="88"/>
      <c r="AH128" s="47">
        <v>129.39378378996761</v>
      </c>
      <c r="AI128" s="47">
        <v>97.54</v>
      </c>
      <c r="AJ128" s="47">
        <v>111.83138581582324</v>
      </c>
      <c r="AK128" s="47">
        <v>104.8950931984792</v>
      </c>
      <c r="AL128" s="88"/>
      <c r="AM128" s="47">
        <v>123.45636286189911</v>
      </c>
      <c r="AN128" s="47">
        <v>144.06240254360216</v>
      </c>
      <c r="AO128" s="138">
        <v>150</v>
      </c>
      <c r="AP128" s="138">
        <v>150</v>
      </c>
      <c r="AQ128" s="88"/>
      <c r="AR128" s="138">
        <f>AP128</f>
        <v>150</v>
      </c>
      <c r="AS128" s="138">
        <f>AR128</f>
        <v>150</v>
      </c>
      <c r="AT128" s="138">
        <f>AS128</f>
        <v>150</v>
      </c>
      <c r="AU128" s="138">
        <f>AT128</f>
        <v>150</v>
      </c>
      <c r="AV128" s="88"/>
    </row>
    <row r="129" spans="2:48" outlineLevel="1" x14ac:dyDescent="0.3">
      <c r="B129" s="396" t="s">
        <v>31</v>
      </c>
      <c r="C129" s="397"/>
      <c r="D129" s="38"/>
      <c r="E129" s="38"/>
      <c r="F129" s="38"/>
      <c r="G129" s="38"/>
      <c r="H129" s="13"/>
      <c r="I129" s="38"/>
      <c r="J129" s="38"/>
      <c r="K129" s="38"/>
      <c r="L129" s="38"/>
      <c r="M129" s="13"/>
      <c r="N129" s="38"/>
      <c r="O129" s="38"/>
      <c r="P129" s="38"/>
      <c r="Q129" s="38"/>
      <c r="R129" s="13"/>
      <c r="S129" s="38"/>
      <c r="T129" s="38"/>
      <c r="U129" s="38"/>
      <c r="V129" s="38"/>
      <c r="W129" s="13"/>
      <c r="X129" s="38"/>
      <c r="Y129" s="38"/>
      <c r="Z129" s="38"/>
      <c r="AA129" s="38"/>
      <c r="AB129" s="13"/>
      <c r="AC129" s="47">
        <v>5000</v>
      </c>
      <c r="AD129" s="47">
        <v>7000</v>
      </c>
      <c r="AE129" s="47">
        <v>4000</v>
      </c>
      <c r="AF129" s="47">
        <v>14026</v>
      </c>
      <c r="AG129" s="88"/>
      <c r="AH129" s="47">
        <f>3000+3000</f>
        <v>6000</v>
      </c>
      <c r="AI129" s="47">
        <v>7000</v>
      </c>
      <c r="AJ129" s="47">
        <f>6000+4000</f>
        <v>10000</v>
      </c>
      <c r="AK129" s="47">
        <v>3000</v>
      </c>
      <c r="AL129" s="88"/>
      <c r="AM129" s="47">
        <v>11000</v>
      </c>
      <c r="AN129" s="47">
        <f>3000+4001</f>
        <v>7001</v>
      </c>
      <c r="AO129" s="138">
        <v>5000</v>
      </c>
      <c r="AP129" s="138">
        <v>5000</v>
      </c>
      <c r="AQ129" s="88"/>
      <c r="AR129" s="138">
        <v>4000</v>
      </c>
      <c r="AS129" s="138">
        <v>4000</v>
      </c>
      <c r="AT129" s="138">
        <v>4000</v>
      </c>
      <c r="AU129" s="138">
        <v>4000</v>
      </c>
      <c r="AV129" s="88"/>
    </row>
    <row r="130" spans="2:48" outlineLevel="1" x14ac:dyDescent="0.3">
      <c r="B130" s="396" t="s">
        <v>152</v>
      </c>
      <c r="C130" s="397"/>
      <c r="D130" s="38"/>
      <c r="E130" s="38"/>
      <c r="F130" s="38"/>
      <c r="G130" s="38"/>
      <c r="H130" s="13"/>
      <c r="I130" s="38"/>
      <c r="J130" s="38"/>
      <c r="K130" s="38"/>
      <c r="L130" s="38"/>
      <c r="M130" s="13"/>
      <c r="N130" s="38"/>
      <c r="O130" s="38"/>
      <c r="P130" s="38"/>
      <c r="Q130" s="38"/>
      <c r="R130" s="13"/>
      <c r="S130" s="38"/>
      <c r="T130" s="38"/>
      <c r="U130" s="38"/>
      <c r="V130" s="38"/>
      <c r="W130" s="13"/>
      <c r="X130" s="38"/>
      <c r="Y130" s="38"/>
      <c r="Z130" s="87"/>
      <c r="AA130" s="87"/>
      <c r="AB130" s="13"/>
      <c r="AC130" s="137">
        <f>IF((AC129)&gt;0,(AC129/AC128),0)</f>
        <v>45.703839122486286</v>
      </c>
      <c r="AD130" s="137">
        <f>IF((AD129)&gt;0,(AD129/AD128),0)</f>
        <v>56.401579244218837</v>
      </c>
      <c r="AE130" s="137">
        <f>IF((AE129)&gt;0,(AE129/AE128),0)</f>
        <v>31.230480949406619</v>
      </c>
      <c r="AF130" s="137">
        <f>IF((AF129)&gt;0,(AF129/AF128),0)</f>
        <v>121.80633955709943</v>
      </c>
      <c r="AG130" s="88"/>
      <c r="AH130" s="47">
        <f>IF((AH129)&gt;0,(AH129/AH128),0)</f>
        <v>46.370079182004744</v>
      </c>
      <c r="AI130" s="47">
        <f>IF((AI129)&gt;0,(AI129/AI128),0)</f>
        <v>71.765429567356975</v>
      </c>
      <c r="AJ130" s="47">
        <f>IF((AJ129)&gt;0,(AJ129/AJ128),0)</f>
        <v>89.420335150537682</v>
      </c>
      <c r="AK130" s="137">
        <f>IF((AK129)&gt;0,(AK129/AK128),0)</f>
        <v>28.60000318912434</v>
      </c>
      <c r="AL130" s="179"/>
      <c r="AM130" s="47">
        <f>IF((AM129)&gt;0,(AM129/AM128),0)</f>
        <v>89.100308360005968</v>
      </c>
      <c r="AN130" s="47">
        <f>IF((AN129)&gt;0,(AN129/AN128),0)</f>
        <v>48.596995998876707</v>
      </c>
      <c r="AO130" s="47">
        <f>IF((AO129)&gt;0,(AO129/AO128),0)</f>
        <v>33.333333333333336</v>
      </c>
      <c r="AP130" s="47">
        <f>IF((AP129)&gt;0,(AP129/AP128),0)</f>
        <v>33.333333333333336</v>
      </c>
      <c r="AQ130" s="88"/>
      <c r="AR130" s="47">
        <f>IF((AR129)&gt;0,(AR129/AR128),0)</f>
        <v>26.666666666666668</v>
      </c>
      <c r="AS130" s="47">
        <f>IF((AS129)&gt;0,(AS129/AS128),0)</f>
        <v>26.666666666666668</v>
      </c>
      <c r="AT130" s="47">
        <f>IF((AT129)&gt;0,(AT129/AT128),0)</f>
        <v>26.666666666666668</v>
      </c>
      <c r="AU130" s="47">
        <f>IF((AU129)&gt;0,(AU129/AU128),0)</f>
        <v>26.666666666666668</v>
      </c>
      <c r="AV130" s="88"/>
    </row>
    <row r="131" spans="2:48" outlineLevel="1" x14ac:dyDescent="0.3">
      <c r="B131" s="413" t="s">
        <v>32</v>
      </c>
      <c r="C131" s="414"/>
      <c r="D131" s="106"/>
      <c r="E131" s="106"/>
      <c r="F131" s="106"/>
      <c r="G131" s="107"/>
      <c r="H131" s="108"/>
      <c r="I131" s="106"/>
      <c r="J131" s="106"/>
      <c r="K131" s="106"/>
      <c r="L131" s="107"/>
      <c r="M131" s="108"/>
      <c r="N131" s="106"/>
      <c r="O131" s="106"/>
      <c r="P131" s="106"/>
      <c r="Q131" s="107"/>
      <c r="R131" s="108"/>
      <c r="S131" s="106"/>
      <c r="T131" s="106"/>
      <c r="U131" s="106"/>
      <c r="V131" s="107"/>
      <c r="W131" s="108"/>
      <c r="X131" s="106"/>
      <c r="Y131" s="106"/>
      <c r="Z131" s="106"/>
      <c r="AA131" s="107"/>
      <c r="AB131" s="108"/>
      <c r="AC131" s="82">
        <v>0</v>
      </c>
      <c r="AD131" s="83">
        <v>0</v>
      </c>
      <c r="AE131" s="83">
        <v>0</v>
      </c>
      <c r="AF131" s="84">
        <v>0</v>
      </c>
      <c r="AG131" s="85"/>
      <c r="AH131" s="82">
        <v>0</v>
      </c>
      <c r="AI131" s="83">
        <v>0</v>
      </c>
      <c r="AJ131" s="84">
        <v>0</v>
      </c>
      <c r="AK131" s="84">
        <v>0</v>
      </c>
      <c r="AL131" s="85"/>
      <c r="AM131" s="82">
        <v>0</v>
      </c>
      <c r="AN131" s="83">
        <v>0</v>
      </c>
      <c r="AO131" s="84">
        <v>0</v>
      </c>
      <c r="AP131" s="84">
        <v>0</v>
      </c>
      <c r="AQ131" s="85"/>
      <c r="AR131" s="82">
        <v>0</v>
      </c>
      <c r="AS131" s="83">
        <v>0</v>
      </c>
      <c r="AT131" s="84">
        <v>0</v>
      </c>
      <c r="AU131" s="84">
        <v>0</v>
      </c>
      <c r="AV131" s="85"/>
    </row>
    <row r="132" spans="2:48" x14ac:dyDescent="0.3">
      <c r="B132" s="89"/>
      <c r="C132" s="90"/>
      <c r="D132" s="79">
        <f t="shared" ref="D132:AV132" si="69">D11*2-(D39+D112)</f>
        <v>0</v>
      </c>
      <c r="E132" s="79">
        <f t="shared" si="69"/>
        <v>0</v>
      </c>
      <c r="F132" s="79">
        <f t="shared" si="69"/>
        <v>0</v>
      </c>
      <c r="G132" s="79">
        <f t="shared" si="69"/>
        <v>0</v>
      </c>
      <c r="H132" s="79">
        <f t="shared" si="69"/>
        <v>0</v>
      </c>
      <c r="I132" s="79">
        <f t="shared" si="69"/>
        <v>0</v>
      </c>
      <c r="J132" s="79">
        <f t="shared" si="69"/>
        <v>0</v>
      </c>
      <c r="K132" s="79">
        <f t="shared" si="69"/>
        <v>0</v>
      </c>
      <c r="L132" s="79">
        <f t="shared" si="69"/>
        <v>0</v>
      </c>
      <c r="M132" s="79">
        <f t="shared" si="69"/>
        <v>0</v>
      </c>
      <c r="N132" s="79">
        <f t="shared" si="69"/>
        <v>0</v>
      </c>
      <c r="O132" s="79">
        <f t="shared" si="69"/>
        <v>0</v>
      </c>
      <c r="P132" s="79">
        <f t="shared" si="69"/>
        <v>0</v>
      </c>
      <c r="Q132" s="79">
        <f t="shared" si="69"/>
        <v>0</v>
      </c>
      <c r="R132" s="79">
        <f t="shared" si="69"/>
        <v>0</v>
      </c>
      <c r="S132" s="79">
        <f t="shared" si="69"/>
        <v>0</v>
      </c>
      <c r="T132" s="79">
        <f t="shared" si="69"/>
        <v>0</v>
      </c>
      <c r="U132" s="79">
        <f t="shared" si="69"/>
        <v>0</v>
      </c>
      <c r="V132" s="79">
        <f t="shared" si="69"/>
        <v>0</v>
      </c>
      <c r="W132" s="79">
        <f t="shared" si="69"/>
        <v>0</v>
      </c>
      <c r="X132" s="79">
        <f t="shared" si="69"/>
        <v>0</v>
      </c>
      <c r="Y132" s="79">
        <f t="shared" si="69"/>
        <v>0</v>
      </c>
      <c r="Z132" s="79">
        <f t="shared" si="69"/>
        <v>0</v>
      </c>
      <c r="AA132" s="79">
        <f t="shared" si="69"/>
        <v>0</v>
      </c>
      <c r="AB132" s="133">
        <f t="shared" si="69"/>
        <v>0</v>
      </c>
      <c r="AC132" s="133">
        <f t="shared" si="69"/>
        <v>0</v>
      </c>
      <c r="AD132" s="133">
        <f t="shared" si="69"/>
        <v>0</v>
      </c>
      <c r="AE132" s="133">
        <f t="shared" si="69"/>
        <v>0</v>
      </c>
      <c r="AF132" s="133">
        <f t="shared" si="69"/>
        <v>0</v>
      </c>
      <c r="AG132" s="133">
        <f t="shared" si="69"/>
        <v>0</v>
      </c>
      <c r="AH132" s="133">
        <f t="shared" si="69"/>
        <v>0</v>
      </c>
      <c r="AI132" s="278">
        <f t="shared" si="69"/>
        <v>0</v>
      </c>
      <c r="AJ132" s="278">
        <f t="shared" si="69"/>
        <v>0</v>
      </c>
      <c r="AK132" s="278">
        <f t="shared" si="69"/>
        <v>0</v>
      </c>
      <c r="AL132" s="133">
        <f t="shared" si="69"/>
        <v>0</v>
      </c>
      <c r="AM132" s="133">
        <f t="shared" si="69"/>
        <v>0</v>
      </c>
      <c r="AN132" s="133">
        <f t="shared" si="69"/>
        <v>0</v>
      </c>
      <c r="AO132" s="133">
        <f t="shared" si="69"/>
        <v>0</v>
      </c>
      <c r="AP132" s="133">
        <f t="shared" si="69"/>
        <v>0</v>
      </c>
      <c r="AQ132" s="133">
        <f t="shared" si="69"/>
        <v>0</v>
      </c>
      <c r="AR132" s="133">
        <f t="shared" si="69"/>
        <v>0</v>
      </c>
      <c r="AS132" s="133">
        <f t="shared" si="69"/>
        <v>0</v>
      </c>
      <c r="AT132" s="133">
        <f t="shared" si="69"/>
        <v>0</v>
      </c>
      <c r="AU132" s="133">
        <f t="shared" si="69"/>
        <v>0</v>
      </c>
      <c r="AV132" s="133">
        <f t="shared" si="69"/>
        <v>0</v>
      </c>
    </row>
    <row r="133" spans="2:48" ht="15.6" x14ac:dyDescent="0.3">
      <c r="B133" s="388" t="s">
        <v>18</v>
      </c>
      <c r="C133" s="425"/>
      <c r="D133" s="63"/>
      <c r="E133" s="59"/>
      <c r="F133" s="59"/>
      <c r="G133" s="59"/>
      <c r="I133" s="59"/>
      <c r="J133" s="59"/>
      <c r="K133" s="59"/>
      <c r="L133" s="59"/>
      <c r="N133" s="59"/>
      <c r="O133" s="59"/>
      <c r="P133" s="59"/>
      <c r="Q133" s="59"/>
      <c r="R133" s="91"/>
      <c r="S133" s="59"/>
      <c r="T133" s="59"/>
      <c r="U133" s="59"/>
      <c r="V133" s="59"/>
      <c r="W133" s="91"/>
      <c r="X133" s="59"/>
      <c r="Y133" s="59"/>
      <c r="Z133" s="59"/>
      <c r="AA133" s="59"/>
      <c r="AB133" s="91"/>
      <c r="AC133" s="59"/>
      <c r="AD133" s="59"/>
      <c r="AE133" s="59"/>
      <c r="AF133" s="59"/>
      <c r="AG133" s="59"/>
      <c r="AH133" s="59"/>
      <c r="AI133" s="59"/>
      <c r="AJ133" s="59"/>
      <c r="AK133" s="59"/>
      <c r="AL133" s="59"/>
      <c r="AM133" s="59"/>
      <c r="AN133" s="59"/>
      <c r="AO133" s="59"/>
      <c r="AP133" s="59"/>
      <c r="AQ133" s="59"/>
      <c r="AR133" s="59"/>
      <c r="AS133" s="59"/>
      <c r="AT133" s="59"/>
      <c r="AU133" s="59"/>
      <c r="AV133" s="59"/>
    </row>
    <row r="134" spans="2:48" x14ac:dyDescent="0.3">
      <c r="B134" s="103" t="s">
        <v>120</v>
      </c>
      <c r="C134" s="144">
        <v>12.501689049148835</v>
      </c>
      <c r="D134" s="369"/>
      <c r="E134" s="16"/>
      <c r="F134" s="16"/>
      <c r="G134" s="16"/>
      <c r="I134" s="61"/>
      <c r="J134" s="16"/>
      <c r="K134" s="16"/>
      <c r="L134" s="16"/>
      <c r="N134" s="61"/>
      <c r="O134" s="16"/>
      <c r="P134" s="16"/>
      <c r="Q134" s="16"/>
      <c r="R134" s="91"/>
      <c r="S134" s="61"/>
      <c r="T134" s="16"/>
      <c r="U134" s="16"/>
      <c r="V134" s="16"/>
      <c r="W134" s="91"/>
      <c r="X134" s="61"/>
      <c r="Y134" s="16"/>
      <c r="Z134" s="16"/>
      <c r="AA134" s="16"/>
      <c r="AB134" s="91"/>
      <c r="AC134" s="17"/>
      <c r="AD134" s="123"/>
      <c r="AE134" s="15"/>
      <c r="AF134" s="15"/>
      <c r="AG134" s="123"/>
      <c r="AH134" s="17"/>
      <c r="AI134" s="123"/>
      <c r="AJ134" s="15"/>
      <c r="AK134" s="15"/>
      <c r="AL134" s="123"/>
      <c r="AM134" s="17"/>
      <c r="AN134" s="123"/>
      <c r="AO134" s="15"/>
      <c r="AP134" s="15"/>
      <c r="AQ134" s="123"/>
      <c r="AR134" s="17"/>
      <c r="AS134" s="123"/>
      <c r="AT134" s="15"/>
      <c r="AU134" s="15"/>
      <c r="AV134" s="123"/>
    </row>
    <row r="135" spans="2:48" x14ac:dyDescent="0.3">
      <c r="B135" s="103" t="s">
        <v>113</v>
      </c>
      <c r="C135" s="145">
        <v>13.638604312114991</v>
      </c>
      <c r="D135" s="370"/>
      <c r="I135" s="62"/>
      <c r="N135" s="62"/>
      <c r="O135" s="91"/>
      <c r="P135" s="91"/>
      <c r="Q135" s="91"/>
      <c r="R135" s="91"/>
      <c r="S135" s="62"/>
      <c r="T135" s="91"/>
      <c r="U135" s="91"/>
      <c r="V135" s="91"/>
      <c r="W135" s="91"/>
      <c r="X135" s="62"/>
      <c r="Y135" s="91"/>
      <c r="Z135" s="91"/>
      <c r="AA135" s="91"/>
      <c r="AB135" s="91"/>
      <c r="AC135" s="91"/>
      <c r="AD135" s="91"/>
      <c r="AE135" s="92"/>
      <c r="AF135" s="92"/>
      <c r="AG135" s="92"/>
      <c r="AH135" s="91"/>
      <c r="AI135" s="91"/>
      <c r="AJ135" s="92"/>
      <c r="AK135" s="92"/>
      <c r="AL135" s="92"/>
      <c r="AM135" s="91"/>
      <c r="AN135" s="91"/>
      <c r="AO135" s="92"/>
      <c r="AP135" s="92"/>
      <c r="AQ135" s="92"/>
      <c r="AR135" s="91"/>
      <c r="AS135" s="91"/>
    </row>
    <row r="136" spans="2:48" x14ac:dyDescent="0.3">
      <c r="B136" s="103" t="s">
        <v>114</v>
      </c>
      <c r="C136" s="145">
        <v>11.850101950718685</v>
      </c>
      <c r="D136" s="370"/>
      <c r="I136" s="62"/>
      <c r="N136" s="62"/>
      <c r="O136" s="91"/>
      <c r="P136" s="91"/>
      <c r="Q136" s="91"/>
      <c r="R136" s="91"/>
      <c r="S136" s="62"/>
      <c r="T136" s="91"/>
      <c r="U136" s="91"/>
      <c r="V136" s="91"/>
      <c r="W136" s="91"/>
      <c r="X136" s="62"/>
      <c r="Y136" s="91"/>
      <c r="Z136" s="91"/>
      <c r="AA136" s="91"/>
      <c r="AB136" s="91"/>
      <c r="AC136" s="91"/>
      <c r="AD136" s="91"/>
      <c r="AE136" s="92"/>
      <c r="AF136" s="92"/>
      <c r="AG136" s="92"/>
      <c r="AH136" s="91"/>
      <c r="AI136" s="91"/>
      <c r="AJ136" s="92"/>
      <c r="AK136" s="92"/>
      <c r="AL136" s="92"/>
      <c r="AM136" s="91"/>
      <c r="AN136" s="91"/>
      <c r="AO136" s="92"/>
      <c r="AP136" s="92"/>
      <c r="AQ136" s="92"/>
      <c r="AR136" s="91"/>
      <c r="AS136" s="91"/>
    </row>
    <row r="137" spans="2:48" x14ac:dyDescent="0.3">
      <c r="B137" s="103" t="s">
        <v>34</v>
      </c>
      <c r="C137" s="146">
        <v>12.505000000000001</v>
      </c>
      <c r="D137" s="370"/>
      <c r="I137" s="62"/>
      <c r="N137" s="62"/>
      <c r="O137" s="91"/>
      <c r="P137" s="91"/>
      <c r="Q137" s="91"/>
      <c r="R137" s="91"/>
      <c r="S137" s="62"/>
      <c r="T137" s="91"/>
      <c r="U137" s="91"/>
      <c r="V137" s="91"/>
      <c r="W137" s="91"/>
      <c r="X137" s="62"/>
      <c r="Y137" s="91"/>
      <c r="Z137" s="91"/>
      <c r="AA137" s="91"/>
      <c r="AB137" s="91"/>
      <c r="AC137" s="91"/>
      <c r="AD137" s="91"/>
      <c r="AE137" s="92"/>
      <c r="AF137" s="92"/>
      <c r="AG137" s="92"/>
      <c r="AH137" s="91"/>
      <c r="AI137" s="91"/>
      <c r="AJ137" s="92"/>
      <c r="AK137" s="92"/>
      <c r="AL137" s="92"/>
      <c r="AM137" s="91"/>
      <c r="AN137" s="91"/>
      <c r="AO137" s="92"/>
      <c r="AP137" s="92"/>
      <c r="AQ137" s="92"/>
      <c r="AR137" s="91"/>
      <c r="AS137" s="91"/>
    </row>
    <row r="138" spans="2:48" x14ac:dyDescent="0.3">
      <c r="B138" s="9" t="s">
        <v>252</v>
      </c>
      <c r="C138" s="101">
        <v>30.089013259623147</v>
      </c>
      <c r="D138" s="371"/>
      <c r="E138" s="46"/>
      <c r="F138" s="46"/>
      <c r="G138" s="46"/>
      <c r="I138" s="39"/>
      <c r="J138" s="46"/>
      <c r="K138" s="46"/>
      <c r="L138" s="46"/>
      <c r="N138" s="39"/>
      <c r="O138" s="46"/>
      <c r="P138" s="46"/>
      <c r="Q138" s="46"/>
      <c r="R138" s="91"/>
      <c r="S138" s="39"/>
      <c r="T138" s="46"/>
      <c r="U138" s="46"/>
      <c r="V138" s="46"/>
      <c r="W138" s="91"/>
      <c r="X138" s="39"/>
      <c r="Y138" s="46"/>
      <c r="Z138" s="46"/>
      <c r="AA138" s="46"/>
      <c r="AB138" s="91"/>
      <c r="AC138" s="46"/>
      <c r="AD138" s="46"/>
      <c r="AE138" s="46"/>
      <c r="AF138" s="46"/>
      <c r="AG138" s="58"/>
      <c r="AH138" s="46"/>
      <c r="AI138" s="46"/>
      <c r="AJ138" s="46"/>
      <c r="AK138" s="46"/>
      <c r="AL138" s="58"/>
      <c r="AM138" s="46"/>
      <c r="AN138" s="46"/>
      <c r="AO138" s="46"/>
      <c r="AP138" s="46"/>
      <c r="AQ138" s="58"/>
      <c r="AR138" s="46"/>
      <c r="AS138" s="46"/>
      <c r="AT138" s="46"/>
      <c r="AU138" s="46"/>
      <c r="AV138" s="58"/>
    </row>
    <row r="139" spans="2:48" x14ac:dyDescent="0.3">
      <c r="B139" s="9" t="s">
        <v>251</v>
      </c>
      <c r="C139" s="101">
        <v>6.8305076241692779</v>
      </c>
      <c r="D139" s="64"/>
      <c r="E139" s="46"/>
      <c r="F139" s="46"/>
      <c r="G139" s="46"/>
      <c r="I139" s="39"/>
      <c r="J139" s="46"/>
      <c r="K139" s="46"/>
      <c r="L139" s="46"/>
      <c r="N139" s="39"/>
      <c r="O139" s="46"/>
      <c r="P139" s="46"/>
      <c r="Q139" s="46"/>
      <c r="R139" s="91"/>
      <c r="S139" s="39"/>
      <c r="T139" s="46"/>
      <c r="U139" s="46"/>
      <c r="V139" s="46"/>
      <c r="W139" s="91"/>
      <c r="X139" s="39"/>
      <c r="Y139" s="46"/>
      <c r="Z139" s="46"/>
      <c r="AA139" s="46"/>
      <c r="AB139" s="91"/>
      <c r="AC139" s="46"/>
      <c r="AD139" s="46"/>
      <c r="AE139" s="46"/>
      <c r="AF139" s="46"/>
      <c r="AG139" s="58"/>
      <c r="AH139" s="46"/>
      <c r="AI139" s="46"/>
      <c r="AJ139" s="46"/>
      <c r="AK139" s="46"/>
      <c r="AL139" s="58"/>
      <c r="AM139" s="46"/>
      <c r="AN139" s="46"/>
      <c r="AO139" s="46"/>
      <c r="AP139" s="46"/>
      <c r="AQ139" s="58"/>
      <c r="AR139" s="46"/>
      <c r="AS139" s="46"/>
      <c r="AT139" s="46"/>
      <c r="AU139" s="46"/>
      <c r="AV139" s="58"/>
    </row>
    <row r="140" spans="2:48" ht="16.2" x14ac:dyDescent="0.45">
      <c r="B140" s="9" t="s">
        <v>106</v>
      </c>
      <c r="C140" s="181">
        <f>C138-C139</f>
        <v>23.258505635453869</v>
      </c>
      <c r="D140" s="64"/>
      <c r="E140" s="46"/>
      <c r="F140" s="46"/>
      <c r="G140" s="46"/>
      <c r="I140" s="39"/>
      <c r="J140" s="46"/>
      <c r="K140" s="46"/>
      <c r="L140" s="46"/>
      <c r="N140" s="39"/>
      <c r="O140" s="46"/>
      <c r="P140" s="46"/>
      <c r="Q140" s="46"/>
      <c r="R140" s="91"/>
      <c r="S140" s="39"/>
      <c r="T140" s="46"/>
      <c r="U140" s="46"/>
      <c r="V140" s="46"/>
      <c r="W140" s="91"/>
      <c r="X140" s="39"/>
      <c r="Y140" s="46"/>
      <c r="Z140" s="46"/>
      <c r="AA140" s="46"/>
      <c r="AB140" s="91"/>
      <c r="AC140" s="46"/>
      <c r="AD140" s="46"/>
      <c r="AE140" s="46"/>
      <c r="AF140" s="46"/>
      <c r="AG140" s="58"/>
      <c r="AH140" s="46"/>
      <c r="AI140" s="46"/>
      <c r="AJ140" s="46"/>
      <c r="AK140" s="46"/>
      <c r="AL140" s="58"/>
      <c r="AM140" s="46"/>
      <c r="AN140" s="46"/>
      <c r="AO140" s="46"/>
      <c r="AP140" s="46"/>
      <c r="AQ140" s="58"/>
      <c r="AR140" s="46"/>
      <c r="AS140" s="46"/>
      <c r="AT140" s="46"/>
      <c r="AU140" s="46"/>
      <c r="AV140" s="58"/>
    </row>
    <row r="141" spans="2:48" x14ac:dyDescent="0.3">
      <c r="B141" s="60" t="s">
        <v>122</v>
      </c>
      <c r="C141" s="142">
        <f>(C137*(AO25+AP25+AR25+AS25))+C140</f>
        <v>144.99835185160515</v>
      </c>
      <c r="D141" s="65"/>
      <c r="I141" s="66"/>
      <c r="N141" s="66"/>
      <c r="O141" s="91"/>
      <c r="P141" s="91"/>
      <c r="Q141" s="91"/>
      <c r="R141" s="91"/>
      <c r="S141" s="66"/>
      <c r="T141" s="91"/>
      <c r="U141" s="91"/>
      <c r="V141" s="91"/>
      <c r="W141" s="91"/>
      <c r="X141" s="66"/>
      <c r="Y141" s="91"/>
      <c r="Z141" s="91"/>
      <c r="AA141" s="91"/>
      <c r="AB141" s="91"/>
      <c r="AC141" s="91"/>
      <c r="AD141" s="91"/>
      <c r="AE141" s="92"/>
      <c r="AF141" s="92"/>
      <c r="AG141" s="92"/>
      <c r="AH141" s="91"/>
      <c r="AI141" s="91"/>
      <c r="AJ141" s="92"/>
      <c r="AK141" s="92"/>
      <c r="AL141" s="92"/>
      <c r="AM141" s="91"/>
      <c r="AN141" s="91"/>
      <c r="AO141" s="92"/>
      <c r="AP141" s="92"/>
      <c r="AQ141" s="92"/>
      <c r="AR141" s="91"/>
      <c r="AS141" s="91"/>
    </row>
    <row r="142" spans="2:48" ht="120.6" customHeight="1" x14ac:dyDescent="0.3">
      <c r="B142" s="421" t="s">
        <v>291</v>
      </c>
      <c r="C142" s="422"/>
      <c r="D142" s="66"/>
      <c r="I142" s="66"/>
      <c r="N142" s="66"/>
      <c r="O142" s="91"/>
      <c r="P142" s="91"/>
      <c r="Q142" s="91"/>
      <c r="R142" s="91"/>
      <c r="S142" s="66"/>
      <c r="T142" s="91"/>
      <c r="U142" s="91"/>
      <c r="V142" s="91"/>
      <c r="W142" s="91"/>
      <c r="X142" s="66"/>
      <c r="Y142" s="91"/>
      <c r="Z142" s="91"/>
      <c r="AA142" s="91"/>
      <c r="AB142" s="91"/>
      <c r="AC142" s="91"/>
      <c r="AD142" s="91"/>
      <c r="AE142" s="92"/>
      <c r="AF142" s="92"/>
      <c r="AG142" s="92"/>
      <c r="AH142" s="182"/>
      <c r="AI142" s="91"/>
      <c r="AJ142" s="92"/>
      <c r="AK142" s="92"/>
      <c r="AL142" s="92"/>
      <c r="AM142" s="91"/>
      <c r="AN142" s="91"/>
      <c r="AO142" s="92"/>
      <c r="AP142" s="92"/>
      <c r="AQ142" s="92"/>
      <c r="AR142" s="91"/>
      <c r="AS142" s="91"/>
    </row>
    <row r="143" spans="2:48" ht="93" customHeight="1" x14ac:dyDescent="0.3">
      <c r="B143" s="423" t="s">
        <v>121</v>
      </c>
      <c r="C143" s="424"/>
      <c r="D143" s="66"/>
      <c r="I143" s="66"/>
      <c r="N143" s="66"/>
      <c r="O143" s="91"/>
      <c r="P143" s="91"/>
      <c r="Q143" s="91"/>
      <c r="R143" s="91"/>
      <c r="S143" s="66"/>
      <c r="T143" s="91"/>
      <c r="U143" s="91"/>
      <c r="V143" s="91"/>
      <c r="W143" s="91"/>
      <c r="X143" s="66"/>
      <c r="Y143" s="91"/>
      <c r="Z143" s="91"/>
      <c r="AA143" s="91"/>
      <c r="AB143" s="91"/>
      <c r="AC143" s="91"/>
      <c r="AD143" s="91"/>
      <c r="AE143" s="92"/>
      <c r="AF143" s="92"/>
      <c r="AG143" s="92"/>
      <c r="AH143" s="182"/>
      <c r="AI143" s="91"/>
      <c r="AJ143" s="92"/>
      <c r="AK143" s="92"/>
      <c r="AL143" s="92"/>
      <c r="AM143" s="91"/>
      <c r="AN143" s="91"/>
      <c r="AO143" s="92"/>
      <c r="AP143" s="92"/>
      <c r="AQ143" s="92"/>
      <c r="AR143" s="91"/>
      <c r="AS143" s="91"/>
    </row>
    <row r="144" spans="2:48" x14ac:dyDescent="0.3">
      <c r="B144" s="40"/>
      <c r="C144" s="1"/>
    </row>
    <row r="145" spans="2:76" ht="15.6" x14ac:dyDescent="0.3">
      <c r="B145" s="415" t="s">
        <v>287</v>
      </c>
      <c r="C145" s="416"/>
    </row>
    <row r="146" spans="2:76" x14ac:dyDescent="0.3">
      <c r="B146" s="350" t="s">
        <v>282</v>
      </c>
      <c r="C146" s="375">
        <v>4.2500000000000003E-2</v>
      </c>
      <c r="D146" s="26"/>
    </row>
    <row r="147" spans="2:76" x14ac:dyDescent="0.3">
      <c r="B147" s="9" t="s">
        <v>283</v>
      </c>
      <c r="C147" s="376">
        <v>4.4900000000000002E-2</v>
      </c>
      <c r="D147" s="26"/>
    </row>
    <row r="148" spans="2:76" x14ac:dyDescent="0.3">
      <c r="B148" s="9" t="s">
        <v>286</v>
      </c>
      <c r="C148" s="351">
        <f>C141</f>
        <v>144.99835185160515</v>
      </c>
    </row>
    <row r="149" spans="2:76" x14ac:dyDescent="0.3">
      <c r="B149" s="103" t="s">
        <v>284</v>
      </c>
      <c r="C149" s="351">
        <f>C148*(1+(C146+(2*C147)))</f>
        <v>164.18163380157253</v>
      </c>
      <c r="AB149" s="377"/>
    </row>
    <row r="150" spans="2:76" x14ac:dyDescent="0.3">
      <c r="B150" s="352" t="s">
        <v>285</v>
      </c>
      <c r="C150" s="353">
        <f>C148*(1+(C146-(2*C147)))</f>
        <v>138.13992980902424</v>
      </c>
      <c r="AB150" s="377"/>
    </row>
    <row r="151" spans="2:76" x14ac:dyDescent="0.3">
      <c r="B151" s="417" t="s">
        <v>290</v>
      </c>
      <c r="C151" s="418"/>
    </row>
    <row r="152" spans="2:76" x14ac:dyDescent="0.3">
      <c r="B152" s="417"/>
      <c r="C152" s="418"/>
    </row>
    <row r="153" spans="2:76" x14ac:dyDescent="0.3">
      <c r="B153" s="417"/>
      <c r="C153" s="418"/>
    </row>
    <row r="154" spans="2:76" x14ac:dyDescent="0.3">
      <c r="B154" s="417"/>
      <c r="C154" s="418"/>
    </row>
    <row r="155" spans="2:76" x14ac:dyDescent="0.3">
      <c r="B155" s="417"/>
      <c r="C155" s="418"/>
    </row>
    <row r="156" spans="2:76" x14ac:dyDescent="0.3">
      <c r="B156" s="417"/>
      <c r="C156" s="418"/>
    </row>
    <row r="157" spans="2:76" x14ac:dyDescent="0.3">
      <c r="B157" s="417"/>
      <c r="C157" s="418"/>
    </row>
    <row r="158" spans="2:76" x14ac:dyDescent="0.3">
      <c r="B158" s="417"/>
      <c r="C158" s="418"/>
    </row>
    <row r="159" spans="2:76" s="1" customFormat="1" x14ac:dyDescent="0.3">
      <c r="B159" s="417"/>
      <c r="C159" s="418"/>
      <c r="AE159" s="4"/>
      <c r="AF159" s="4"/>
      <c r="AG159" s="4"/>
      <c r="AJ159" s="4"/>
      <c r="AK159" s="4"/>
      <c r="AL159" s="4"/>
      <c r="AO159" s="4"/>
      <c r="AP159" s="4"/>
      <c r="AQ159" s="4"/>
      <c r="AT159" s="4"/>
      <c r="AU159" s="4"/>
      <c r="AV159" s="4"/>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row>
    <row r="160" spans="2:76" s="1" customFormat="1" x14ac:dyDescent="0.3">
      <c r="B160" s="417"/>
      <c r="C160" s="418"/>
      <c r="AE160" s="4"/>
      <c r="AF160" s="4"/>
      <c r="AG160" s="4"/>
      <c r="AJ160" s="4"/>
      <c r="AK160" s="4"/>
      <c r="AL160" s="4"/>
      <c r="AO160" s="4"/>
      <c r="AP160" s="4"/>
      <c r="AQ160" s="4"/>
      <c r="AT160" s="4"/>
      <c r="AU160" s="4"/>
      <c r="AV160" s="4"/>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row>
    <row r="161" spans="2:76" s="1" customFormat="1" x14ac:dyDescent="0.3">
      <c r="B161" s="417"/>
      <c r="C161" s="418"/>
      <c r="AE161" s="4"/>
      <c r="AF161" s="4"/>
      <c r="AG161" s="4"/>
      <c r="AJ161" s="4"/>
      <c r="AK161" s="4"/>
      <c r="AL161" s="4"/>
      <c r="AO161" s="4"/>
      <c r="AP161" s="4"/>
      <c r="AQ161" s="4"/>
      <c r="AT161" s="4"/>
      <c r="AU161" s="4"/>
      <c r="AV161" s="4"/>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row>
    <row r="162" spans="2:76" s="1" customFormat="1" x14ac:dyDescent="0.3">
      <c r="B162" s="417"/>
      <c r="C162" s="418"/>
      <c r="AE162" s="4"/>
      <c r="AF162" s="4"/>
      <c r="AG162" s="4"/>
      <c r="AJ162" s="4"/>
      <c r="AK162" s="4"/>
      <c r="AL162" s="4"/>
      <c r="AO162" s="4"/>
      <c r="AP162" s="4"/>
      <c r="AQ162" s="4"/>
      <c r="AT162" s="4"/>
      <c r="AU162" s="4"/>
      <c r="AV162" s="4"/>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row>
    <row r="163" spans="2:76" s="1" customFormat="1" x14ac:dyDescent="0.3">
      <c r="B163" s="417"/>
      <c r="C163" s="418"/>
      <c r="AE163" s="4"/>
      <c r="AF163" s="4"/>
      <c r="AG163" s="4"/>
      <c r="AJ163" s="4"/>
      <c r="AK163" s="4"/>
      <c r="AL163" s="4"/>
      <c r="AO163" s="4"/>
      <c r="AP163" s="4"/>
      <c r="AQ163" s="4"/>
      <c r="AT163" s="4"/>
      <c r="AU163" s="4"/>
      <c r="AV163" s="4"/>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row>
    <row r="164" spans="2:76" s="1" customFormat="1" x14ac:dyDescent="0.3">
      <c r="B164" s="417"/>
      <c r="C164" s="418"/>
      <c r="AE164" s="4"/>
      <c r="AF164" s="4"/>
      <c r="AG164" s="4"/>
      <c r="AJ164" s="4"/>
      <c r="AK164" s="4"/>
      <c r="AL164" s="4"/>
      <c r="AO164" s="4"/>
      <c r="AP164" s="4"/>
      <c r="AQ164" s="4"/>
      <c r="AT164" s="4"/>
      <c r="AU164" s="4"/>
      <c r="AV164" s="4"/>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row>
    <row r="165" spans="2:76" s="1" customFormat="1" x14ac:dyDescent="0.3">
      <c r="B165" s="417"/>
      <c r="C165" s="418"/>
      <c r="AE165" s="4"/>
      <c r="AF165" s="4"/>
      <c r="AG165" s="4"/>
      <c r="AJ165" s="4"/>
      <c r="AK165" s="4"/>
      <c r="AL165" s="4"/>
      <c r="AO165" s="4"/>
      <c r="AP165" s="4"/>
      <c r="AQ165" s="4"/>
      <c r="AT165" s="4"/>
      <c r="AU165" s="4"/>
      <c r="AV165" s="4"/>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row>
    <row r="166" spans="2:76" s="1" customFormat="1" x14ac:dyDescent="0.3">
      <c r="B166" s="419"/>
      <c r="C166" s="420"/>
      <c r="AE166" s="4"/>
      <c r="AF166" s="4"/>
      <c r="AG166" s="4"/>
      <c r="AJ166" s="4"/>
      <c r="AK166" s="4"/>
      <c r="AL166" s="4"/>
      <c r="AO166" s="4"/>
      <c r="AP166" s="4"/>
      <c r="AQ166" s="4"/>
      <c r="AT166" s="4"/>
      <c r="AU166" s="4"/>
      <c r="AV166" s="4"/>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row>
  </sheetData>
  <dataConsolidate/>
  <mergeCells count="89">
    <mergeCell ref="B145:C145"/>
    <mergeCell ref="B151:C166"/>
    <mergeCell ref="B142:C142"/>
    <mergeCell ref="B143:C143"/>
    <mergeCell ref="B133:C133"/>
    <mergeCell ref="B131:C131"/>
    <mergeCell ref="B125:C125"/>
    <mergeCell ref="B126:C126"/>
    <mergeCell ref="B127:C127"/>
    <mergeCell ref="B128:C128"/>
    <mergeCell ref="B129:C129"/>
    <mergeCell ref="B130:C130"/>
    <mergeCell ref="B120:C120"/>
    <mergeCell ref="B121:C121"/>
    <mergeCell ref="B122:C122"/>
    <mergeCell ref="B123:C123"/>
    <mergeCell ref="B124:C124"/>
    <mergeCell ref="B119:C119"/>
    <mergeCell ref="B106:C106"/>
    <mergeCell ref="B107:C107"/>
    <mergeCell ref="B109:C109"/>
    <mergeCell ref="B110:C110"/>
    <mergeCell ref="B111:C111"/>
    <mergeCell ref="B112:C112"/>
    <mergeCell ref="B114:C114"/>
    <mergeCell ref="B115:C115"/>
    <mergeCell ref="B116:C116"/>
    <mergeCell ref="B117:C117"/>
    <mergeCell ref="B118:C118"/>
    <mergeCell ref="B101:C101"/>
    <mergeCell ref="B73:C73"/>
    <mergeCell ref="B74:C74"/>
    <mergeCell ref="B82:C82"/>
    <mergeCell ref="B83:C83"/>
    <mergeCell ref="B84:C84"/>
    <mergeCell ref="B85:C85"/>
    <mergeCell ref="B86:C86"/>
    <mergeCell ref="B91:C91"/>
    <mergeCell ref="B95:C95"/>
    <mergeCell ref="B97:C97"/>
    <mergeCell ref="B98:C98"/>
    <mergeCell ref="B72:C72"/>
    <mergeCell ref="B45:C45"/>
    <mergeCell ref="B46:C46"/>
    <mergeCell ref="B55:C55"/>
    <mergeCell ref="B56:C56"/>
    <mergeCell ref="B57:C57"/>
    <mergeCell ref="B58:C58"/>
    <mergeCell ref="B59:C59"/>
    <mergeCell ref="B60:C60"/>
    <mergeCell ref="B69:C69"/>
    <mergeCell ref="B70:C70"/>
    <mergeCell ref="B71:C71"/>
    <mergeCell ref="B44:C44"/>
    <mergeCell ref="B32:C32"/>
    <mergeCell ref="B33:C33"/>
    <mergeCell ref="B34:C34"/>
    <mergeCell ref="B35:C35"/>
    <mergeCell ref="B36:C36"/>
    <mergeCell ref="B37:C37"/>
    <mergeCell ref="B38:C38"/>
    <mergeCell ref="B39:C39"/>
    <mergeCell ref="B41:C41"/>
    <mergeCell ref="B42:C42"/>
    <mergeCell ref="B43:C43"/>
    <mergeCell ref="B31:C31"/>
    <mergeCell ref="B18:C18"/>
    <mergeCell ref="B19:C19"/>
    <mergeCell ref="B20:C20"/>
    <mergeCell ref="B21:C21"/>
    <mergeCell ref="B22:C22"/>
    <mergeCell ref="B23:C23"/>
    <mergeCell ref="B24:C24"/>
    <mergeCell ref="B25:C25"/>
    <mergeCell ref="B26:C26"/>
    <mergeCell ref="B29:C29"/>
    <mergeCell ref="B30:C30"/>
    <mergeCell ref="B17:C17"/>
    <mergeCell ref="B2:C2"/>
    <mergeCell ref="B3:C3"/>
    <mergeCell ref="B4:C4"/>
    <mergeCell ref="B5:C5"/>
    <mergeCell ref="B9:C9"/>
    <mergeCell ref="B10:C10"/>
    <mergeCell ref="B11:C11"/>
    <mergeCell ref="B12:C12"/>
    <mergeCell ref="B13:C13"/>
    <mergeCell ref="B14:C14"/>
    <mergeCell ref="B15:C15"/>
  </mergeCells>
  <pageMargins left="0.7" right="0.7" top="0.75" bottom="0.75" header="0.3" footer="0.3"/>
  <pageSetup scale="40" orientation="landscape" r:id="rId1"/>
  <headerFooter>
    <oddFooter>&amp;CGutenberg Research LLC prohibits the redistribution of this document in whole or part without the written permission. 
© Gutenberg Research LLC 2016.</oddFooter>
  </headerFooter>
  <rowBreaks count="1" manualBreakCount="1">
    <brk id="13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AAPL Earnings Model (Tier 2)</vt:lpstr>
      <vt:lpstr>'AAPL Earnings Model (Tier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