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C:\Users\Admin\Documents\Gutenberg\BOOK Feb-2017\Templates to Publish with Book\"/>
    </mc:Choice>
  </mc:AlternateContent>
  <xr:revisionPtr revIDLastSave="0" documentId="13_ncr:1_{FA000BEE-2E43-4A58-9320-12618AC951DC}" xr6:coauthVersionLast="40" xr6:coauthVersionMax="40" xr10:uidLastSave="{00000000-0000-0000-0000-000000000000}"/>
  <bookViews>
    <workbookView xWindow="480" yWindow="168" windowWidth="8952" windowHeight="7344" tabRatio="700" xr2:uid="{00000000-000D-0000-FFFF-FFFF00000000}"/>
  </bookViews>
  <sheets>
    <sheet name="AAPL Earnings Model (Tier 1)" sheetId="3" r:id="rId1"/>
    <sheet name="Dollar Index" sheetId="18" state="hidden" r:id="rId2"/>
    <sheet name="Guidance Charts" sheetId="17" r:id="rId3"/>
    <sheet name="Consensus Estimates" sheetId="20" r:id="rId4"/>
    <sheet name="Product Charts" sheetId="21" r:id="rId5"/>
  </sheets>
  <definedNames>
    <definedName name="_xlnm._FilterDatabase" localSheetId="1" hidden="1">'Dollar Index'!$A$15:$C$1273</definedName>
    <definedName name="DATA" localSheetId="3">#REF!</definedName>
    <definedName name="DATA" localSheetId="4">#REF!</definedName>
    <definedName name="DATA">#REF!</definedName>
    <definedName name="_xlnm.Print_Area" localSheetId="0">'AAPL Earnings Model (Tier 1)'!$A$1:$BF$275</definedName>
  </definedNames>
  <calcPr calcId="181029" concurrentCalc="0"/>
</workbook>
</file>

<file path=xl/calcChain.xml><?xml version="1.0" encoding="utf-8"?>
<calcChain xmlns="http://schemas.openxmlformats.org/spreadsheetml/2006/main">
  <c r="C312" i="3" l="1"/>
  <c r="C311" i="3"/>
  <c r="AN137" i="3"/>
  <c r="AN138" i="3"/>
  <c r="AN135" i="3"/>
  <c r="AM138" i="3"/>
  <c r="AM135" i="3"/>
  <c r="AN134" i="3"/>
  <c r="AM134" i="3"/>
  <c r="AK138" i="3"/>
  <c r="AK135" i="3"/>
  <c r="AJ137" i="3"/>
  <c r="AJ138" i="3"/>
  <c r="AJ135" i="3"/>
  <c r="AI138" i="3"/>
  <c r="AI135" i="3"/>
  <c r="AH137" i="3"/>
  <c r="AH138" i="3"/>
  <c r="AH135" i="3"/>
  <c r="AK134" i="3"/>
  <c r="AJ134" i="3"/>
  <c r="AI134" i="3"/>
  <c r="AH134" i="3"/>
  <c r="C278" i="3"/>
  <c r="C283" i="3"/>
  <c r="C285" i="3"/>
  <c r="AO21" i="3"/>
  <c r="AO76" i="3"/>
  <c r="AO77" i="3"/>
  <c r="AP76" i="3"/>
  <c r="AU76" i="3"/>
  <c r="AZ76" i="3"/>
  <c r="BE76" i="3"/>
  <c r="BJ76" i="3"/>
  <c r="AS76" i="3"/>
  <c r="AX76" i="3"/>
  <c r="BC76" i="3"/>
  <c r="AR76" i="3"/>
  <c r="AW76" i="3"/>
  <c r="BB76" i="3"/>
  <c r="BG76" i="3"/>
  <c r="AO75" i="3"/>
  <c r="AP62" i="3"/>
  <c r="AO62" i="3"/>
  <c r="AO63" i="3"/>
  <c r="AS62" i="3"/>
  <c r="AX62" i="3"/>
  <c r="AR62" i="3"/>
  <c r="AW62" i="3"/>
  <c r="AS48" i="3"/>
  <c r="AR48" i="3"/>
  <c r="AP48" i="3"/>
  <c r="AU48" i="3"/>
  <c r="AO48" i="3"/>
  <c r="AT48" i="3"/>
  <c r="Z105" i="3"/>
  <c r="Y105" i="3"/>
  <c r="X105" i="3"/>
  <c r="U105" i="3"/>
  <c r="T105" i="3"/>
  <c r="S105" i="3"/>
  <c r="P105" i="3"/>
  <c r="O105" i="3"/>
  <c r="N105" i="3"/>
  <c r="AI100" i="3"/>
  <c r="AH100" i="3"/>
  <c r="AN99" i="3"/>
  <c r="AS99" i="3"/>
  <c r="AM99" i="3"/>
  <c r="AK99" i="3"/>
  <c r="AJ99" i="3"/>
  <c r="AJ100" i="3"/>
  <c r="AF100" i="3"/>
  <c r="AK100" i="3"/>
  <c r="AR49" i="3"/>
  <c r="AM100" i="3"/>
  <c r="AS49" i="3"/>
  <c r="AP63" i="3"/>
  <c r="BC77" i="3"/>
  <c r="AT76" i="3"/>
  <c r="AY76" i="3"/>
  <c r="BD76" i="3"/>
  <c r="BI76" i="3"/>
  <c r="BJ77" i="3"/>
  <c r="AW77" i="3"/>
  <c r="AO49" i="3"/>
  <c r="AP77" i="3"/>
  <c r="BB77" i="3"/>
  <c r="AT62" i="3"/>
  <c r="AT63" i="3"/>
  <c r="AR63" i="3"/>
  <c r="BH76" i="3"/>
  <c r="AT49" i="3"/>
  <c r="AY48" i="3"/>
  <c r="AU49" i="3"/>
  <c r="AZ48" i="3"/>
  <c r="AX63" i="3"/>
  <c r="BC62" i="3"/>
  <c r="BB62" i="3"/>
  <c r="BG77" i="3"/>
  <c r="BG75" i="3"/>
  <c r="AX99" i="3"/>
  <c r="AO99" i="3"/>
  <c r="AW48" i="3"/>
  <c r="AU62" i="3"/>
  <c r="AP49" i="3"/>
  <c r="AS63" i="3"/>
  <c r="AX77" i="3"/>
  <c r="AN100" i="3"/>
  <c r="AP99" i="3"/>
  <c r="AX48" i="3"/>
  <c r="AR77" i="3"/>
  <c r="AR99" i="3"/>
  <c r="AS77" i="3"/>
  <c r="AN114" i="3"/>
  <c r="AM114" i="3"/>
  <c r="AK114" i="3"/>
  <c r="AJ114" i="3"/>
  <c r="AI114" i="3"/>
  <c r="AH114" i="3"/>
  <c r="AK113" i="3"/>
  <c r="AJ113" i="3"/>
  <c r="AI113" i="3"/>
  <c r="AH113" i="3"/>
  <c r="AE114" i="3"/>
  <c r="AD114" i="3"/>
  <c r="AC114" i="3"/>
  <c r="AF113" i="3"/>
  <c r="AE113" i="3"/>
  <c r="AD113" i="3"/>
  <c r="Z114" i="3"/>
  <c r="Y114" i="3"/>
  <c r="X114" i="3"/>
  <c r="Z113" i="3"/>
  <c r="Y113" i="3"/>
  <c r="T114" i="3"/>
  <c r="U114" i="3"/>
  <c r="S114" i="3"/>
  <c r="P113" i="3"/>
  <c r="J63" i="3"/>
  <c r="K63" i="3"/>
  <c r="O63" i="3"/>
  <c r="P63" i="3"/>
  <c r="T63" i="3"/>
  <c r="U63" i="3"/>
  <c r="Y63" i="3"/>
  <c r="Z63" i="3"/>
  <c r="AD63" i="3"/>
  <c r="AE63" i="3"/>
  <c r="AF63" i="3"/>
  <c r="AH63" i="3"/>
  <c r="AJ63" i="3"/>
  <c r="AK63" i="3"/>
  <c r="AM63" i="3"/>
  <c r="K64" i="3"/>
  <c r="N64" i="3"/>
  <c r="O64" i="3"/>
  <c r="P64" i="3"/>
  <c r="S64" i="3"/>
  <c r="T64" i="3"/>
  <c r="U64" i="3"/>
  <c r="X64" i="3"/>
  <c r="Y64" i="3"/>
  <c r="Z64" i="3"/>
  <c r="AC64" i="3"/>
  <c r="AD64" i="3"/>
  <c r="AE64" i="3"/>
  <c r="AH64" i="3"/>
  <c r="AI64" i="3"/>
  <c r="AJ64" i="3"/>
  <c r="AK64" i="3"/>
  <c r="AM64" i="3"/>
  <c r="AN64" i="3"/>
  <c r="AT77" i="3"/>
  <c r="BI77" i="3"/>
  <c r="BE77" i="3"/>
  <c r="BD77" i="3"/>
  <c r="AU77" i="3"/>
  <c r="AZ77" i="3"/>
  <c r="AY77" i="3"/>
  <c r="AY62" i="3"/>
  <c r="AY63" i="3"/>
  <c r="BH77" i="3"/>
  <c r="AR100" i="3"/>
  <c r="AW99" i="3"/>
  <c r="AX100" i="3"/>
  <c r="AU63" i="3"/>
  <c r="AZ62" i="3"/>
  <c r="BE48" i="3"/>
  <c r="AZ49" i="3"/>
  <c r="AP100" i="3"/>
  <c r="AU99" i="3"/>
  <c r="AW49" i="3"/>
  <c r="BB48" i="3"/>
  <c r="AS100" i="3"/>
  <c r="AW63" i="3"/>
  <c r="BG62" i="3"/>
  <c r="AO100" i="3"/>
  <c r="AT99" i="3"/>
  <c r="BC63" i="3"/>
  <c r="BH62" i="3"/>
  <c r="BD48" i="3"/>
  <c r="AY49" i="3"/>
  <c r="AX49" i="3"/>
  <c r="BC48" i="3"/>
  <c r="BC99" i="3"/>
  <c r="BH99" i="3"/>
  <c r="AN192" i="3"/>
  <c r="AN191" i="3"/>
  <c r="AN188" i="3"/>
  <c r="AN189" i="3"/>
  <c r="AN186" i="3"/>
  <c r="AN187" i="3"/>
  <c r="AN184" i="3"/>
  <c r="AN185" i="3"/>
  <c r="AN183" i="3"/>
  <c r="AN181" i="3"/>
  <c r="AN180" i="3"/>
  <c r="AN163" i="3"/>
  <c r="AN237" i="3"/>
  <c r="AN236" i="3"/>
  <c r="AN235" i="3"/>
  <c r="AN234" i="3"/>
  <c r="AN233" i="3"/>
  <c r="AN232" i="3"/>
  <c r="AN231" i="3"/>
  <c r="AN230" i="3"/>
  <c r="AN226" i="3"/>
  <c r="AN225" i="3"/>
  <c r="AN224" i="3"/>
  <c r="AN261" i="3"/>
  <c r="AN223" i="3"/>
  <c r="AN222" i="3"/>
  <c r="AN221" i="3"/>
  <c r="AN220" i="3"/>
  <c r="AN216" i="3"/>
  <c r="AN215" i="3"/>
  <c r="AN214" i="3"/>
  <c r="AN213" i="3"/>
  <c r="AN212" i="3"/>
  <c r="AN211" i="3"/>
  <c r="AN210" i="3"/>
  <c r="AN207" i="3"/>
  <c r="AN206" i="3"/>
  <c r="AN205" i="3"/>
  <c r="AN256" i="3"/>
  <c r="AN204" i="3"/>
  <c r="AN193" i="3"/>
  <c r="AN131" i="3"/>
  <c r="AN130" i="3"/>
  <c r="AN129" i="3"/>
  <c r="AN123" i="3"/>
  <c r="AM123" i="3"/>
  <c r="AK123" i="3"/>
  <c r="AJ123" i="3"/>
  <c r="AH123" i="3"/>
  <c r="AF123" i="3"/>
  <c r="AE123" i="3"/>
  <c r="AC123" i="3"/>
  <c r="AB123" i="3"/>
  <c r="AA123" i="3"/>
  <c r="Z123" i="3"/>
  <c r="Y123" i="3"/>
  <c r="X123" i="3"/>
  <c r="W123" i="3"/>
  <c r="V123" i="3"/>
  <c r="U123" i="3"/>
  <c r="T123" i="3"/>
  <c r="S123" i="3"/>
  <c r="R123" i="3"/>
  <c r="Q123" i="3"/>
  <c r="P123" i="3"/>
  <c r="O123" i="3"/>
  <c r="N123" i="3"/>
  <c r="I123" i="3"/>
  <c r="J123" i="3"/>
  <c r="K123" i="3"/>
  <c r="L123" i="3"/>
  <c r="M123" i="3"/>
  <c r="AO112" i="3"/>
  <c r="AO114" i="3"/>
  <c r="AM113" i="3"/>
  <c r="AN113" i="3"/>
  <c r="AN79" i="3"/>
  <c r="AN78" i="3"/>
  <c r="AN65" i="3"/>
  <c r="AN51" i="3"/>
  <c r="AN33" i="3"/>
  <c r="AM33" i="3"/>
  <c r="AD78" i="3"/>
  <c r="AC78" i="3"/>
  <c r="AM78" i="3"/>
  <c r="AK78" i="3"/>
  <c r="AJ78" i="3"/>
  <c r="AI78" i="3"/>
  <c r="AH78" i="3"/>
  <c r="AE78" i="3"/>
  <c r="Z78" i="3"/>
  <c r="Y78" i="3"/>
  <c r="X78" i="3"/>
  <c r="U78" i="3"/>
  <c r="T78" i="3"/>
  <c r="S78" i="3"/>
  <c r="P78" i="3"/>
  <c r="O78" i="3"/>
  <c r="N78" i="3"/>
  <c r="L78" i="3"/>
  <c r="K78" i="3"/>
  <c r="J78" i="3"/>
  <c r="I78" i="3"/>
  <c r="BD62" i="3"/>
  <c r="BI62" i="3"/>
  <c r="BI63" i="3"/>
  <c r="AN196" i="3"/>
  <c r="AO22" i="3"/>
  <c r="BH63" i="3"/>
  <c r="BC49" i="3"/>
  <c r="BH48" i="3"/>
  <c r="AZ63" i="3"/>
  <c r="BE62" i="3"/>
  <c r="BD63" i="3"/>
  <c r="AT100" i="3"/>
  <c r="AY99" i="3"/>
  <c r="BG61" i="3"/>
  <c r="BG48" i="3"/>
  <c r="BB49" i="3"/>
  <c r="AW100" i="3"/>
  <c r="BB99" i="3"/>
  <c r="BG99" i="3"/>
  <c r="BH100" i="3"/>
  <c r="AU100" i="3"/>
  <c r="AZ99" i="3"/>
  <c r="AN258" i="3"/>
  <c r="BD49" i="3"/>
  <c r="BI48" i="3"/>
  <c r="BB63" i="3"/>
  <c r="BE49" i="3"/>
  <c r="BJ48" i="3"/>
  <c r="AN190" i="3"/>
  <c r="AN257" i="3"/>
  <c r="AN50" i="3"/>
  <c r="AM50" i="3"/>
  <c r="AK50" i="3"/>
  <c r="AJ50" i="3"/>
  <c r="AI50" i="3"/>
  <c r="AH50" i="3"/>
  <c r="Z50" i="3"/>
  <c r="Y50" i="3"/>
  <c r="X50" i="3"/>
  <c r="U50" i="3"/>
  <c r="T50" i="3"/>
  <c r="S50" i="3"/>
  <c r="P50" i="3"/>
  <c r="O50" i="3"/>
  <c r="N50" i="3"/>
  <c r="K50" i="3"/>
  <c r="J50" i="3"/>
  <c r="I50" i="3"/>
  <c r="AD50" i="3"/>
  <c r="AE50" i="3"/>
  <c r="AC50" i="3"/>
  <c r="BI49" i="3"/>
  <c r="BH49" i="3"/>
  <c r="AZ100" i="3"/>
  <c r="BE99" i="3"/>
  <c r="BJ99" i="3"/>
  <c r="AY100" i="3"/>
  <c r="BD99" i="3"/>
  <c r="BI99" i="3"/>
  <c r="BI100" i="3"/>
  <c r="BE63" i="3"/>
  <c r="BJ62" i="3"/>
  <c r="BJ63" i="3"/>
  <c r="BJ49" i="3"/>
  <c r="BG47" i="3"/>
  <c r="BG49" i="3"/>
  <c r="BG100" i="3"/>
  <c r="BG63" i="3"/>
  <c r="D257" i="3"/>
  <c r="I257" i="3"/>
  <c r="N257" i="3"/>
  <c r="S257" i="3"/>
  <c r="X257" i="3"/>
  <c r="D258" i="3"/>
  <c r="E258" i="3"/>
  <c r="F258" i="3"/>
  <c r="I258" i="3"/>
  <c r="N258" i="3"/>
  <c r="S258" i="3"/>
  <c r="T258" i="3"/>
  <c r="X258" i="3"/>
  <c r="AM258" i="3"/>
  <c r="AR258" i="3"/>
  <c r="AW258" i="3"/>
  <c r="BB258" i="3"/>
  <c r="BG258" i="3"/>
  <c r="AM257" i="3"/>
  <c r="AR257" i="3"/>
  <c r="AW257" i="3"/>
  <c r="BB257" i="3"/>
  <c r="BG257" i="3"/>
  <c r="AC258" i="3"/>
  <c r="AC257" i="3"/>
  <c r="AH257" i="3"/>
  <c r="AH258" i="3"/>
  <c r="AM131" i="3"/>
  <c r="BJ100" i="3"/>
  <c r="AD195" i="3"/>
  <c r="AC195" i="3"/>
  <c r="AA195" i="3"/>
  <c r="Z195" i="3"/>
  <c r="Y195" i="3"/>
  <c r="X195" i="3"/>
  <c r="V195" i="3"/>
  <c r="U195" i="3"/>
  <c r="T195" i="3"/>
  <c r="S195" i="3"/>
  <c r="Q195" i="3"/>
  <c r="P195" i="3"/>
  <c r="O195" i="3"/>
  <c r="N195" i="3"/>
  <c r="I195" i="3"/>
  <c r="G195" i="3"/>
  <c r="J195" i="3"/>
  <c r="K195" i="3"/>
  <c r="L195" i="3"/>
  <c r="F195" i="3"/>
  <c r="Q131" i="3"/>
  <c r="P131" i="3"/>
  <c r="O131" i="3"/>
  <c r="N131" i="3"/>
  <c r="V131" i="3"/>
  <c r="U131" i="3"/>
  <c r="T131" i="3"/>
  <c r="S131" i="3"/>
  <c r="AA131" i="3"/>
  <c r="Z131" i="3"/>
  <c r="Y131" i="3"/>
  <c r="X131" i="3"/>
  <c r="AF131" i="3"/>
  <c r="AE131" i="3"/>
  <c r="AD131" i="3"/>
  <c r="AC131" i="3"/>
  <c r="AK131" i="3"/>
  <c r="AJ131" i="3"/>
  <c r="AI131" i="3"/>
  <c r="AH131" i="3"/>
  <c r="Q132" i="3"/>
  <c r="P132" i="3"/>
  <c r="O132" i="3"/>
  <c r="N132" i="3"/>
  <c r="V132" i="3"/>
  <c r="U132" i="3"/>
  <c r="T132" i="3"/>
  <c r="S132" i="3"/>
  <c r="AA132" i="3"/>
  <c r="Z132" i="3"/>
  <c r="Y132" i="3"/>
  <c r="X132" i="3"/>
  <c r="AD132" i="3"/>
  <c r="AC132" i="3"/>
  <c r="AO23" i="3"/>
  <c r="AP23" i="3"/>
  <c r="AR23" i="3"/>
  <c r="R23" i="3"/>
  <c r="R22" i="3"/>
  <c r="R21" i="3"/>
  <c r="W23" i="3"/>
  <c r="W22" i="3"/>
  <c r="W21" i="3"/>
  <c r="AB23" i="3"/>
  <c r="AB22" i="3"/>
  <c r="AB21" i="3"/>
  <c r="AG23" i="3"/>
  <c r="AG22" i="3"/>
  <c r="AG21" i="3"/>
  <c r="AL24" i="3"/>
  <c r="AM24" i="3"/>
  <c r="AL23" i="3"/>
  <c r="AL22" i="3"/>
  <c r="AL21" i="3"/>
  <c r="AS23" i="3"/>
  <c r="AT23" i="3"/>
  <c r="AU23" i="3"/>
  <c r="AW23" i="3"/>
  <c r="AX23" i="3"/>
  <c r="AY23" i="3"/>
  <c r="AZ23" i="3"/>
  <c r="BB23" i="3"/>
  <c r="BC23" i="3"/>
  <c r="BD23" i="3"/>
  <c r="BE23" i="3"/>
  <c r="BG23" i="3"/>
  <c r="BH23" i="3"/>
  <c r="BI23" i="3"/>
  <c r="BJ23" i="3"/>
  <c r="AQ23" i="3"/>
  <c r="BF23" i="3"/>
  <c r="BK23" i="3"/>
  <c r="BA23" i="3"/>
  <c r="AV23" i="3"/>
  <c r="AM181" i="3"/>
  <c r="AM180" i="3"/>
  <c r="AK181" i="3"/>
  <c r="AJ181" i="3"/>
  <c r="AI181" i="3"/>
  <c r="AH181" i="3"/>
  <c r="AK180" i="3"/>
  <c r="AJ180" i="3"/>
  <c r="AI180" i="3"/>
  <c r="AH180" i="3"/>
  <c r="AF181" i="3"/>
  <c r="AE181" i="3"/>
  <c r="AD181" i="3"/>
  <c r="AC181" i="3"/>
  <c r="AF180" i="3"/>
  <c r="AE180" i="3"/>
  <c r="AD180" i="3"/>
  <c r="AC180" i="3"/>
  <c r="AA181" i="3"/>
  <c r="Z181" i="3"/>
  <c r="Y181" i="3"/>
  <c r="X181" i="3"/>
  <c r="AA180" i="3"/>
  <c r="Z180" i="3"/>
  <c r="Y180" i="3"/>
  <c r="X180" i="3"/>
  <c r="V181" i="3"/>
  <c r="U181" i="3"/>
  <c r="T181" i="3"/>
  <c r="S181" i="3"/>
  <c r="V180" i="3"/>
  <c r="U180" i="3"/>
  <c r="T180" i="3"/>
  <c r="S180" i="3"/>
  <c r="Q181" i="3"/>
  <c r="P181" i="3"/>
  <c r="O181" i="3"/>
  <c r="N181" i="3"/>
  <c r="Q180" i="3"/>
  <c r="P180" i="3"/>
  <c r="O180" i="3"/>
  <c r="N180" i="3"/>
  <c r="J181" i="3"/>
  <c r="K181" i="3"/>
  <c r="L181" i="3"/>
  <c r="I181" i="3"/>
  <c r="K180" i="3"/>
  <c r="L180" i="3"/>
  <c r="J180" i="3"/>
  <c r="I180" i="3"/>
  <c r="AQ230" i="3"/>
  <c r="AQ223" i="3"/>
  <c r="AQ222" i="3"/>
  <c r="AQ221" i="3"/>
  <c r="AQ207" i="3"/>
  <c r="AQ202" i="3"/>
  <c r="AO167" i="3"/>
  <c r="AO161" i="3"/>
  <c r="AP161" i="3"/>
  <c r="AR161" i="3"/>
  <c r="AS161" i="3"/>
  <c r="AT161" i="3"/>
  <c r="AU161" i="3"/>
  <c r="AW161" i="3"/>
  <c r="AX161" i="3"/>
  <c r="AY161" i="3"/>
  <c r="AZ161" i="3"/>
  <c r="BB161" i="3"/>
  <c r="BC161" i="3"/>
  <c r="BD161" i="3"/>
  <c r="BE161" i="3"/>
  <c r="BG161" i="3"/>
  <c r="BH161" i="3"/>
  <c r="BI161" i="3"/>
  <c r="BJ161" i="3"/>
  <c r="AO156" i="3"/>
  <c r="AP156" i="3"/>
  <c r="AR156" i="3"/>
  <c r="AS156" i="3"/>
  <c r="AT156" i="3"/>
  <c r="AU156" i="3"/>
  <c r="AW156" i="3"/>
  <c r="AX156" i="3"/>
  <c r="AY156" i="3"/>
  <c r="AZ156" i="3"/>
  <c r="BB156" i="3"/>
  <c r="BC156" i="3"/>
  <c r="BD156" i="3"/>
  <c r="BE156" i="3"/>
  <c r="BG156" i="3"/>
  <c r="BH156" i="3"/>
  <c r="BI156" i="3"/>
  <c r="BJ156" i="3"/>
  <c r="AO154" i="3"/>
  <c r="AP154" i="3"/>
  <c r="AR154" i="3"/>
  <c r="AS154" i="3"/>
  <c r="AT154" i="3"/>
  <c r="AU154" i="3"/>
  <c r="AW154" i="3"/>
  <c r="AX154" i="3"/>
  <c r="AY154" i="3"/>
  <c r="AZ154" i="3"/>
  <c r="BB154" i="3"/>
  <c r="BC154" i="3"/>
  <c r="BD154" i="3"/>
  <c r="BE154" i="3"/>
  <c r="BG154" i="3"/>
  <c r="BH154" i="3"/>
  <c r="BI154" i="3"/>
  <c r="BJ154" i="3"/>
  <c r="AO150" i="3"/>
  <c r="AP150" i="3"/>
  <c r="AR150" i="3"/>
  <c r="AS150" i="3"/>
  <c r="AT150" i="3"/>
  <c r="AU150" i="3"/>
  <c r="AW150" i="3"/>
  <c r="AX150" i="3"/>
  <c r="AY150" i="3"/>
  <c r="AZ150" i="3"/>
  <c r="BB150" i="3"/>
  <c r="BC150" i="3"/>
  <c r="BD150" i="3"/>
  <c r="BE150" i="3"/>
  <c r="BG150" i="3"/>
  <c r="BH150" i="3"/>
  <c r="BI150" i="3"/>
  <c r="BJ150" i="3"/>
  <c r="L191" i="3"/>
  <c r="K191" i="3"/>
  <c r="J191" i="3"/>
  <c r="I191" i="3"/>
  <c r="Q191" i="3"/>
  <c r="P191" i="3"/>
  <c r="O191" i="3"/>
  <c r="N191" i="3"/>
  <c r="V191" i="3"/>
  <c r="U191" i="3"/>
  <c r="T191" i="3"/>
  <c r="S191" i="3"/>
  <c r="AA191" i="3"/>
  <c r="Z191" i="3"/>
  <c r="Y191" i="3"/>
  <c r="X191" i="3"/>
  <c r="AC191" i="3"/>
  <c r="AK191" i="3"/>
  <c r="AJ191" i="3"/>
  <c r="AI191" i="3"/>
  <c r="AM191" i="3"/>
  <c r="AM192" i="3"/>
  <c r="AK192" i="3"/>
  <c r="AJ192" i="3"/>
  <c r="AI192" i="3"/>
  <c r="AH192" i="3"/>
  <c r="AF192" i="3"/>
  <c r="AE192" i="3"/>
  <c r="AD192" i="3"/>
  <c r="AC192" i="3"/>
  <c r="AA192" i="3"/>
  <c r="Z192" i="3"/>
  <c r="Y192" i="3"/>
  <c r="X192" i="3"/>
  <c r="V192" i="3"/>
  <c r="U192" i="3"/>
  <c r="T192" i="3"/>
  <c r="S192" i="3"/>
  <c r="Q192" i="3"/>
  <c r="P192" i="3"/>
  <c r="O192" i="3"/>
  <c r="N192" i="3"/>
  <c r="J192" i="3"/>
  <c r="K192" i="3"/>
  <c r="L192" i="3"/>
  <c r="I192" i="3"/>
  <c r="AO181" i="3"/>
  <c r="AP181" i="3"/>
  <c r="AR181" i="3"/>
  <c r="AS181" i="3"/>
  <c r="AT181" i="3"/>
  <c r="AU181" i="3"/>
  <c r="AW181" i="3"/>
  <c r="AX181" i="3"/>
  <c r="AY181" i="3"/>
  <c r="AM203" i="3"/>
  <c r="BK202" i="3"/>
  <c r="BF202" i="3"/>
  <c r="AX202" i="3"/>
  <c r="AY202" i="3"/>
  <c r="AZ202" i="3"/>
  <c r="AW202" i="3"/>
  <c r="AV202" i="3"/>
  <c r="AL202" i="3"/>
  <c r="G193" i="3"/>
  <c r="F193" i="3"/>
  <c r="E193" i="3"/>
  <c r="L193" i="3"/>
  <c r="K193" i="3"/>
  <c r="J193" i="3"/>
  <c r="I193" i="3"/>
  <c r="Q193" i="3"/>
  <c r="P193" i="3"/>
  <c r="N193" i="3"/>
  <c r="V193" i="3"/>
  <c r="U193" i="3"/>
  <c r="T193" i="3"/>
  <c r="S193" i="3"/>
  <c r="AA193" i="3"/>
  <c r="Z193" i="3"/>
  <c r="Y193" i="3"/>
  <c r="X193" i="3"/>
  <c r="AC193" i="3"/>
  <c r="AM193" i="3"/>
  <c r="AH193" i="3"/>
  <c r="AO32" i="3"/>
  <c r="AT32" i="3"/>
  <c r="AY32" i="3"/>
  <c r="BD32" i="3"/>
  <c r="BI32" i="3"/>
  <c r="AJ33" i="3"/>
  <c r="AI33" i="3"/>
  <c r="AH33" i="3"/>
  <c r="AF33" i="3"/>
  <c r="AE33" i="3"/>
  <c r="AO145" i="3"/>
  <c r="AO152" i="3"/>
  <c r="AZ181" i="3"/>
  <c r="BB181" i="3"/>
  <c r="BC181" i="3"/>
  <c r="BD181" i="3"/>
  <c r="BA202" i="3"/>
  <c r="Z196" i="3"/>
  <c r="AA196" i="3"/>
  <c r="AC196" i="3"/>
  <c r="AD196" i="3"/>
  <c r="AD250" i="3"/>
  <c r="AA250" i="3"/>
  <c r="Z250" i="3"/>
  <c r="Y250" i="3"/>
  <c r="X250" i="3"/>
  <c r="V250" i="3"/>
  <c r="U250" i="3"/>
  <c r="T250" i="3"/>
  <c r="S250" i="3"/>
  <c r="Q250" i="3"/>
  <c r="P250" i="3"/>
  <c r="O250" i="3"/>
  <c r="N250" i="3"/>
  <c r="L250" i="3"/>
  <c r="K250" i="3"/>
  <c r="J250" i="3"/>
  <c r="I250" i="3"/>
  <c r="G250" i="3"/>
  <c r="F250" i="3"/>
  <c r="E250" i="3"/>
  <c r="D250" i="3"/>
  <c r="AP152" i="3"/>
  <c r="BE181" i="3"/>
  <c r="BG181" i="3"/>
  <c r="BH181" i="3"/>
  <c r="BI181" i="3"/>
  <c r="BJ181" i="3"/>
  <c r="AR136" i="3"/>
  <c r="AS136" i="3"/>
  <c r="AT136" i="3"/>
  <c r="AU136" i="3"/>
  <c r="AW136" i="3"/>
  <c r="AX136" i="3"/>
  <c r="AY136" i="3"/>
  <c r="AZ136" i="3"/>
  <c r="BB136" i="3"/>
  <c r="BC136" i="3"/>
  <c r="BD136" i="3"/>
  <c r="BE136" i="3"/>
  <c r="BG136" i="3"/>
  <c r="BH136" i="3"/>
  <c r="BI136" i="3"/>
  <c r="BJ136" i="3"/>
  <c r="AF248" i="3"/>
  <c r="AF251" i="3"/>
  <c r="AE248" i="3"/>
  <c r="AE251" i="3"/>
  <c r="AD248" i="3"/>
  <c r="AD251" i="3"/>
  <c r="AC248" i="3"/>
  <c r="AC251" i="3"/>
  <c r="AB251" i="3"/>
  <c r="AB249" i="3"/>
  <c r="AK248" i="3"/>
  <c r="AK251" i="3"/>
  <c r="AJ248" i="3"/>
  <c r="AJ251" i="3"/>
  <c r="AI248" i="3"/>
  <c r="AI251" i="3"/>
  <c r="AH248" i="3"/>
  <c r="AH251" i="3"/>
  <c r="AM248" i="3"/>
  <c r="AM251" i="3"/>
  <c r="AD247" i="3"/>
  <c r="AL246" i="3"/>
  <c r="AL249" i="3"/>
  <c r="AG246" i="3"/>
  <c r="AG249" i="3"/>
  <c r="C279" i="3"/>
  <c r="AM121" i="3"/>
  <c r="AK121" i="3"/>
  <c r="AJ121" i="3"/>
  <c r="AI121" i="3"/>
  <c r="AH121" i="3"/>
  <c r="AF121" i="3"/>
  <c r="AE121" i="3"/>
  <c r="AD121" i="3"/>
  <c r="AC121" i="3"/>
  <c r="AA121" i="3"/>
  <c r="Z121" i="3"/>
  <c r="Y121" i="3"/>
  <c r="X121" i="3"/>
  <c r="V121" i="3"/>
  <c r="U121" i="3"/>
  <c r="C94" i="18"/>
  <c r="C157" i="18"/>
  <c r="C219" i="18"/>
  <c r="C280" i="18"/>
  <c r="C344" i="18"/>
  <c r="C408" i="18"/>
  <c r="C470" i="18"/>
  <c r="C531" i="18"/>
  <c r="C595" i="18"/>
  <c r="C659" i="18"/>
  <c r="C721" i="18"/>
  <c r="C782" i="18"/>
  <c r="C846" i="18"/>
  <c r="C910" i="18"/>
  <c r="C972" i="18"/>
  <c r="C1034" i="18"/>
  <c r="C1098" i="18"/>
  <c r="C1162" i="18"/>
  <c r="C1223" i="18"/>
  <c r="R167" i="3"/>
  <c r="AK167" i="3"/>
  <c r="AP167" i="3"/>
  <c r="AQ167" i="3"/>
  <c r="AR167" i="3"/>
  <c r="AS167" i="3"/>
  <c r="AT167" i="3"/>
  <c r="AU167" i="3"/>
  <c r="AM256" i="3"/>
  <c r="AH256" i="3"/>
  <c r="AC256" i="3"/>
  <c r="AA256" i="3"/>
  <c r="Z256" i="3"/>
  <c r="Y256" i="3"/>
  <c r="X256" i="3"/>
  <c r="V256" i="3"/>
  <c r="T256" i="3"/>
  <c r="S256" i="3"/>
  <c r="Q256" i="3"/>
  <c r="P256" i="3"/>
  <c r="N256" i="3"/>
  <c r="L256" i="3"/>
  <c r="K256" i="3"/>
  <c r="J256" i="3"/>
  <c r="I256" i="3"/>
  <c r="E256" i="3"/>
  <c r="F256" i="3"/>
  <c r="G256" i="3"/>
  <c r="D256" i="3"/>
  <c r="AM188" i="3"/>
  <c r="AM183" i="3"/>
  <c r="AK183" i="3"/>
  <c r="AJ183" i="3"/>
  <c r="AI183" i="3"/>
  <c r="AH183" i="3"/>
  <c r="AF183" i="3"/>
  <c r="AE183" i="3"/>
  <c r="AD183" i="3"/>
  <c r="AC183" i="3"/>
  <c r="AA183" i="3"/>
  <c r="Z183" i="3"/>
  <c r="Y183" i="3"/>
  <c r="X183" i="3"/>
  <c r="V183" i="3"/>
  <c r="U183" i="3"/>
  <c r="T183" i="3"/>
  <c r="S183" i="3"/>
  <c r="Q183" i="3"/>
  <c r="P183" i="3"/>
  <c r="O183" i="3"/>
  <c r="N183" i="3"/>
  <c r="L183" i="3"/>
  <c r="K183" i="3"/>
  <c r="J183" i="3"/>
  <c r="I183" i="3"/>
  <c r="G183" i="3"/>
  <c r="AO183" i="3"/>
  <c r="AP183" i="3"/>
  <c r="AR183" i="3"/>
  <c r="AS183" i="3"/>
  <c r="AT183" i="3"/>
  <c r="AU183" i="3"/>
  <c r="AW183" i="3"/>
  <c r="AX183" i="3"/>
  <c r="AY183" i="3"/>
  <c r="AZ183" i="3"/>
  <c r="BB183" i="3"/>
  <c r="BC183" i="3"/>
  <c r="BD183" i="3"/>
  <c r="BE183" i="3"/>
  <c r="BG183" i="3"/>
  <c r="BH183" i="3"/>
  <c r="BI183" i="3"/>
  <c r="BJ183" i="3"/>
  <c r="AM189" i="3"/>
  <c r="AP145" i="3"/>
  <c r="AV167" i="3"/>
  <c r="AW167" i="3"/>
  <c r="AX167" i="3"/>
  <c r="AY167" i="3"/>
  <c r="AZ167" i="3"/>
  <c r="BB167" i="3"/>
  <c r="BC167" i="3"/>
  <c r="BD167" i="3"/>
  <c r="BE167" i="3"/>
  <c r="BG167" i="3"/>
  <c r="BH167" i="3"/>
  <c r="BI167" i="3"/>
  <c r="BJ167" i="3"/>
  <c r="AR145" i="3"/>
  <c r="AR152" i="3"/>
  <c r="AS145" i="3"/>
  <c r="AS152" i="3"/>
  <c r="AM186" i="3"/>
  <c r="AM184" i="3"/>
  <c r="AM238" i="3"/>
  <c r="AM163" i="3"/>
  <c r="AN195" i="3"/>
  <c r="AM45" i="3"/>
  <c r="AM124" i="3"/>
  <c r="AM130" i="3"/>
  <c r="AM129" i="3"/>
  <c r="AM79" i="3"/>
  <c r="AM77" i="3"/>
  <c r="AM65" i="3"/>
  <c r="AM51" i="3"/>
  <c r="AM49" i="3"/>
  <c r="AN24" i="3"/>
  <c r="AM187" i="3"/>
  <c r="AM185" i="3"/>
  <c r="AT145" i="3"/>
  <c r="AT152" i="3"/>
  <c r="AM196" i="3"/>
  <c r="AH49" i="3"/>
  <c r="AH77" i="3"/>
  <c r="AM190" i="3"/>
  <c r="AU145" i="3"/>
  <c r="AU152" i="3"/>
  <c r="AK188" i="3"/>
  <c r="AK189" i="3"/>
  <c r="AK186" i="3"/>
  <c r="AK187" i="3"/>
  <c r="AK184" i="3"/>
  <c r="AK185" i="3"/>
  <c r="AK163" i="3"/>
  <c r="AK129" i="3"/>
  <c r="AK130" i="3"/>
  <c r="AK77" i="3"/>
  <c r="AK79" i="3"/>
  <c r="AK65" i="3"/>
  <c r="AK49" i="3"/>
  <c r="AK51" i="3"/>
  <c r="AM195" i="3"/>
  <c r="AM132" i="3"/>
  <c r="AW152" i="3"/>
  <c r="AW145" i="3"/>
  <c r="AK196" i="3"/>
  <c r="BJ234" i="3"/>
  <c r="BI234" i="3"/>
  <c r="BH234" i="3"/>
  <c r="BG234" i="3"/>
  <c r="BK230" i="3"/>
  <c r="BK223" i="3"/>
  <c r="BK222" i="3"/>
  <c r="BK221" i="3"/>
  <c r="BK208" i="3"/>
  <c r="BK207" i="3"/>
  <c r="BK206" i="3"/>
  <c r="BJ138" i="3"/>
  <c r="BI138" i="3"/>
  <c r="BH138" i="3"/>
  <c r="BG138" i="3"/>
  <c r="AX145" i="3"/>
  <c r="AX152" i="3"/>
  <c r="BK234" i="3"/>
  <c r="AY152" i="3"/>
  <c r="AY145" i="3"/>
  <c r="AJ188" i="3"/>
  <c r="AJ189" i="3"/>
  <c r="AJ186" i="3"/>
  <c r="AJ187" i="3"/>
  <c r="AJ184" i="3"/>
  <c r="AJ185" i="3"/>
  <c r="AJ163" i="3"/>
  <c r="AH124" i="3"/>
  <c r="AJ124" i="3"/>
  <c r="AJ129" i="3"/>
  <c r="AJ130" i="3"/>
  <c r="AJ77" i="3"/>
  <c r="AJ79" i="3"/>
  <c r="AJ65" i="3"/>
  <c r="AJ49" i="3"/>
  <c r="AJ51" i="3"/>
  <c r="Z118" i="3"/>
  <c r="Y118" i="3"/>
  <c r="X118" i="3"/>
  <c r="U118" i="3"/>
  <c r="T118" i="3"/>
  <c r="S118" i="3"/>
  <c r="P118" i="3"/>
  <c r="O118" i="3"/>
  <c r="N118" i="3"/>
  <c r="K118" i="3"/>
  <c r="J118" i="3"/>
  <c r="I118" i="3"/>
  <c r="F118" i="3"/>
  <c r="E118" i="3"/>
  <c r="D118" i="3"/>
  <c r="G61" i="3"/>
  <c r="H61" i="3"/>
  <c r="L61" i="3"/>
  <c r="M61" i="3"/>
  <c r="Q61" i="3"/>
  <c r="R61" i="3"/>
  <c r="V61" i="3"/>
  <c r="W61" i="3"/>
  <c r="AA61" i="3"/>
  <c r="AB61" i="3"/>
  <c r="AG61" i="3"/>
  <c r="AK195" i="3"/>
  <c r="AK132" i="3"/>
  <c r="AZ152" i="3"/>
  <c r="AZ145" i="3"/>
  <c r="AJ196" i="3"/>
  <c r="AI188" i="3"/>
  <c r="AI186" i="3"/>
  <c r="AI184" i="3"/>
  <c r="AI163" i="3"/>
  <c r="AI237" i="3"/>
  <c r="AJ237" i="3"/>
  <c r="AK237" i="3"/>
  <c r="AI236" i="3"/>
  <c r="AJ236" i="3"/>
  <c r="AK236" i="3"/>
  <c r="AI235" i="3"/>
  <c r="AJ235" i="3"/>
  <c r="AK235" i="3"/>
  <c r="AI234" i="3"/>
  <c r="AJ234" i="3"/>
  <c r="AK234" i="3"/>
  <c r="AI233" i="3"/>
  <c r="AJ233" i="3"/>
  <c r="AK233" i="3"/>
  <c r="AI232" i="3"/>
  <c r="AJ232" i="3"/>
  <c r="AK232" i="3"/>
  <c r="AI231" i="3"/>
  <c r="AJ231" i="3"/>
  <c r="AK231" i="3"/>
  <c r="AI230" i="3"/>
  <c r="AJ230" i="3"/>
  <c r="AK230" i="3"/>
  <c r="AI226" i="3"/>
  <c r="AJ226" i="3"/>
  <c r="AK226" i="3"/>
  <c r="AI225" i="3"/>
  <c r="AJ225" i="3"/>
  <c r="AK225" i="3"/>
  <c r="AI224" i="3"/>
  <c r="AI223" i="3"/>
  <c r="AJ223" i="3"/>
  <c r="AK223" i="3"/>
  <c r="AI222" i="3"/>
  <c r="AJ222" i="3"/>
  <c r="AK222" i="3"/>
  <c r="AI221" i="3"/>
  <c r="AJ221" i="3"/>
  <c r="AK221" i="3"/>
  <c r="AI220" i="3"/>
  <c r="AJ220" i="3"/>
  <c r="AK220" i="3"/>
  <c r="AI216" i="3"/>
  <c r="AJ216" i="3"/>
  <c r="AK216" i="3"/>
  <c r="AI215" i="3"/>
  <c r="AJ215" i="3"/>
  <c r="AK215" i="3"/>
  <c r="AI214" i="3"/>
  <c r="AJ214" i="3"/>
  <c r="AK214" i="3"/>
  <c r="AI213" i="3"/>
  <c r="AJ213" i="3"/>
  <c r="AK213" i="3"/>
  <c r="AI212" i="3"/>
  <c r="AJ212" i="3"/>
  <c r="AK212" i="3"/>
  <c r="AI211" i="3"/>
  <c r="AJ211" i="3"/>
  <c r="AK211" i="3"/>
  <c r="AI210" i="3"/>
  <c r="AJ210" i="3"/>
  <c r="AK210" i="3"/>
  <c r="AI206" i="3"/>
  <c r="AJ206" i="3"/>
  <c r="AK206" i="3"/>
  <c r="AI205" i="3"/>
  <c r="AI204" i="3"/>
  <c r="AI193" i="3"/>
  <c r="AI129" i="3"/>
  <c r="AI130" i="3"/>
  <c r="AI51" i="3"/>
  <c r="AI65" i="3"/>
  <c r="AI79" i="3"/>
  <c r="AK32" i="3"/>
  <c r="AI258" i="3"/>
  <c r="AS258" i="3"/>
  <c r="AX258" i="3"/>
  <c r="BC258" i="3"/>
  <c r="BH258" i="3"/>
  <c r="AI257" i="3"/>
  <c r="AS257" i="3"/>
  <c r="AX257" i="3"/>
  <c r="BC257" i="3"/>
  <c r="BH257" i="3"/>
  <c r="AJ195" i="3"/>
  <c r="AI185" i="3"/>
  <c r="AI187" i="3"/>
  <c r="AI189" i="3"/>
  <c r="AJ132" i="3"/>
  <c r="BB152" i="3"/>
  <c r="BB145" i="3"/>
  <c r="AO225" i="3"/>
  <c r="AP225" i="3"/>
  <c r="AR225" i="3"/>
  <c r="AS225" i="3"/>
  <c r="AT225" i="3"/>
  <c r="AU225" i="3"/>
  <c r="AW225" i="3"/>
  <c r="AX225" i="3"/>
  <c r="AY225" i="3"/>
  <c r="AZ225" i="3"/>
  <c r="BB225" i="3"/>
  <c r="BC225" i="3"/>
  <c r="BD225" i="3"/>
  <c r="BE225" i="3"/>
  <c r="BG225" i="3"/>
  <c r="BH225" i="3"/>
  <c r="BI225" i="3"/>
  <c r="BJ225" i="3"/>
  <c r="AP32" i="3"/>
  <c r="AK33" i="3"/>
  <c r="AI196" i="3"/>
  <c r="AO196" i="3"/>
  <c r="AP196" i="3"/>
  <c r="AR196" i="3"/>
  <c r="AS196" i="3"/>
  <c r="AT196" i="3"/>
  <c r="AU196" i="3"/>
  <c r="AW196" i="3"/>
  <c r="AX196" i="3"/>
  <c r="AY196" i="3"/>
  <c r="AZ196" i="3"/>
  <c r="BB196" i="3"/>
  <c r="BC196" i="3"/>
  <c r="BD196" i="3"/>
  <c r="BE196" i="3"/>
  <c r="BG196" i="3"/>
  <c r="BH196" i="3"/>
  <c r="BI196" i="3"/>
  <c r="BJ196" i="3"/>
  <c r="AJ205" i="3"/>
  <c r="AI256" i="3"/>
  <c r="AJ204" i="3"/>
  <c r="AJ193" i="3"/>
  <c r="AI261" i="3"/>
  <c r="AJ224" i="3"/>
  <c r="AJ257" i="3"/>
  <c r="AO257" i="3"/>
  <c r="AT257" i="3"/>
  <c r="AY257" i="3"/>
  <c r="BD257" i="3"/>
  <c r="BI257" i="3"/>
  <c r="AJ258" i="3"/>
  <c r="AO258" i="3"/>
  <c r="AT258" i="3"/>
  <c r="AY258" i="3"/>
  <c r="BD258" i="3"/>
  <c r="BI258" i="3"/>
  <c r="BC145" i="3"/>
  <c r="BC152" i="3"/>
  <c r="AO155" i="3"/>
  <c r="AP155" i="3"/>
  <c r="AR155" i="3"/>
  <c r="AS155" i="3"/>
  <c r="AT155" i="3"/>
  <c r="AU155" i="3"/>
  <c r="AW155" i="3"/>
  <c r="AX155" i="3"/>
  <c r="AY155" i="3"/>
  <c r="AZ155" i="3"/>
  <c r="BB155" i="3"/>
  <c r="BC155" i="3"/>
  <c r="BD155" i="3"/>
  <c r="BE155" i="3"/>
  <c r="BG155" i="3"/>
  <c r="BH155" i="3"/>
  <c r="BI155" i="3"/>
  <c r="BJ155" i="3"/>
  <c r="AQ225" i="3"/>
  <c r="AR32" i="3"/>
  <c r="AU32" i="3"/>
  <c r="AK205" i="3"/>
  <c r="AJ256" i="3"/>
  <c r="AO256" i="3"/>
  <c r="AK204" i="3"/>
  <c r="AK193" i="3"/>
  <c r="AJ261" i="3"/>
  <c r="AK224" i="3"/>
  <c r="AK256" i="3"/>
  <c r="AK258" i="3"/>
  <c r="AP258" i="3"/>
  <c r="AU258" i="3"/>
  <c r="AZ258" i="3"/>
  <c r="BE258" i="3"/>
  <c r="BJ258" i="3"/>
  <c r="AK257" i="3"/>
  <c r="AP257" i="3"/>
  <c r="AU257" i="3"/>
  <c r="AZ257" i="3"/>
  <c r="BE257" i="3"/>
  <c r="BJ257" i="3"/>
  <c r="BD152" i="3"/>
  <c r="BD145" i="3"/>
  <c r="AP256" i="3"/>
  <c r="AZ32" i="3"/>
  <c r="AW32" i="3"/>
  <c r="AK261" i="3"/>
  <c r="AM261" i="3"/>
  <c r="AF138" i="3"/>
  <c r="AF134" i="3"/>
  <c r="BE152" i="3"/>
  <c r="BE145" i="3"/>
  <c r="AN203" i="3"/>
  <c r="AO193" i="3"/>
  <c r="AP193" i="3"/>
  <c r="AR193" i="3"/>
  <c r="AS193" i="3"/>
  <c r="AT193" i="3"/>
  <c r="AU193" i="3"/>
  <c r="AW193" i="3"/>
  <c r="AX193" i="3"/>
  <c r="AY193" i="3"/>
  <c r="AZ193" i="3"/>
  <c r="BB193" i="3"/>
  <c r="BC193" i="3"/>
  <c r="BD193" i="3"/>
  <c r="BE193" i="3"/>
  <c r="BG193" i="3"/>
  <c r="BH193" i="3"/>
  <c r="BI193" i="3"/>
  <c r="BJ193" i="3"/>
  <c r="BE32" i="3"/>
  <c r="BB32" i="3"/>
  <c r="AF135" i="3"/>
  <c r="BG152" i="3"/>
  <c r="BG145" i="3"/>
  <c r="BJ32" i="3"/>
  <c r="BG32" i="3"/>
  <c r="AH130" i="3"/>
  <c r="AH129" i="3"/>
  <c r="AD104" i="3"/>
  <c r="AH79" i="3"/>
  <c r="AH65" i="3"/>
  <c r="AH51" i="3"/>
  <c r="AH188" i="3"/>
  <c r="AH186" i="3"/>
  <c r="AH184" i="3"/>
  <c r="AH163" i="3"/>
  <c r="AI195" i="3"/>
  <c r="AH189" i="3"/>
  <c r="AI132" i="3"/>
  <c r="AH185" i="3"/>
  <c r="AH187" i="3"/>
  <c r="BH145" i="3"/>
  <c r="BH152" i="3"/>
  <c r="AH196" i="3"/>
  <c r="AO184" i="3"/>
  <c r="AO188" i="3"/>
  <c r="AO186" i="3"/>
  <c r="BI145" i="3"/>
  <c r="BI152" i="3"/>
  <c r="AO189" i="3"/>
  <c r="AP188" i="3"/>
  <c r="AO187" i="3"/>
  <c r="AP186" i="3"/>
  <c r="AP184" i="3"/>
  <c r="AO185" i="3"/>
  <c r="BJ152" i="3"/>
  <c r="BJ145" i="3"/>
  <c r="AF184" i="3"/>
  <c r="AF185" i="3"/>
  <c r="AF186" i="3"/>
  <c r="AF187" i="3"/>
  <c r="AF188" i="3"/>
  <c r="AF189" i="3"/>
  <c r="AF163" i="3"/>
  <c r="AF237" i="3"/>
  <c r="AF124" i="3"/>
  <c r="AF129" i="3"/>
  <c r="AF130" i="3"/>
  <c r="AF49" i="3"/>
  <c r="AF77" i="3"/>
  <c r="AE103" i="3"/>
  <c r="AF103" i="3"/>
  <c r="AH195" i="3"/>
  <c r="AH132" i="3"/>
  <c r="AP187" i="3"/>
  <c r="AR186" i="3"/>
  <c r="AP189" i="3"/>
  <c r="AR188" i="3"/>
  <c r="AP185" i="3"/>
  <c r="AR184" i="3"/>
  <c r="AF196" i="3"/>
  <c r="AF190" i="3"/>
  <c r="AG207" i="3"/>
  <c r="BE138" i="3"/>
  <c r="BD138" i="3"/>
  <c r="BC138" i="3"/>
  <c r="BB138" i="3"/>
  <c r="AZ138" i="3"/>
  <c r="AY138" i="3"/>
  <c r="AX138" i="3"/>
  <c r="AW138" i="3"/>
  <c r="AU138" i="3"/>
  <c r="AT138" i="3"/>
  <c r="AS138" i="3"/>
  <c r="AR138" i="3"/>
  <c r="AP138" i="3"/>
  <c r="AO138" i="3"/>
  <c r="S134" i="3"/>
  <c r="AS184" i="3"/>
  <c r="AR185" i="3"/>
  <c r="AS186" i="3"/>
  <c r="AR187" i="3"/>
  <c r="AS188" i="3"/>
  <c r="AR189" i="3"/>
  <c r="BE234" i="3"/>
  <c r="BD234" i="3"/>
  <c r="BC234" i="3"/>
  <c r="BB234" i="3"/>
  <c r="BF230" i="3"/>
  <c r="BF223" i="3"/>
  <c r="BF222" i="3"/>
  <c r="BF221" i="3"/>
  <c r="BF208" i="3"/>
  <c r="BF207" i="3"/>
  <c r="BF206"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D18" i="3"/>
  <c r="AS187" i="3"/>
  <c r="AT186" i="3"/>
  <c r="AT188" i="3"/>
  <c r="AS189" i="3"/>
  <c r="AS185" i="3"/>
  <c r="AT184" i="3"/>
  <c r="BF234" i="3"/>
  <c r="AT189" i="3"/>
  <c r="AU188" i="3"/>
  <c r="AU184" i="3"/>
  <c r="AT185" i="3"/>
  <c r="AU186" i="3"/>
  <c r="AT187" i="3"/>
  <c r="AE188" i="3"/>
  <c r="AE189" i="3"/>
  <c r="AE186" i="3"/>
  <c r="AE187" i="3"/>
  <c r="AE184" i="3"/>
  <c r="AE185" i="3"/>
  <c r="AE163" i="3"/>
  <c r="AE138" i="3"/>
  <c r="AE135" i="3"/>
  <c r="AE130" i="3"/>
  <c r="AE129" i="3"/>
  <c r="AE77" i="3"/>
  <c r="AE49" i="3"/>
  <c r="AE195" i="3"/>
  <c r="AF195" i="3"/>
  <c r="AE132" i="3"/>
  <c r="AF132" i="3"/>
  <c r="AU185" i="3"/>
  <c r="AW184" i="3"/>
  <c r="AU189" i="3"/>
  <c r="AW188" i="3"/>
  <c r="AU187" i="3"/>
  <c r="AW186" i="3"/>
  <c r="AE196" i="3"/>
  <c r="AE134" i="3"/>
  <c r="AX186" i="3"/>
  <c r="AW187" i="3"/>
  <c r="AX188" i="3"/>
  <c r="AW189" i="3"/>
  <c r="AX184" i="3"/>
  <c r="AW185" i="3"/>
  <c r="AE190" i="3"/>
  <c r="AX189" i="3"/>
  <c r="AY188" i="3"/>
  <c r="AX185" i="3"/>
  <c r="AY184" i="3"/>
  <c r="AX187" i="3"/>
  <c r="AY186" i="3"/>
  <c r="AQ243" i="3"/>
  <c r="AV243" i="3"/>
  <c r="BA243" i="3"/>
  <c r="BF243" i="3"/>
  <c r="BK243" i="3"/>
  <c r="AZ186" i="3"/>
  <c r="AY187" i="3"/>
  <c r="AY189" i="3"/>
  <c r="AZ188" i="3"/>
  <c r="AZ184" i="3"/>
  <c r="AY185" i="3"/>
  <c r="AD235" i="3"/>
  <c r="AD234" i="3"/>
  <c r="AD233" i="3"/>
  <c r="AD232" i="3"/>
  <c r="AD231" i="3"/>
  <c r="AD230" i="3"/>
  <c r="AD226" i="3"/>
  <c r="AD225" i="3"/>
  <c r="AD224" i="3"/>
  <c r="AD223" i="3"/>
  <c r="AD222" i="3"/>
  <c r="AD221" i="3"/>
  <c r="AD220" i="3"/>
  <c r="AE220" i="3"/>
  <c r="AF220" i="3"/>
  <c r="AD216" i="3"/>
  <c r="AD215" i="3"/>
  <c r="AD214" i="3"/>
  <c r="AE214" i="3"/>
  <c r="AF214" i="3"/>
  <c r="AD213" i="3"/>
  <c r="AD206" i="3"/>
  <c r="AD205" i="3"/>
  <c r="AD204" i="3"/>
  <c r="AD193" i="3"/>
  <c r="AD188" i="3"/>
  <c r="AD189" i="3"/>
  <c r="AD184" i="3"/>
  <c r="AD185" i="3"/>
  <c r="AC124" i="3"/>
  <c r="AD77" i="3"/>
  <c r="AD49" i="3"/>
  <c r="AD79" i="3"/>
  <c r="AD65" i="3"/>
  <c r="AD51" i="3"/>
  <c r="AD258" i="3"/>
  <c r="AD257" i="3"/>
  <c r="AZ189" i="3"/>
  <c r="BB188" i="3"/>
  <c r="AZ185" i="3"/>
  <c r="BB184" i="3"/>
  <c r="AZ187" i="3"/>
  <c r="BB186" i="3"/>
  <c r="AE205" i="3"/>
  <c r="AE206" i="3"/>
  <c r="AE216" i="3"/>
  <c r="AF216" i="3"/>
  <c r="AE221" i="3"/>
  <c r="AE223" i="3"/>
  <c r="AE225" i="3"/>
  <c r="AF225" i="3"/>
  <c r="AE230" i="3"/>
  <c r="AE232" i="3"/>
  <c r="AE234" i="3"/>
  <c r="AF234" i="3"/>
  <c r="AE213" i="3"/>
  <c r="AF213" i="3"/>
  <c r="AE215" i="3"/>
  <c r="AF215" i="3"/>
  <c r="AE222" i="3"/>
  <c r="AE226" i="3"/>
  <c r="AF226" i="3"/>
  <c r="AE231" i="3"/>
  <c r="AE233" i="3"/>
  <c r="AF233" i="3"/>
  <c r="AE235" i="3"/>
  <c r="AF235" i="3"/>
  <c r="AE204" i="3"/>
  <c r="AE193" i="3"/>
  <c r="AD261" i="3"/>
  <c r="AE224" i="3"/>
  <c r="AE256" i="3"/>
  <c r="AE258" i="3"/>
  <c r="AE257" i="3"/>
  <c r="BB185" i="3"/>
  <c r="BC184" i="3"/>
  <c r="BB187" i="3"/>
  <c r="BC186" i="3"/>
  <c r="BC188" i="3"/>
  <c r="BB189" i="3"/>
  <c r="AE261" i="3"/>
  <c r="AF224" i="3"/>
  <c r="AF204" i="3"/>
  <c r="AF193" i="3"/>
  <c r="AF231" i="3"/>
  <c r="AG231" i="3"/>
  <c r="AF222" i="3"/>
  <c r="AG222" i="3"/>
  <c r="AF232" i="3"/>
  <c r="AG232" i="3"/>
  <c r="AF221" i="3"/>
  <c r="AG221" i="3"/>
  <c r="AF206" i="3"/>
  <c r="AG206" i="3"/>
  <c r="AF230" i="3"/>
  <c r="AG230" i="3"/>
  <c r="AF223" i="3"/>
  <c r="AG223" i="3"/>
  <c r="AF205" i="3"/>
  <c r="AF257" i="3"/>
  <c r="AF258" i="3"/>
  <c r="BD186" i="3"/>
  <c r="BC187" i="3"/>
  <c r="BD184" i="3"/>
  <c r="BC185" i="3"/>
  <c r="BD188" i="3"/>
  <c r="BC189" i="3"/>
  <c r="AG205" i="3"/>
  <c r="AF256" i="3"/>
  <c r="AF261" i="3"/>
  <c r="AH261" i="3"/>
  <c r="AG204" i="3"/>
  <c r="AG258" i="3"/>
  <c r="AG257" i="3"/>
  <c r="BE184" i="3"/>
  <c r="BD185" i="3"/>
  <c r="BD189" i="3"/>
  <c r="BE188" i="3"/>
  <c r="BE186" i="3"/>
  <c r="BD187" i="3"/>
  <c r="AC79" i="3"/>
  <c r="AC65" i="3"/>
  <c r="AC51" i="3"/>
  <c r="BE189" i="3"/>
  <c r="BG188" i="3"/>
  <c r="BE187" i="3"/>
  <c r="BG186" i="3"/>
  <c r="BE185" i="3"/>
  <c r="BG184" i="3"/>
  <c r="AC188" i="3"/>
  <c r="AC189" i="3"/>
  <c r="AC186" i="3"/>
  <c r="AC187" i="3"/>
  <c r="AC184" i="3"/>
  <c r="AC185" i="3"/>
  <c r="AC130" i="3"/>
  <c r="AC129" i="3"/>
  <c r="BG187" i="3"/>
  <c r="BH186" i="3"/>
  <c r="BG185" i="3"/>
  <c r="BH184" i="3"/>
  <c r="BH188" i="3"/>
  <c r="BG189" i="3"/>
  <c r="AL32" i="3"/>
  <c r="AG32" i="3"/>
  <c r="AG33" i="3"/>
  <c r="BH185" i="3"/>
  <c r="BI184" i="3"/>
  <c r="BI186" i="3"/>
  <c r="BH187" i="3"/>
  <c r="BH189" i="3"/>
  <c r="BI188" i="3"/>
  <c r="AL33" i="3"/>
  <c r="AC190" i="3"/>
  <c r="AH98" i="3"/>
  <c r="AD98" i="3"/>
  <c r="AE98" i="3"/>
  <c r="AC98" i="3"/>
  <c r="AZ234" i="3"/>
  <c r="AY234" i="3"/>
  <c r="AX234" i="3"/>
  <c r="AW234" i="3"/>
  <c r="AU234" i="3"/>
  <c r="AT234" i="3"/>
  <c r="AS234" i="3"/>
  <c r="AR234" i="3"/>
  <c r="AP234" i="3"/>
  <c r="AO234" i="3"/>
  <c r="AE106" i="3"/>
  <c r="AE105" i="3"/>
  <c r="AC118" i="3"/>
  <c r="AC105" i="3"/>
  <c r="AD118" i="3"/>
  <c r="AD105" i="3"/>
  <c r="BJ186" i="3"/>
  <c r="BJ187" i="3"/>
  <c r="BI187" i="3"/>
  <c r="BJ188" i="3"/>
  <c r="BJ189" i="3"/>
  <c r="BI189" i="3"/>
  <c r="BJ184" i="3"/>
  <c r="BJ185" i="3"/>
  <c r="BI185" i="3"/>
  <c r="AQ234" i="3"/>
  <c r="AF98" i="3"/>
  <c r="AF105" i="3"/>
  <c r="AI98" i="3"/>
  <c r="AG99" i="3"/>
  <c r="AG98" i="3"/>
  <c r="AG234" i="3"/>
  <c r="AC170" i="3"/>
  <c r="X188" i="3"/>
  <c r="X189" i="3"/>
  <c r="X186" i="3"/>
  <c r="X187" i="3"/>
  <c r="X184" i="3"/>
  <c r="X185" i="3"/>
  <c r="S188" i="3"/>
  <c r="S189" i="3"/>
  <c r="S186" i="3"/>
  <c r="S187" i="3"/>
  <c r="S184" i="3"/>
  <c r="S185" i="3"/>
  <c r="O184" i="3"/>
  <c r="O185" i="3"/>
  <c r="N188" i="3"/>
  <c r="N189" i="3"/>
  <c r="N186" i="3"/>
  <c r="N187" i="3"/>
  <c r="N184" i="3"/>
  <c r="N185" i="3"/>
  <c r="I188" i="3"/>
  <c r="I189" i="3"/>
  <c r="I186" i="3"/>
  <c r="I187" i="3"/>
  <c r="I184" i="3"/>
  <c r="I185" i="3"/>
  <c r="J184" i="3"/>
  <c r="J185" i="3"/>
  <c r="D79" i="3"/>
  <c r="N79" i="3"/>
  <c r="Z104" i="3"/>
  <c r="Y104" i="3"/>
  <c r="U104" i="3"/>
  <c r="T104" i="3"/>
  <c r="U113" i="3"/>
  <c r="T113" i="3"/>
  <c r="P104" i="3"/>
  <c r="O104" i="3"/>
  <c r="O113" i="3"/>
  <c r="I65" i="3"/>
  <c r="J65" i="3"/>
  <c r="K65" i="3"/>
  <c r="N65" i="3"/>
  <c r="O65" i="3"/>
  <c r="P65" i="3"/>
  <c r="S65" i="3"/>
  <c r="T65" i="3"/>
  <c r="U65" i="3"/>
  <c r="X65" i="3"/>
  <c r="Y65" i="3"/>
  <c r="Z65" i="3"/>
  <c r="F65" i="3"/>
  <c r="X190" i="3"/>
  <c r="N190" i="3"/>
  <c r="I190" i="3"/>
  <c r="S190" i="3"/>
  <c r="Z90" i="3"/>
  <c r="Y90" i="3"/>
  <c r="Z77" i="3"/>
  <c r="Y77" i="3"/>
  <c r="Z49" i="3"/>
  <c r="Y49" i="3"/>
  <c r="U90" i="3"/>
  <c r="T90" i="3"/>
  <c r="U77" i="3"/>
  <c r="T77" i="3"/>
  <c r="U49" i="3"/>
  <c r="T49" i="3"/>
  <c r="P90" i="3"/>
  <c r="O90" i="3"/>
  <c r="P77" i="3"/>
  <c r="O77" i="3"/>
  <c r="P49" i="3"/>
  <c r="O49" i="3"/>
  <c r="J49" i="3"/>
  <c r="K49" i="3"/>
  <c r="J90" i="3"/>
  <c r="K90" i="3"/>
  <c r="F49" i="3"/>
  <c r="F90" i="3"/>
  <c r="E90" i="3"/>
  <c r="E49" i="3"/>
  <c r="AC138" i="3"/>
  <c r="X135" i="3"/>
  <c r="X134" i="3"/>
  <c r="S135" i="3"/>
  <c r="N135" i="3"/>
  <c r="N134" i="3"/>
  <c r="I135" i="3"/>
  <c r="I134" i="3"/>
  <c r="E134" i="3"/>
  <c r="E135" i="3"/>
  <c r="E129" i="3"/>
  <c r="F129" i="3"/>
  <c r="G129" i="3"/>
  <c r="H129" i="3"/>
  <c r="I129" i="3"/>
  <c r="J129" i="3"/>
  <c r="K129" i="3"/>
  <c r="L129" i="3"/>
  <c r="M129" i="3"/>
  <c r="N129" i="3"/>
  <c r="O129" i="3"/>
  <c r="P129" i="3"/>
  <c r="Q129" i="3"/>
  <c r="R129" i="3"/>
  <c r="S129" i="3"/>
  <c r="T129" i="3"/>
  <c r="U129" i="3"/>
  <c r="V129" i="3"/>
  <c r="W129" i="3"/>
  <c r="X129" i="3"/>
  <c r="Y129" i="3"/>
  <c r="Z129" i="3"/>
  <c r="AA129" i="3"/>
  <c r="AB129" i="3"/>
  <c r="E130" i="3"/>
  <c r="F130" i="3"/>
  <c r="G130" i="3"/>
  <c r="H130" i="3"/>
  <c r="I130" i="3"/>
  <c r="J130" i="3"/>
  <c r="K130" i="3"/>
  <c r="L130" i="3"/>
  <c r="M130" i="3"/>
  <c r="N130" i="3"/>
  <c r="O130" i="3"/>
  <c r="P130" i="3"/>
  <c r="Q130" i="3"/>
  <c r="R130" i="3"/>
  <c r="S130" i="3"/>
  <c r="T130" i="3"/>
  <c r="U130" i="3"/>
  <c r="V130" i="3"/>
  <c r="W130" i="3"/>
  <c r="X130" i="3"/>
  <c r="Y130" i="3"/>
  <c r="Z130" i="3"/>
  <c r="AA130" i="3"/>
  <c r="AB130" i="3"/>
  <c r="D130" i="3"/>
  <c r="D129" i="3"/>
  <c r="X124" i="3"/>
  <c r="S124" i="3"/>
  <c r="N124" i="3"/>
  <c r="I124" i="3"/>
  <c r="J124" i="3"/>
  <c r="T124" i="3"/>
  <c r="AA235" i="3"/>
  <c r="AB235" i="3"/>
  <c r="AA236" i="3"/>
  <c r="AB236" i="3"/>
  <c r="AA89" i="3"/>
  <c r="AA76" i="3"/>
  <c r="AA62" i="3"/>
  <c r="AA48" i="3"/>
  <c r="AA103" i="3"/>
  <c r="AA112" i="3"/>
  <c r="AA88" i="3"/>
  <c r="AB88" i="3"/>
  <c r="AA75" i="3"/>
  <c r="AA47" i="3"/>
  <c r="AB47" i="3"/>
  <c r="AA44" i="3"/>
  <c r="AB44" i="3"/>
  <c r="AA43" i="3"/>
  <c r="AB43" i="3"/>
  <c r="AA42" i="3"/>
  <c r="AB42" i="3"/>
  <c r="AA41" i="3"/>
  <c r="AB41" i="3"/>
  <c r="AA39" i="3"/>
  <c r="AB39" i="3"/>
  <c r="AA38" i="3"/>
  <c r="AB38" i="3"/>
  <c r="Y234" i="3"/>
  <c r="Y233" i="3"/>
  <c r="Z233" i="3"/>
  <c r="AA233" i="3"/>
  <c r="AB233" i="3"/>
  <c r="Y232" i="3"/>
  <c r="Y258" i="3"/>
  <c r="Y231" i="3"/>
  <c r="Y230" i="3"/>
  <c r="Y226" i="3"/>
  <c r="Z226" i="3"/>
  <c r="AA226" i="3"/>
  <c r="AB226" i="3"/>
  <c r="Y225" i="3"/>
  <c r="Y224" i="3"/>
  <c r="Y223" i="3"/>
  <c r="Z223" i="3"/>
  <c r="AA223" i="3"/>
  <c r="Y222" i="3"/>
  <c r="Z222" i="3"/>
  <c r="AA222" i="3"/>
  <c r="AB222" i="3"/>
  <c r="Y221" i="3"/>
  <c r="Z221" i="3"/>
  <c r="AA221" i="3"/>
  <c r="Y220" i="3"/>
  <c r="Z220" i="3"/>
  <c r="AA220" i="3"/>
  <c r="AB220" i="3"/>
  <c r="Y216" i="3"/>
  <c r="Z216" i="3"/>
  <c r="Y215" i="3"/>
  <c r="Z215" i="3"/>
  <c r="AA215" i="3"/>
  <c r="AB215" i="3"/>
  <c r="Y214" i="3"/>
  <c r="Z214" i="3"/>
  <c r="AA214" i="3"/>
  <c r="Y213" i="3"/>
  <c r="Z213" i="3"/>
  <c r="AA213" i="3"/>
  <c r="AB213" i="3"/>
  <c r="Y212" i="3"/>
  <c r="Z212" i="3"/>
  <c r="Y211" i="3"/>
  <c r="Z211" i="3"/>
  <c r="AA211" i="3"/>
  <c r="AB211" i="3"/>
  <c r="Y210" i="3"/>
  <c r="Z210" i="3"/>
  <c r="AA210" i="3"/>
  <c r="Y206" i="3"/>
  <c r="Z206" i="3"/>
  <c r="AA206" i="3"/>
  <c r="AB206" i="3"/>
  <c r="V232" i="3"/>
  <c r="BA234" i="3"/>
  <c r="BA230" i="3"/>
  <c r="BA222" i="3"/>
  <c r="BA221" i="3"/>
  <c r="BA208" i="3"/>
  <c r="BA207" i="3"/>
  <c r="BA206" i="3"/>
  <c r="AV234" i="3"/>
  <c r="AV230" i="3"/>
  <c r="AV222" i="3"/>
  <c r="AV221" i="3"/>
  <c r="AV208" i="3"/>
  <c r="AV207" i="3"/>
  <c r="AV206" i="3"/>
  <c r="AQ208" i="3"/>
  <c r="AL234" i="3"/>
  <c r="AL232" i="3"/>
  <c r="AL231" i="3"/>
  <c r="AL230" i="3"/>
  <c r="AL222" i="3"/>
  <c r="AL221" i="3"/>
  <c r="AL207" i="3"/>
  <c r="AL206" i="3"/>
  <c r="AL205" i="3"/>
  <c r="AB237" i="3"/>
  <c r="AB207" i="3"/>
  <c r="AB205" i="3"/>
  <c r="AB204" i="3"/>
  <c r="W236" i="3"/>
  <c r="W208" i="3"/>
  <c r="W207" i="3"/>
  <c r="W204" i="3"/>
  <c r="R237" i="3"/>
  <c r="R236" i="3"/>
  <c r="R235" i="3"/>
  <c r="R234" i="3"/>
  <c r="R233" i="3"/>
  <c r="R208" i="3"/>
  <c r="R207" i="3"/>
  <c r="V89" i="3"/>
  <c r="W89" i="3"/>
  <c r="V76" i="3"/>
  <c r="V62" i="3"/>
  <c r="V48" i="3"/>
  <c r="V103" i="3"/>
  <c r="V105" i="3"/>
  <c r="V112" i="3"/>
  <c r="V88" i="3"/>
  <c r="W88" i="3"/>
  <c r="V75" i="3"/>
  <c r="W75" i="3"/>
  <c r="V47" i="3"/>
  <c r="W47" i="3"/>
  <c r="V44" i="3"/>
  <c r="W44" i="3"/>
  <c r="V43" i="3"/>
  <c r="W43" i="3"/>
  <c r="V42" i="3"/>
  <c r="W42" i="3"/>
  <c r="V41" i="3"/>
  <c r="W41" i="3"/>
  <c r="V39" i="3"/>
  <c r="W39" i="3"/>
  <c r="V38" i="3"/>
  <c r="W38" i="3"/>
  <c r="Q89" i="3"/>
  <c r="R89" i="3"/>
  <c r="Q76" i="3"/>
  <c r="Q62" i="3"/>
  <c r="Q48" i="3"/>
  <c r="Q103" i="3"/>
  <c r="Q105" i="3"/>
  <c r="Q112" i="3"/>
  <c r="S113" i="3"/>
  <c r="Q88" i="3"/>
  <c r="R88" i="3"/>
  <c r="Q75" i="3"/>
  <c r="R75" i="3"/>
  <c r="Q47" i="3"/>
  <c r="R47" i="3"/>
  <c r="Q44" i="3"/>
  <c r="R44" i="3"/>
  <c r="Q43" i="3"/>
  <c r="R43" i="3"/>
  <c r="Q42" i="3"/>
  <c r="R42" i="3"/>
  <c r="Q41" i="3"/>
  <c r="R41" i="3"/>
  <c r="Q39" i="3"/>
  <c r="R39" i="3"/>
  <c r="Q38" i="3"/>
  <c r="R38" i="3"/>
  <c r="U235" i="3"/>
  <c r="V235" i="3"/>
  <c r="W235" i="3"/>
  <c r="U205" i="3"/>
  <c r="T237" i="3"/>
  <c r="T234" i="3"/>
  <c r="U234" i="3"/>
  <c r="V234" i="3"/>
  <c r="T233" i="3"/>
  <c r="U233" i="3"/>
  <c r="V233" i="3"/>
  <c r="T231" i="3"/>
  <c r="T257" i="3"/>
  <c r="T230" i="3"/>
  <c r="U230" i="3"/>
  <c r="V230" i="3"/>
  <c r="T226" i="3"/>
  <c r="T225" i="3"/>
  <c r="U225" i="3"/>
  <c r="V225" i="3"/>
  <c r="T224" i="3"/>
  <c r="T261" i="3"/>
  <c r="T223" i="3"/>
  <c r="U223" i="3"/>
  <c r="V223" i="3"/>
  <c r="T222" i="3"/>
  <c r="T221" i="3"/>
  <c r="U221" i="3"/>
  <c r="T220" i="3"/>
  <c r="T216" i="3"/>
  <c r="U216" i="3"/>
  <c r="V216" i="3"/>
  <c r="W216" i="3"/>
  <c r="T215" i="3"/>
  <c r="T214" i="3"/>
  <c r="U214" i="3"/>
  <c r="T213" i="3"/>
  <c r="T212" i="3"/>
  <c r="U212" i="3"/>
  <c r="V212" i="3"/>
  <c r="W212" i="3"/>
  <c r="T211" i="3"/>
  <c r="T210" i="3"/>
  <c r="U210" i="3"/>
  <c r="T206" i="3"/>
  <c r="P223" i="3"/>
  <c r="O205" i="3"/>
  <c r="O204" i="3"/>
  <c r="O193" i="3"/>
  <c r="O216" i="3"/>
  <c r="O215" i="3"/>
  <c r="P215" i="3"/>
  <c r="Q215" i="3"/>
  <c r="O214" i="3"/>
  <c r="O213" i="3"/>
  <c r="O212" i="3"/>
  <c r="O211" i="3"/>
  <c r="P211" i="3"/>
  <c r="Q211" i="3"/>
  <c r="O210" i="3"/>
  <c r="O206" i="3"/>
  <c r="O232" i="3"/>
  <c r="O231" i="3"/>
  <c r="P231" i="3"/>
  <c r="O230" i="3"/>
  <c r="O226" i="3"/>
  <c r="P226" i="3"/>
  <c r="Q226" i="3"/>
  <c r="O225" i="3"/>
  <c r="O224" i="3"/>
  <c r="O222" i="3"/>
  <c r="P222" i="3"/>
  <c r="O221" i="3"/>
  <c r="O220" i="3"/>
  <c r="H240" i="3"/>
  <c r="D213" i="3"/>
  <c r="E213" i="3"/>
  <c r="F213" i="3"/>
  <c r="G213" i="3"/>
  <c r="H213" i="3"/>
  <c r="S79" i="3"/>
  <c r="E77" i="3"/>
  <c r="F77" i="3"/>
  <c r="K77" i="3"/>
  <c r="P79" i="3"/>
  <c r="U79" i="3"/>
  <c r="Y79" i="3"/>
  <c r="O79" i="3"/>
  <c r="T79" i="3"/>
  <c r="X79" i="3"/>
  <c r="S45" i="3"/>
  <c r="AB174" i="3"/>
  <c r="AB173" i="3"/>
  <c r="AB172" i="3"/>
  <c r="AB170" i="3"/>
  <c r="AB166" i="3"/>
  <c r="AB165" i="3"/>
  <c r="AB163" i="3"/>
  <c r="AB162" i="3"/>
  <c r="AB161" i="3"/>
  <c r="AB160" i="3"/>
  <c r="AB156" i="3"/>
  <c r="AB155" i="3"/>
  <c r="AB154" i="3"/>
  <c r="AB153" i="3"/>
  <c r="AB152" i="3"/>
  <c r="AB150" i="3"/>
  <c r="AB149" i="3"/>
  <c r="AB148" i="3"/>
  <c r="AB147" i="3"/>
  <c r="AC211" i="3"/>
  <c r="AB146" i="3"/>
  <c r="AC210" i="3"/>
  <c r="AB145" i="3"/>
  <c r="AB144" i="3"/>
  <c r="W174" i="3"/>
  <c r="W173" i="3"/>
  <c r="W172" i="3"/>
  <c r="W170" i="3"/>
  <c r="W166" i="3"/>
  <c r="W165" i="3"/>
  <c r="W163" i="3"/>
  <c r="W162" i="3"/>
  <c r="W161" i="3"/>
  <c r="W160" i="3"/>
  <c r="W156" i="3"/>
  <c r="W155" i="3"/>
  <c r="W154" i="3"/>
  <c r="W153" i="3"/>
  <c r="W152" i="3"/>
  <c r="W150" i="3"/>
  <c r="W149" i="3"/>
  <c r="W148" i="3"/>
  <c r="W147" i="3"/>
  <c r="W146" i="3"/>
  <c r="W145" i="3"/>
  <c r="W144" i="3"/>
  <c r="R174" i="3"/>
  <c r="R173" i="3"/>
  <c r="R172" i="3"/>
  <c r="R170" i="3"/>
  <c r="R166" i="3"/>
  <c r="R165" i="3"/>
  <c r="R163" i="3"/>
  <c r="R162" i="3"/>
  <c r="R161" i="3"/>
  <c r="R160" i="3"/>
  <c r="R156" i="3"/>
  <c r="R155" i="3"/>
  <c r="R154" i="3"/>
  <c r="R153" i="3"/>
  <c r="R152" i="3"/>
  <c r="R150" i="3"/>
  <c r="R149" i="3"/>
  <c r="R148" i="3"/>
  <c r="R147" i="3"/>
  <c r="R146" i="3"/>
  <c r="R145" i="3"/>
  <c r="R144" i="3"/>
  <c r="M174" i="3"/>
  <c r="M173" i="3"/>
  <c r="M172" i="3"/>
  <c r="M170" i="3"/>
  <c r="M167" i="3"/>
  <c r="M166" i="3"/>
  <c r="M165" i="3"/>
  <c r="M163" i="3"/>
  <c r="M162" i="3"/>
  <c r="M161" i="3"/>
  <c r="M160" i="3"/>
  <c r="M156" i="3"/>
  <c r="M155" i="3"/>
  <c r="M154" i="3"/>
  <c r="M153" i="3"/>
  <c r="M152" i="3"/>
  <c r="M150" i="3"/>
  <c r="M149" i="3"/>
  <c r="M148" i="3"/>
  <c r="M147" i="3"/>
  <c r="M146" i="3"/>
  <c r="M145" i="3"/>
  <c r="M144" i="3"/>
  <c r="H174" i="3"/>
  <c r="H173" i="3"/>
  <c r="H172" i="3"/>
  <c r="H170" i="3"/>
  <c r="H167" i="3"/>
  <c r="H166" i="3"/>
  <c r="H165" i="3"/>
  <c r="H163" i="3"/>
  <c r="H162" i="3"/>
  <c r="H161" i="3"/>
  <c r="H160" i="3"/>
  <c r="H156" i="3"/>
  <c r="H155" i="3"/>
  <c r="H154" i="3"/>
  <c r="H153" i="3"/>
  <c r="H152" i="3"/>
  <c r="H150" i="3"/>
  <c r="H149" i="3"/>
  <c r="H148" i="3"/>
  <c r="H147" i="3"/>
  <c r="H146" i="3"/>
  <c r="H145" i="3"/>
  <c r="H144" i="3"/>
  <c r="G232" i="3"/>
  <c r="H236" i="3"/>
  <c r="H235" i="3"/>
  <c r="H234" i="3"/>
  <c r="H233" i="3"/>
  <c r="H208" i="3"/>
  <c r="H205" i="3"/>
  <c r="H204" i="3"/>
  <c r="M237" i="3"/>
  <c r="M236" i="3"/>
  <c r="M235" i="3"/>
  <c r="M234" i="3"/>
  <c r="M233" i="3"/>
  <c r="M223" i="3"/>
  <c r="M208" i="3"/>
  <c r="M207" i="3"/>
  <c r="M205" i="3"/>
  <c r="M204" i="3"/>
  <c r="G62" i="3"/>
  <c r="G48" i="3"/>
  <c r="G89" i="3"/>
  <c r="H89" i="3"/>
  <c r="G117" i="3"/>
  <c r="H117" i="3"/>
  <c r="G116" i="3"/>
  <c r="H116" i="3"/>
  <c r="G47" i="3"/>
  <c r="H47" i="3"/>
  <c r="G115" i="3"/>
  <c r="G88" i="3"/>
  <c r="H88" i="3"/>
  <c r="G44" i="3"/>
  <c r="H44" i="3"/>
  <c r="G43" i="3"/>
  <c r="H43" i="3"/>
  <c r="G41" i="3"/>
  <c r="H41" i="3"/>
  <c r="G39" i="3"/>
  <c r="H39" i="3"/>
  <c r="G38" i="3"/>
  <c r="H38" i="3"/>
  <c r="L62" i="3"/>
  <c r="L48" i="3"/>
  <c r="L89" i="3"/>
  <c r="M89" i="3"/>
  <c r="L117" i="3"/>
  <c r="M117" i="3"/>
  <c r="L116" i="3"/>
  <c r="M116" i="3"/>
  <c r="L47" i="3"/>
  <c r="M47" i="3"/>
  <c r="L115" i="3"/>
  <c r="L88" i="3"/>
  <c r="M88" i="3"/>
  <c r="L44" i="3"/>
  <c r="M44" i="3"/>
  <c r="L43" i="3"/>
  <c r="M43" i="3"/>
  <c r="L41" i="3"/>
  <c r="M41" i="3"/>
  <c r="L39" i="3"/>
  <c r="M39" i="3"/>
  <c r="L38" i="3"/>
  <c r="M38" i="3"/>
  <c r="F223" i="3"/>
  <c r="F212" i="3"/>
  <c r="G212" i="3"/>
  <c r="H212" i="3"/>
  <c r="E237" i="3"/>
  <c r="F237" i="3"/>
  <c r="G237" i="3"/>
  <c r="H237" i="3"/>
  <c r="E231" i="3"/>
  <c r="E257" i="3"/>
  <c r="E230" i="3"/>
  <c r="F230" i="3"/>
  <c r="E225" i="3"/>
  <c r="F225" i="3"/>
  <c r="G225" i="3"/>
  <c r="E224" i="3"/>
  <c r="E222" i="3"/>
  <c r="E221" i="3"/>
  <c r="E220" i="3"/>
  <c r="F220" i="3"/>
  <c r="E216" i="3"/>
  <c r="F216" i="3"/>
  <c r="G216" i="3"/>
  <c r="E215" i="3"/>
  <c r="E214" i="3"/>
  <c r="F214" i="3"/>
  <c r="G214" i="3"/>
  <c r="E211" i="3"/>
  <c r="F211" i="3"/>
  <c r="G211" i="3"/>
  <c r="H211" i="3"/>
  <c r="E207" i="3"/>
  <c r="E210" i="3"/>
  <c r="F210" i="3"/>
  <c r="G210" i="3"/>
  <c r="H210" i="3"/>
  <c r="E206" i="3"/>
  <c r="J232" i="3"/>
  <c r="J231" i="3"/>
  <c r="J257" i="3"/>
  <c r="J230" i="3"/>
  <c r="J226" i="3"/>
  <c r="J225" i="3"/>
  <c r="K225" i="3"/>
  <c r="J224" i="3"/>
  <c r="J261" i="3"/>
  <c r="J222" i="3"/>
  <c r="K222" i="3"/>
  <c r="L222" i="3"/>
  <c r="J221" i="3"/>
  <c r="K221" i="3"/>
  <c r="L221" i="3"/>
  <c r="J220" i="3"/>
  <c r="K220" i="3"/>
  <c r="L220" i="3"/>
  <c r="J216" i="3"/>
  <c r="J215" i="3"/>
  <c r="J214" i="3"/>
  <c r="K214" i="3"/>
  <c r="J213" i="3"/>
  <c r="J212" i="3"/>
  <c r="J211" i="3"/>
  <c r="J210" i="3"/>
  <c r="J206" i="3"/>
  <c r="D238" i="3"/>
  <c r="I238" i="3"/>
  <c r="N238" i="3"/>
  <c r="S238" i="3"/>
  <c r="X238" i="3"/>
  <c r="D226" i="3"/>
  <c r="V78" i="3"/>
  <c r="AC104" i="3"/>
  <c r="AA105" i="3"/>
  <c r="M48" i="3"/>
  <c r="M51" i="3"/>
  <c r="L50" i="3"/>
  <c r="H232" i="3"/>
  <c r="H258" i="3"/>
  <c r="G258" i="3"/>
  <c r="R62" i="3"/>
  <c r="Q64" i="3"/>
  <c r="S63" i="3"/>
  <c r="Q63" i="3"/>
  <c r="X113" i="3"/>
  <c r="V114" i="3"/>
  <c r="M62" i="3"/>
  <c r="N63" i="3"/>
  <c r="L64" i="3"/>
  <c r="L63" i="3"/>
  <c r="Q231" i="3"/>
  <c r="Q257" i="3"/>
  <c r="P257" i="3"/>
  <c r="Q77" i="3"/>
  <c r="Q78" i="3"/>
  <c r="W232" i="3"/>
  <c r="V258" i="3"/>
  <c r="AF50" i="3"/>
  <c r="AA50" i="3"/>
  <c r="H62" i="3"/>
  <c r="I63" i="3"/>
  <c r="G63" i="3"/>
  <c r="V50" i="3"/>
  <c r="Z231" i="3"/>
  <c r="Y257" i="3"/>
  <c r="AA64" i="3"/>
  <c r="AF64" i="3"/>
  <c r="AA63" i="3"/>
  <c r="AC63" i="3"/>
  <c r="K232" i="3"/>
  <c r="J258" i="3"/>
  <c r="R48" i="3"/>
  <c r="Q50" i="3"/>
  <c r="V63" i="3"/>
  <c r="V64" i="3"/>
  <c r="X63" i="3"/>
  <c r="AA113" i="3"/>
  <c r="AF114" i="3"/>
  <c r="AC113" i="3"/>
  <c r="AA114" i="3"/>
  <c r="AF78" i="3"/>
  <c r="AA78" i="3"/>
  <c r="U258" i="3"/>
  <c r="O258" i="3"/>
  <c r="O257" i="3"/>
  <c r="AL257" i="3"/>
  <c r="AL258" i="3"/>
  <c r="M250" i="3"/>
  <c r="R250" i="3"/>
  <c r="AB250" i="3"/>
  <c r="H250" i="3"/>
  <c r="W250" i="3"/>
  <c r="AB247" i="3"/>
  <c r="W205" i="3"/>
  <c r="U256" i="3"/>
  <c r="R205" i="3"/>
  <c r="O256" i="3"/>
  <c r="AA79" i="3"/>
  <c r="H115" i="3"/>
  <c r="H118" i="3"/>
  <c r="G118" i="3"/>
  <c r="W112" i="3"/>
  <c r="V118" i="3"/>
  <c r="Q118" i="3"/>
  <c r="M115" i="3"/>
  <c r="M118" i="3"/>
  <c r="L118" i="3"/>
  <c r="AA118" i="3"/>
  <c r="H48" i="3"/>
  <c r="I49" i="3"/>
  <c r="AC134" i="3"/>
  <c r="AC135" i="3"/>
  <c r="V49" i="3"/>
  <c r="V77" i="3"/>
  <c r="W62" i="3"/>
  <c r="AC49" i="3"/>
  <c r="AC77" i="3"/>
  <c r="M90" i="3"/>
  <c r="H91" i="3"/>
  <c r="AB112" i="3"/>
  <c r="AC236" i="3"/>
  <c r="H65" i="3"/>
  <c r="W76" i="3"/>
  <c r="W79" i="3"/>
  <c r="AB89" i="3"/>
  <c r="AB90" i="3"/>
  <c r="AB221" i="3"/>
  <c r="F224" i="3"/>
  <c r="F261" i="3"/>
  <c r="E261" i="3"/>
  <c r="AC212" i="3"/>
  <c r="AB76" i="3"/>
  <c r="P224" i="3"/>
  <c r="O261" i="3"/>
  <c r="R204" i="3"/>
  <c r="Z224" i="3"/>
  <c r="Y261" i="3"/>
  <c r="O238" i="3"/>
  <c r="AB48" i="3"/>
  <c r="W48" i="3"/>
  <c r="W51" i="3"/>
  <c r="AB75" i="3"/>
  <c r="G65" i="3"/>
  <c r="M65" i="3"/>
  <c r="L65" i="3"/>
  <c r="K79" i="3"/>
  <c r="I79" i="3"/>
  <c r="E79" i="3"/>
  <c r="W230" i="3"/>
  <c r="Q65" i="3"/>
  <c r="R103" i="3"/>
  <c r="R105" i="3"/>
  <c r="S104" i="3"/>
  <c r="Q104" i="3"/>
  <c r="R90" i="3"/>
  <c r="V113" i="3"/>
  <c r="AA65" i="3"/>
  <c r="AB103" i="3"/>
  <c r="AB105" i="3"/>
  <c r="AA104" i="3"/>
  <c r="AB62" i="3"/>
  <c r="AB63" i="3"/>
  <c r="I90" i="3"/>
  <c r="Q49" i="3"/>
  <c r="N90" i="3"/>
  <c r="S49" i="3"/>
  <c r="S77" i="3"/>
  <c r="S90" i="3"/>
  <c r="X49" i="3"/>
  <c r="X77" i="3"/>
  <c r="X90" i="3"/>
  <c r="AD89" i="3"/>
  <c r="J79" i="3"/>
  <c r="F79" i="3"/>
  <c r="R112" i="3"/>
  <c r="Q113" i="3"/>
  <c r="V65" i="3"/>
  <c r="W103" i="3"/>
  <c r="W105" i="3"/>
  <c r="X104" i="3"/>
  <c r="V104" i="3"/>
  <c r="W90" i="3"/>
  <c r="G90" i="3"/>
  <c r="G49" i="3"/>
  <c r="L90" i="3"/>
  <c r="N49" i="3"/>
  <c r="Q90" i="3"/>
  <c r="V90" i="3"/>
  <c r="AA49" i="3"/>
  <c r="AA77" i="3"/>
  <c r="AA90" i="3"/>
  <c r="L49" i="3"/>
  <c r="J77" i="3"/>
  <c r="AA212" i="3"/>
  <c r="AB212" i="3"/>
  <c r="W223" i="3"/>
  <c r="P220" i="3"/>
  <c r="Q220" i="3"/>
  <c r="AB210" i="3"/>
  <c r="AB214" i="3"/>
  <c r="Q223" i="3"/>
  <c r="R223" i="3"/>
  <c r="Q222" i="3"/>
  <c r="R222" i="3"/>
  <c r="AA216" i="3"/>
  <c r="AB216" i="3"/>
  <c r="P206" i="3"/>
  <c r="Q206" i="3"/>
  <c r="P213" i="3"/>
  <c r="Q213" i="3"/>
  <c r="U211" i="3"/>
  <c r="V211" i="3"/>
  <c r="U213" i="3"/>
  <c r="V213" i="3"/>
  <c r="U215" i="3"/>
  <c r="V215" i="3"/>
  <c r="U220" i="3"/>
  <c r="V220" i="3"/>
  <c r="U222" i="3"/>
  <c r="V222" i="3"/>
  <c r="U224" i="3"/>
  <c r="U226" i="3"/>
  <c r="V226" i="3"/>
  <c r="U231" i="3"/>
  <c r="U257" i="3"/>
  <c r="U206" i="3"/>
  <c r="V206" i="3"/>
  <c r="Q79" i="3"/>
  <c r="V210" i="3"/>
  <c r="W210" i="3"/>
  <c r="V214" i="3"/>
  <c r="W214" i="3"/>
  <c r="R211" i="3"/>
  <c r="R215" i="3"/>
  <c r="R226" i="3"/>
  <c r="W234" i="3"/>
  <c r="V221" i="3"/>
  <c r="W221" i="3"/>
  <c r="P225" i="3"/>
  <c r="Q225" i="3"/>
  <c r="P230" i="3"/>
  <c r="P232" i="3"/>
  <c r="W233" i="3"/>
  <c r="R76" i="3"/>
  <c r="R231" i="3"/>
  <c r="W225" i="3"/>
  <c r="AB223" i="3"/>
  <c r="Z225" i="3"/>
  <c r="AA225" i="3"/>
  <c r="Y238" i="3"/>
  <c r="Z232" i="3"/>
  <c r="Z234" i="3"/>
  <c r="AA234" i="3"/>
  <c r="Z230" i="3"/>
  <c r="P210" i="3"/>
  <c r="Q210" i="3"/>
  <c r="P212" i="3"/>
  <c r="Q212" i="3"/>
  <c r="P214" i="3"/>
  <c r="Q214" i="3"/>
  <c r="P216" i="3"/>
  <c r="Q216" i="3"/>
  <c r="P221" i="3"/>
  <c r="Q221" i="3"/>
  <c r="T238" i="3"/>
  <c r="U237" i="3"/>
  <c r="AB45" i="3"/>
  <c r="M77" i="3"/>
  <c r="Z79" i="3"/>
  <c r="V79" i="3"/>
  <c r="G77" i="3"/>
  <c r="J238" i="3"/>
  <c r="E226" i="3"/>
  <c r="F226" i="3"/>
  <c r="G226" i="3"/>
  <c r="E238" i="3"/>
  <c r="K230" i="3"/>
  <c r="L230" i="3"/>
  <c r="R151" i="3"/>
  <c r="R157" i="3"/>
  <c r="R164" i="3"/>
  <c r="R168" i="3"/>
  <c r="R175" i="3"/>
  <c r="AB151" i="3"/>
  <c r="AB157" i="3"/>
  <c r="AB164" i="3"/>
  <c r="AB168" i="3"/>
  <c r="AB175" i="3"/>
  <c r="L214" i="3"/>
  <c r="M214" i="3"/>
  <c r="L225" i="3"/>
  <c r="M225" i="3"/>
  <c r="G220" i="3"/>
  <c r="H220" i="3"/>
  <c r="K206" i="3"/>
  <c r="L206" i="3"/>
  <c r="K211" i="3"/>
  <c r="L211" i="3"/>
  <c r="K213" i="3"/>
  <c r="L213" i="3"/>
  <c r="K215" i="3"/>
  <c r="L215" i="3"/>
  <c r="K226" i="3"/>
  <c r="L226" i="3"/>
  <c r="F207" i="3"/>
  <c r="H207" i="3"/>
  <c r="F221" i="3"/>
  <c r="G221" i="3"/>
  <c r="M221" i="3"/>
  <c r="G223" i="3"/>
  <c r="H223" i="3"/>
  <c r="G230" i="3"/>
  <c r="H230" i="3"/>
  <c r="M220" i="3"/>
  <c r="M222" i="3"/>
  <c r="H214" i="3"/>
  <c r="H216" i="3"/>
  <c r="H225" i="3"/>
  <c r="K210" i="3"/>
  <c r="L210" i="3"/>
  <c r="K212" i="3"/>
  <c r="L212" i="3"/>
  <c r="K216" i="3"/>
  <c r="L216" i="3"/>
  <c r="K224" i="3"/>
  <c r="K231" i="3"/>
  <c r="F206" i="3"/>
  <c r="G206" i="3"/>
  <c r="F215" i="3"/>
  <c r="G215" i="3"/>
  <c r="F222" i="3"/>
  <c r="G222" i="3"/>
  <c r="F231" i="3"/>
  <c r="M151" i="3"/>
  <c r="M157" i="3"/>
  <c r="M164" i="3"/>
  <c r="M168" i="3"/>
  <c r="M175" i="3"/>
  <c r="W151" i="3"/>
  <c r="W157" i="3"/>
  <c r="W164" i="3"/>
  <c r="W168" i="3"/>
  <c r="W175" i="3"/>
  <c r="D91" i="3"/>
  <c r="E91" i="3"/>
  <c r="F91" i="3"/>
  <c r="G91" i="3"/>
  <c r="I91" i="3"/>
  <c r="J91" i="3"/>
  <c r="K91" i="3"/>
  <c r="L91" i="3"/>
  <c r="M91" i="3"/>
  <c r="N91" i="3"/>
  <c r="O91" i="3"/>
  <c r="P91" i="3"/>
  <c r="Q91" i="3"/>
  <c r="R91" i="3"/>
  <c r="S91" i="3"/>
  <c r="T91" i="3"/>
  <c r="U91" i="3"/>
  <c r="V91" i="3"/>
  <c r="W91" i="3"/>
  <c r="X91" i="3"/>
  <c r="Y91" i="3"/>
  <c r="Z91" i="3"/>
  <c r="AA91" i="3"/>
  <c r="D51" i="3"/>
  <c r="E51" i="3"/>
  <c r="F51" i="3"/>
  <c r="G51" i="3"/>
  <c r="I51" i="3"/>
  <c r="J51" i="3"/>
  <c r="K51" i="3"/>
  <c r="L51" i="3"/>
  <c r="N51" i="3"/>
  <c r="O51" i="3"/>
  <c r="P51" i="3"/>
  <c r="Q51" i="3"/>
  <c r="R51" i="3"/>
  <c r="S51" i="3"/>
  <c r="T51" i="3"/>
  <c r="U51" i="3"/>
  <c r="V51" i="3"/>
  <c r="X51" i="3"/>
  <c r="Y51" i="3"/>
  <c r="Z51" i="3"/>
  <c r="AA51" i="3"/>
  <c r="D45" i="3"/>
  <c r="E45" i="3"/>
  <c r="F45" i="3"/>
  <c r="G45" i="3"/>
  <c r="H45" i="3"/>
  <c r="I45" i="3"/>
  <c r="J45" i="3"/>
  <c r="K45" i="3"/>
  <c r="L45" i="3"/>
  <c r="M45" i="3"/>
  <c r="N45" i="3"/>
  <c r="O45" i="3"/>
  <c r="P45" i="3"/>
  <c r="Q45" i="3"/>
  <c r="R45" i="3"/>
  <c r="T45" i="3"/>
  <c r="U45" i="3"/>
  <c r="V45" i="3"/>
  <c r="W45" i="3"/>
  <c r="X45" i="3"/>
  <c r="Y45" i="3"/>
  <c r="Z45" i="3"/>
  <c r="AA45" i="3"/>
  <c r="D227" i="3"/>
  <c r="G188" i="3"/>
  <c r="G189" i="3"/>
  <c r="F188" i="3"/>
  <c r="F189" i="3"/>
  <c r="E188" i="3"/>
  <c r="E189" i="3"/>
  <c r="G186" i="3"/>
  <c r="G187" i="3"/>
  <c r="F186" i="3"/>
  <c r="F187" i="3"/>
  <c r="E186" i="3"/>
  <c r="E187" i="3"/>
  <c r="G184" i="3"/>
  <c r="G185" i="3"/>
  <c r="F184" i="3"/>
  <c r="F185" i="3"/>
  <c r="E184" i="3"/>
  <c r="E185" i="3"/>
  <c r="H175" i="3"/>
  <c r="G175" i="3"/>
  <c r="G194" i="3"/>
  <c r="F175" i="3"/>
  <c r="F194" i="3"/>
  <c r="E175" i="3"/>
  <c r="E194" i="3"/>
  <c r="D175" i="3"/>
  <c r="H164" i="3"/>
  <c r="H168" i="3"/>
  <c r="G164" i="3"/>
  <c r="G168" i="3"/>
  <c r="F164" i="3"/>
  <c r="F168" i="3"/>
  <c r="E164" i="3"/>
  <c r="E168" i="3"/>
  <c r="D164" i="3"/>
  <c r="D168" i="3"/>
  <c r="G135" i="3"/>
  <c r="F135" i="3"/>
  <c r="G134" i="3"/>
  <c r="F134" i="3"/>
  <c r="G124" i="3"/>
  <c r="F124" i="3"/>
  <c r="E124" i="3"/>
  <c r="H15" i="3"/>
  <c r="G15" i="3"/>
  <c r="G19" i="3"/>
  <c r="G20" i="3"/>
  <c r="F15" i="3"/>
  <c r="F125" i="3"/>
  <c r="E15" i="3"/>
  <c r="E125" i="3"/>
  <c r="D15" i="3"/>
  <c r="D125" i="3"/>
  <c r="I227" i="3"/>
  <c r="L188" i="3"/>
  <c r="L189" i="3"/>
  <c r="K188" i="3"/>
  <c r="K189" i="3"/>
  <c r="J188" i="3"/>
  <c r="J189" i="3"/>
  <c r="L186" i="3"/>
  <c r="L187" i="3"/>
  <c r="K186" i="3"/>
  <c r="K187" i="3"/>
  <c r="J186" i="3"/>
  <c r="J187" i="3"/>
  <c r="L184" i="3"/>
  <c r="L185" i="3"/>
  <c r="K184" i="3"/>
  <c r="K185" i="3"/>
  <c r="L175" i="3"/>
  <c r="L194" i="3"/>
  <c r="K175" i="3"/>
  <c r="K194" i="3"/>
  <c r="J175" i="3"/>
  <c r="J194" i="3"/>
  <c r="I175" i="3"/>
  <c r="I194" i="3"/>
  <c r="L164" i="3"/>
  <c r="L168" i="3"/>
  <c r="K164" i="3"/>
  <c r="K168" i="3"/>
  <c r="J164" i="3"/>
  <c r="J168" i="3"/>
  <c r="I164" i="3"/>
  <c r="I168" i="3"/>
  <c r="L135" i="3"/>
  <c r="K135" i="3"/>
  <c r="J135" i="3"/>
  <c r="L134" i="3"/>
  <c r="K134" i="3"/>
  <c r="J134" i="3"/>
  <c r="L124" i="3"/>
  <c r="K124" i="3"/>
  <c r="M15" i="3"/>
  <c r="M125" i="3"/>
  <c r="L15" i="3"/>
  <c r="K15" i="3"/>
  <c r="K125" i="3"/>
  <c r="J15" i="3"/>
  <c r="J125" i="3"/>
  <c r="I15" i="3"/>
  <c r="I125" i="3"/>
  <c r="N227" i="3"/>
  <c r="Q188" i="3"/>
  <c r="Q189" i="3"/>
  <c r="P188" i="3"/>
  <c r="P189" i="3"/>
  <c r="O188" i="3"/>
  <c r="O189" i="3"/>
  <c r="Q186" i="3"/>
  <c r="Q187" i="3"/>
  <c r="P186" i="3"/>
  <c r="P187" i="3"/>
  <c r="O186" i="3"/>
  <c r="O187" i="3"/>
  <c r="Q184" i="3"/>
  <c r="Q185" i="3"/>
  <c r="P184" i="3"/>
  <c r="P185" i="3"/>
  <c r="Q175" i="3"/>
  <c r="Q194" i="3"/>
  <c r="P175" i="3"/>
  <c r="P194" i="3"/>
  <c r="O175" i="3"/>
  <c r="O194" i="3"/>
  <c r="N175" i="3"/>
  <c r="N194" i="3"/>
  <c r="Q164" i="3"/>
  <c r="Q168" i="3"/>
  <c r="P164" i="3"/>
  <c r="P168" i="3"/>
  <c r="O164" i="3"/>
  <c r="O168" i="3"/>
  <c r="N164" i="3"/>
  <c r="N168" i="3"/>
  <c r="N176" i="3"/>
  <c r="Q135" i="3"/>
  <c r="P135" i="3"/>
  <c r="O135" i="3"/>
  <c r="Q134" i="3"/>
  <c r="P134" i="3"/>
  <c r="O134" i="3"/>
  <c r="Q124" i="3"/>
  <c r="P124" i="3"/>
  <c r="O124" i="3"/>
  <c r="R15" i="3"/>
  <c r="R125" i="3"/>
  <c r="Q15" i="3"/>
  <c r="P15" i="3"/>
  <c r="P125" i="3"/>
  <c r="O15" i="3"/>
  <c r="O125" i="3"/>
  <c r="N15" i="3"/>
  <c r="N125" i="3"/>
  <c r="S227" i="3"/>
  <c r="V188" i="3"/>
  <c r="V189" i="3"/>
  <c r="U188" i="3"/>
  <c r="U189" i="3"/>
  <c r="T188" i="3"/>
  <c r="T189" i="3"/>
  <c r="V186" i="3"/>
  <c r="V187" i="3"/>
  <c r="U186" i="3"/>
  <c r="U187" i="3"/>
  <c r="T186" i="3"/>
  <c r="T187" i="3"/>
  <c r="V184" i="3"/>
  <c r="V185" i="3"/>
  <c r="U184" i="3"/>
  <c r="U185" i="3"/>
  <c r="T184" i="3"/>
  <c r="T185" i="3"/>
  <c r="V175" i="3"/>
  <c r="V194" i="3"/>
  <c r="U175" i="3"/>
  <c r="U194" i="3"/>
  <c r="T175" i="3"/>
  <c r="T194" i="3"/>
  <c r="S175" i="3"/>
  <c r="S194" i="3"/>
  <c r="V164" i="3"/>
  <c r="V168" i="3"/>
  <c r="U164" i="3"/>
  <c r="U168" i="3"/>
  <c r="T164" i="3"/>
  <c r="T168" i="3"/>
  <c r="S164" i="3"/>
  <c r="S168" i="3"/>
  <c r="V135" i="3"/>
  <c r="U135" i="3"/>
  <c r="T135" i="3"/>
  <c r="V134" i="3"/>
  <c r="U134" i="3"/>
  <c r="T134" i="3"/>
  <c r="V124" i="3"/>
  <c r="U124" i="3"/>
  <c r="W15" i="3"/>
  <c r="W125" i="3"/>
  <c r="V15" i="3"/>
  <c r="V125" i="3"/>
  <c r="U15" i="3"/>
  <c r="U125" i="3"/>
  <c r="T15" i="3"/>
  <c r="T125" i="3"/>
  <c r="S15" i="3"/>
  <c r="S125" i="3"/>
  <c r="X227" i="3"/>
  <c r="AA188" i="3"/>
  <c r="AA189" i="3"/>
  <c r="Z188" i="3"/>
  <c r="Z189" i="3"/>
  <c r="Y188" i="3"/>
  <c r="Y189" i="3"/>
  <c r="AA186" i="3"/>
  <c r="AA187" i="3"/>
  <c r="Z186" i="3"/>
  <c r="Z187" i="3"/>
  <c r="Y186" i="3"/>
  <c r="Y187" i="3"/>
  <c r="AA184" i="3"/>
  <c r="AA185" i="3"/>
  <c r="Z184" i="3"/>
  <c r="Z185" i="3"/>
  <c r="Y184" i="3"/>
  <c r="Y185" i="3"/>
  <c r="AA175" i="3"/>
  <c r="AA194" i="3"/>
  <c r="Z175" i="3"/>
  <c r="Z194" i="3"/>
  <c r="Y175" i="3"/>
  <c r="Y194" i="3"/>
  <c r="X175" i="3"/>
  <c r="X194" i="3"/>
  <c r="AA164" i="3"/>
  <c r="AA168" i="3"/>
  <c r="Z164" i="3"/>
  <c r="Z168" i="3"/>
  <c r="Y164" i="3"/>
  <c r="Y168" i="3"/>
  <c r="X164" i="3"/>
  <c r="X168" i="3"/>
  <c r="AA135" i="3"/>
  <c r="Z135" i="3"/>
  <c r="Y135" i="3"/>
  <c r="AA134" i="3"/>
  <c r="Z134" i="3"/>
  <c r="Y134" i="3"/>
  <c r="AA124" i="3"/>
  <c r="Z124" i="3"/>
  <c r="Y124" i="3"/>
  <c r="AB15" i="3"/>
  <c r="AB125" i="3"/>
  <c r="AA15" i="3"/>
  <c r="AA125" i="3"/>
  <c r="Z15" i="3"/>
  <c r="Z125" i="3"/>
  <c r="Y15" i="3"/>
  <c r="Y125" i="3"/>
  <c r="X15" i="3"/>
  <c r="X125" i="3"/>
  <c r="R63" i="3"/>
  <c r="R49" i="3"/>
  <c r="R65" i="3"/>
  <c r="W63" i="3"/>
  <c r="M49" i="3"/>
  <c r="AA231" i="3"/>
  <c r="Z257" i="3"/>
  <c r="M63" i="3"/>
  <c r="G231" i="3"/>
  <c r="G257" i="3"/>
  <c r="F257" i="3"/>
  <c r="L231" i="3"/>
  <c r="L257" i="3"/>
  <c r="K257" i="3"/>
  <c r="AA232" i="3"/>
  <c r="AA258" i="3"/>
  <c r="Z258" i="3"/>
  <c r="Q232" i="3"/>
  <c r="Q258" i="3"/>
  <c r="P258" i="3"/>
  <c r="AB113" i="3"/>
  <c r="AB114" i="3"/>
  <c r="W114" i="3"/>
  <c r="L232" i="3"/>
  <c r="K258" i="3"/>
  <c r="W258" i="3"/>
  <c r="R257" i="3"/>
  <c r="G190" i="3"/>
  <c r="E190" i="3"/>
  <c r="BA167" i="3"/>
  <c r="H51" i="3"/>
  <c r="AB118" i="3"/>
  <c r="W118" i="3"/>
  <c r="W113" i="3"/>
  <c r="R118" i="3"/>
  <c r="P140" i="3"/>
  <c r="Q140" i="3"/>
  <c r="V140" i="3"/>
  <c r="S140" i="3"/>
  <c r="O140" i="3"/>
  <c r="AA140" i="3"/>
  <c r="Z140" i="3"/>
  <c r="U140" i="3"/>
  <c r="X140" i="3"/>
  <c r="Y140" i="3"/>
  <c r="T140" i="3"/>
  <c r="W65" i="3"/>
  <c r="AD236" i="3"/>
  <c r="AE236" i="3"/>
  <c r="AB79" i="3"/>
  <c r="W104" i="3"/>
  <c r="W49" i="3"/>
  <c r="AB91" i="3"/>
  <c r="AB49" i="3"/>
  <c r="AB51" i="3"/>
  <c r="W77" i="3"/>
  <c r="AB77" i="3"/>
  <c r="K140" i="3"/>
  <c r="E140" i="3"/>
  <c r="L224" i="3"/>
  <c r="M224" i="3"/>
  <c r="M260" i="3"/>
  <c r="K261" i="3"/>
  <c r="AD212" i="3"/>
  <c r="AE212" i="3"/>
  <c r="AF212" i="3"/>
  <c r="G224" i="3"/>
  <c r="V224" i="3"/>
  <c r="W224" i="3"/>
  <c r="W260" i="3"/>
  <c r="U261" i="3"/>
  <c r="AA224" i="3"/>
  <c r="AC261" i="3"/>
  <c r="Z261" i="3"/>
  <c r="Q224" i="3"/>
  <c r="P261" i="3"/>
  <c r="J140" i="3"/>
  <c r="F140" i="3"/>
  <c r="D140" i="3"/>
  <c r="AB65" i="3"/>
  <c r="M79" i="3"/>
  <c r="M140" i="3"/>
  <c r="H79" i="3"/>
  <c r="H140" i="3"/>
  <c r="L79" i="3"/>
  <c r="G79" i="3"/>
  <c r="G140" i="3"/>
  <c r="AB234" i="3"/>
  <c r="AE89" i="3"/>
  <c r="AB104" i="3"/>
  <c r="L77" i="3"/>
  <c r="N77" i="3"/>
  <c r="N140" i="3"/>
  <c r="R79" i="3"/>
  <c r="R77" i="3"/>
  <c r="I77" i="3"/>
  <c r="I140" i="3"/>
  <c r="AB225" i="3"/>
  <c r="R220" i="3"/>
  <c r="V237" i="3"/>
  <c r="W237" i="3"/>
  <c r="R214" i="3"/>
  <c r="R210" i="3"/>
  <c r="R225" i="3"/>
  <c r="W226" i="3"/>
  <c r="W222" i="3"/>
  <c r="W220" i="3"/>
  <c r="W215" i="3"/>
  <c r="W213" i="3"/>
  <c r="W211" i="3"/>
  <c r="R221" i="3"/>
  <c r="R213" i="3"/>
  <c r="AA230" i="3"/>
  <c r="AA238" i="3"/>
  <c r="Z238" i="3"/>
  <c r="R216" i="3"/>
  <c r="R212" i="3"/>
  <c r="P238" i="3"/>
  <c r="Q230" i="3"/>
  <c r="V231" i="3"/>
  <c r="V257" i="3"/>
  <c r="U238" i="3"/>
  <c r="W206" i="3"/>
  <c r="M206" i="3"/>
  <c r="R206" i="3"/>
  <c r="AB176" i="3"/>
  <c r="R176" i="3"/>
  <c r="M176" i="3"/>
  <c r="W176" i="3"/>
  <c r="M213" i="3"/>
  <c r="H226" i="3"/>
  <c r="F238" i="3"/>
  <c r="M230" i="3"/>
  <c r="X176" i="3"/>
  <c r="M212" i="3"/>
  <c r="H221" i="3"/>
  <c r="H206" i="3"/>
  <c r="T176" i="3"/>
  <c r="M210" i="3"/>
  <c r="K238" i="3"/>
  <c r="M226" i="3"/>
  <c r="M215" i="3"/>
  <c r="H222" i="3"/>
  <c r="M211" i="3"/>
  <c r="H215" i="3"/>
  <c r="M216" i="3"/>
  <c r="L176" i="3"/>
  <c r="H176" i="3"/>
  <c r="D176" i="3"/>
  <c r="P176" i="3"/>
  <c r="Y176" i="3"/>
  <c r="AA176" i="3"/>
  <c r="S176" i="3"/>
  <c r="U176" i="3"/>
  <c r="I176" i="3"/>
  <c r="K176" i="3"/>
  <c r="E176" i="3"/>
  <c r="G176" i="3"/>
  <c r="Z176" i="3"/>
  <c r="V176" i="3"/>
  <c r="O176" i="3"/>
  <c r="Q176" i="3"/>
  <c r="J176" i="3"/>
  <c r="F176" i="3"/>
  <c r="U227" i="3"/>
  <c r="F190" i="3"/>
  <c r="F227" i="3"/>
  <c r="Y190" i="3"/>
  <c r="AA190" i="3"/>
  <c r="V19" i="3"/>
  <c r="U190" i="3"/>
  <c r="L125" i="3"/>
  <c r="L19" i="3"/>
  <c r="J19" i="3"/>
  <c r="F19" i="3"/>
  <c r="Q125" i="3"/>
  <c r="Q19" i="3"/>
  <c r="O19" i="3"/>
  <c r="K227" i="3"/>
  <c r="D19" i="3"/>
  <c r="H125" i="3"/>
  <c r="H19" i="3"/>
  <c r="Z190" i="3"/>
  <c r="T19" i="3"/>
  <c r="P190" i="3"/>
  <c r="K190" i="3"/>
  <c r="G126" i="3"/>
  <c r="G25" i="3"/>
  <c r="G125" i="3"/>
  <c r="E19" i="3"/>
  <c r="E20" i="3"/>
  <c r="E227" i="3"/>
  <c r="I19" i="3"/>
  <c r="I20" i="3"/>
  <c r="K19" i="3"/>
  <c r="K20" i="3"/>
  <c r="M19" i="3"/>
  <c r="M20" i="3"/>
  <c r="J190" i="3"/>
  <c r="L190" i="3"/>
  <c r="J227" i="3"/>
  <c r="N19" i="3"/>
  <c r="N20" i="3"/>
  <c r="P19" i="3"/>
  <c r="P20" i="3"/>
  <c r="R19" i="3"/>
  <c r="R20" i="3"/>
  <c r="O190" i="3"/>
  <c r="Q190" i="3"/>
  <c r="P227" i="3"/>
  <c r="O227" i="3"/>
  <c r="S19" i="3"/>
  <c r="S20" i="3"/>
  <c r="U19" i="3"/>
  <c r="U20" i="3"/>
  <c r="W19" i="3"/>
  <c r="W20" i="3"/>
  <c r="T190" i="3"/>
  <c r="V190" i="3"/>
  <c r="T227" i="3"/>
  <c r="X19" i="3"/>
  <c r="X20" i="3"/>
  <c r="Z19" i="3"/>
  <c r="Z20" i="3"/>
  <c r="AB19" i="3"/>
  <c r="AB20" i="3"/>
  <c r="Y19" i="3"/>
  <c r="Y20" i="3"/>
  <c r="AA19" i="3"/>
  <c r="AA20" i="3"/>
  <c r="Z227" i="3"/>
  <c r="Y227" i="3"/>
  <c r="AD138" i="3"/>
  <c r="L238" i="3"/>
  <c r="G238" i="3"/>
  <c r="H126" i="3"/>
  <c r="H20" i="3"/>
  <c r="O126" i="3"/>
  <c r="O20" i="3"/>
  <c r="J126" i="3"/>
  <c r="J20" i="3"/>
  <c r="V126" i="3"/>
  <c r="V20" i="3"/>
  <c r="F25" i="3"/>
  <c r="F20" i="3"/>
  <c r="Q126" i="3"/>
  <c r="Q20" i="3"/>
  <c r="L126" i="3"/>
  <c r="L20" i="3"/>
  <c r="T126" i="3"/>
  <c r="T20" i="3"/>
  <c r="D126" i="3"/>
  <c r="D20" i="3"/>
  <c r="M231" i="3"/>
  <c r="M257" i="3"/>
  <c r="Q238" i="3"/>
  <c r="R238" i="3"/>
  <c r="R232" i="3"/>
  <c r="R258" i="3"/>
  <c r="H231" i="3"/>
  <c r="H257" i="3"/>
  <c r="AB232" i="3"/>
  <c r="AB258" i="3"/>
  <c r="L258" i="3"/>
  <c r="M232" i="3"/>
  <c r="M258" i="3"/>
  <c r="AB231" i="3"/>
  <c r="AB257" i="3"/>
  <c r="AA257" i="3"/>
  <c r="BK167" i="3"/>
  <c r="BF167" i="3"/>
  <c r="AL112" i="3"/>
  <c r="L140" i="3"/>
  <c r="R140" i="3"/>
  <c r="W140" i="3"/>
  <c r="AB140" i="3"/>
  <c r="AE238" i="3"/>
  <c r="AF236" i="3"/>
  <c r="AD134" i="3"/>
  <c r="AD135" i="3"/>
  <c r="AB230" i="3"/>
  <c r="M238" i="3"/>
  <c r="S261" i="3"/>
  <c r="Q261" i="3"/>
  <c r="R224" i="3"/>
  <c r="AA261" i="3"/>
  <c r="AB224" i="3"/>
  <c r="X261" i="3"/>
  <c r="V261" i="3"/>
  <c r="I261" i="3"/>
  <c r="G261" i="3"/>
  <c r="H224" i="3"/>
  <c r="N261" i="3"/>
  <c r="L261" i="3"/>
  <c r="F27" i="3"/>
  <c r="F127" i="3"/>
  <c r="F128" i="3"/>
  <c r="G27" i="3"/>
  <c r="G127" i="3"/>
  <c r="G128" i="3"/>
  <c r="V238" i="3"/>
  <c r="W238" i="3"/>
  <c r="AF89" i="3"/>
  <c r="AG89" i="3"/>
  <c r="AE88" i="3"/>
  <c r="AE118" i="3"/>
  <c r="AD13" i="3"/>
  <c r="AB238" i="3"/>
  <c r="W227" i="3"/>
  <c r="W231" i="3"/>
  <c r="W257" i="3"/>
  <c r="R230" i="3"/>
  <c r="M227" i="3"/>
  <c r="H238" i="3"/>
  <c r="J25" i="3"/>
  <c r="V25" i="3"/>
  <c r="Q25" i="3"/>
  <c r="F126" i="3"/>
  <c r="AC238" i="3"/>
  <c r="H25" i="3"/>
  <c r="H128" i="3"/>
  <c r="T25" i="3"/>
  <c r="O25" i="3"/>
  <c r="L25" i="3"/>
  <c r="D25" i="3"/>
  <c r="D128" i="3"/>
  <c r="E126" i="3"/>
  <c r="E25" i="3"/>
  <c r="G227" i="3"/>
  <c r="M126" i="3"/>
  <c r="M25" i="3"/>
  <c r="I126" i="3"/>
  <c r="I25" i="3"/>
  <c r="L227" i="3"/>
  <c r="K126" i="3"/>
  <c r="K25" i="3"/>
  <c r="R126" i="3"/>
  <c r="R25" i="3"/>
  <c r="N126" i="3"/>
  <c r="N25" i="3"/>
  <c r="Q227" i="3"/>
  <c r="P126" i="3"/>
  <c r="P25" i="3"/>
  <c r="V227" i="3"/>
  <c r="U126" i="3"/>
  <c r="U25" i="3"/>
  <c r="W126" i="3"/>
  <c r="W25" i="3"/>
  <c r="S126" i="3"/>
  <c r="S25" i="3"/>
  <c r="AA227" i="3"/>
  <c r="AA126" i="3"/>
  <c r="AA25" i="3"/>
  <c r="Z126" i="3"/>
  <c r="Z25" i="3"/>
  <c r="Y126" i="3"/>
  <c r="Y25" i="3"/>
  <c r="AB126" i="3"/>
  <c r="AB25" i="3"/>
  <c r="X126" i="3"/>
  <c r="X25" i="3"/>
  <c r="AH190" i="3"/>
  <c r="AD170" i="3"/>
  <c r="AE170" i="3"/>
  <c r="AF170" i="3"/>
  <c r="AI123" i="3"/>
  <c r="AD123" i="3"/>
  <c r="AD191" i="3"/>
  <c r="AF191" i="3"/>
  <c r="AH191" i="3"/>
  <c r="AE191" i="3"/>
  <c r="AD256" i="3"/>
  <c r="F31" i="3"/>
  <c r="AE124" i="3"/>
  <c r="G30" i="3"/>
  <c r="AD186" i="3"/>
  <c r="AD187" i="3"/>
  <c r="AD129" i="3"/>
  <c r="AD130" i="3"/>
  <c r="AD124" i="3"/>
  <c r="F30" i="3"/>
  <c r="F201" i="3"/>
  <c r="G31" i="3"/>
  <c r="H227" i="3"/>
  <c r="H260" i="3"/>
  <c r="AB227" i="3"/>
  <c r="AB260" i="3"/>
  <c r="R227" i="3"/>
  <c r="R260" i="3"/>
  <c r="AG226" i="3"/>
  <c r="AG148" i="3"/>
  <c r="AG212" i="3"/>
  <c r="AG149" i="3"/>
  <c r="AG216" i="3"/>
  <c r="X27" i="3"/>
  <c r="X127" i="3"/>
  <c r="X128" i="3"/>
  <c r="AB27" i="3"/>
  <c r="AB127" i="3"/>
  <c r="AB128" i="3"/>
  <c r="Y27" i="3"/>
  <c r="Y127" i="3"/>
  <c r="Y128" i="3"/>
  <c r="Z27" i="3"/>
  <c r="Z127" i="3"/>
  <c r="Z128" i="3"/>
  <c r="AA27" i="3"/>
  <c r="AA127" i="3"/>
  <c r="AA128" i="3"/>
  <c r="S27" i="3"/>
  <c r="S127" i="3"/>
  <c r="S128" i="3"/>
  <c r="W27" i="3"/>
  <c r="W127" i="3"/>
  <c r="W128" i="3"/>
  <c r="U27" i="3"/>
  <c r="U127" i="3"/>
  <c r="U128" i="3"/>
  <c r="P27" i="3"/>
  <c r="P127" i="3"/>
  <c r="P128" i="3"/>
  <c r="N27" i="3"/>
  <c r="N201" i="3"/>
  <c r="N217" i="3"/>
  <c r="N128" i="3"/>
  <c r="R27" i="3"/>
  <c r="R127" i="3"/>
  <c r="R128" i="3"/>
  <c r="K27" i="3"/>
  <c r="K127" i="3"/>
  <c r="K128" i="3"/>
  <c r="I27" i="3"/>
  <c r="I127" i="3"/>
  <c r="I128" i="3"/>
  <c r="M27" i="3"/>
  <c r="M127" i="3"/>
  <c r="M128" i="3"/>
  <c r="L27" i="3"/>
  <c r="L127" i="3"/>
  <c r="L128" i="3"/>
  <c r="T27" i="3"/>
  <c r="T127" i="3"/>
  <c r="T128" i="3"/>
  <c r="Q27" i="3"/>
  <c r="Q127" i="3"/>
  <c r="Q128" i="3"/>
  <c r="J27" i="3"/>
  <c r="J201" i="3"/>
  <c r="J128" i="3"/>
  <c r="E27" i="3"/>
  <c r="E127" i="3"/>
  <c r="E128" i="3"/>
  <c r="O27" i="3"/>
  <c r="O127" i="3"/>
  <c r="O128" i="3"/>
  <c r="V27" i="3"/>
  <c r="V127" i="3"/>
  <c r="V128" i="3"/>
  <c r="AH89" i="3"/>
  <c r="AF88" i="3"/>
  <c r="D27" i="3"/>
  <c r="D127" i="3"/>
  <c r="AG170" i="3"/>
  <c r="AH170" i="3"/>
  <c r="AI170" i="3"/>
  <c r="AJ170" i="3"/>
  <c r="AK170" i="3"/>
  <c r="H27" i="3"/>
  <c r="G201" i="3"/>
  <c r="G217" i="3"/>
  <c r="AG152" i="3"/>
  <c r="AG215" i="3"/>
  <c r="J217" i="3"/>
  <c r="F217" i="3"/>
  <c r="F239" i="3"/>
  <c r="AG88" i="3"/>
  <c r="AF118" i="3"/>
  <c r="AD190" i="3"/>
  <c r="AO224" i="3"/>
  <c r="AG224" i="3"/>
  <c r="Q201" i="3"/>
  <c r="Q217" i="3"/>
  <c r="J30" i="3"/>
  <c r="T201" i="3"/>
  <c r="L31" i="3"/>
  <c r="AG161" i="3"/>
  <c r="V30" i="3"/>
  <c r="O31" i="3"/>
  <c r="L30" i="3"/>
  <c r="N127" i="3"/>
  <c r="AI148" i="3"/>
  <c r="V31" i="3"/>
  <c r="O201" i="3"/>
  <c r="AG154" i="3"/>
  <c r="T31" i="3"/>
  <c r="T30" i="3"/>
  <c r="V201" i="3"/>
  <c r="V217" i="3"/>
  <c r="Q31" i="3"/>
  <c r="Q30" i="3"/>
  <c r="O30" i="3"/>
  <c r="L201" i="3"/>
  <c r="J31" i="3"/>
  <c r="J127" i="3"/>
  <c r="AG235" i="3"/>
  <c r="D31" i="3"/>
  <c r="D30" i="3"/>
  <c r="D201" i="3"/>
  <c r="AI89" i="3"/>
  <c r="AH88" i="3"/>
  <c r="H30" i="3"/>
  <c r="H127" i="3"/>
  <c r="AL170" i="3"/>
  <c r="AM170" i="3"/>
  <c r="AN170" i="3"/>
  <c r="AO170" i="3"/>
  <c r="AP170" i="3"/>
  <c r="AG162" i="3"/>
  <c r="G239" i="3"/>
  <c r="H31" i="3"/>
  <c r="E30" i="3"/>
  <c r="E201" i="3"/>
  <c r="E217" i="3"/>
  <c r="E31" i="3"/>
  <c r="M31" i="3"/>
  <c r="M30" i="3"/>
  <c r="I201" i="3"/>
  <c r="I217" i="3"/>
  <c r="I31" i="3"/>
  <c r="I30" i="3"/>
  <c r="K201" i="3"/>
  <c r="K31" i="3"/>
  <c r="K30" i="3"/>
  <c r="R201" i="3"/>
  <c r="R217" i="3"/>
  <c r="R31" i="3"/>
  <c r="R30" i="3"/>
  <c r="N31" i="3"/>
  <c r="N30" i="3"/>
  <c r="P201" i="3"/>
  <c r="P217" i="3"/>
  <c r="P31" i="3"/>
  <c r="P30" i="3"/>
  <c r="U201" i="3"/>
  <c r="U217" i="3"/>
  <c r="U31" i="3"/>
  <c r="U30" i="3"/>
  <c r="W201" i="3"/>
  <c r="W217" i="3"/>
  <c r="W31" i="3"/>
  <c r="W30" i="3"/>
  <c r="S201" i="3"/>
  <c r="S217" i="3"/>
  <c r="S259" i="3"/>
  <c r="S31" i="3"/>
  <c r="S30" i="3"/>
  <c r="AA30" i="3"/>
  <c r="AA201" i="3"/>
  <c r="AA217" i="3"/>
  <c r="AA259" i="3"/>
  <c r="AA31" i="3"/>
  <c r="Z201" i="3"/>
  <c r="Z217" i="3"/>
  <c r="Z259" i="3"/>
  <c r="Z31" i="3"/>
  <c r="Z30" i="3"/>
  <c r="Y30" i="3"/>
  <c r="Y201" i="3"/>
  <c r="Y217" i="3"/>
  <c r="Y31" i="3"/>
  <c r="AB201" i="3"/>
  <c r="AB217" i="3"/>
  <c r="AB31" i="3"/>
  <c r="AB30" i="3"/>
  <c r="X201" i="3"/>
  <c r="X217" i="3"/>
  <c r="X31" i="3"/>
  <c r="X30" i="3"/>
  <c r="AB259" i="3"/>
  <c r="X259" i="3"/>
  <c r="W259" i="3"/>
  <c r="V259" i="3"/>
  <c r="J239" i="3"/>
  <c r="J259" i="3"/>
  <c r="U259" i="3"/>
  <c r="N259" i="3"/>
  <c r="L217" i="3"/>
  <c r="O217" i="3"/>
  <c r="K217" i="3"/>
  <c r="D217" i="3"/>
  <c r="D239" i="3"/>
  <c r="D241" i="3"/>
  <c r="E240" i="3"/>
  <c r="T217" i="3"/>
  <c r="AP224" i="3"/>
  <c r="AR224" i="3"/>
  <c r="AS224" i="3"/>
  <c r="AT224" i="3"/>
  <c r="AU224" i="3"/>
  <c r="AW224" i="3"/>
  <c r="AX224" i="3"/>
  <c r="AY224" i="3"/>
  <c r="AZ224" i="3"/>
  <c r="BB224" i="3"/>
  <c r="BC224" i="3"/>
  <c r="BD224" i="3"/>
  <c r="BE224" i="3"/>
  <c r="BG224" i="3"/>
  <c r="BH224" i="3"/>
  <c r="AI190" i="3"/>
  <c r="AG166" i="3"/>
  <c r="AG213" i="3"/>
  <c r="AG156" i="3"/>
  <c r="AL156" i="3"/>
  <c r="AQ156" i="3"/>
  <c r="AG225" i="3"/>
  <c r="AG155" i="3"/>
  <c r="AL224" i="3"/>
  <c r="AJ148" i="3"/>
  <c r="AA239" i="3"/>
  <c r="S239" i="3"/>
  <c r="U239" i="3"/>
  <c r="N239" i="3"/>
  <c r="E239" i="3"/>
  <c r="Q239" i="3"/>
  <c r="Y239" i="3"/>
  <c r="Z239" i="3"/>
  <c r="X239" i="3"/>
  <c r="P239" i="3"/>
  <c r="V239" i="3"/>
  <c r="AJ89" i="3"/>
  <c r="AK89" i="3"/>
  <c r="AI88" i="3"/>
  <c r="AQ170" i="3"/>
  <c r="AR170" i="3"/>
  <c r="AS170" i="3"/>
  <c r="AT170" i="3"/>
  <c r="AU170" i="3"/>
  <c r="AG172" i="3"/>
  <c r="M201" i="3"/>
  <c r="M217" i="3"/>
  <c r="H201" i="3"/>
  <c r="H217" i="3"/>
  <c r="AG174" i="3"/>
  <c r="AG150" i="3"/>
  <c r="M259" i="3"/>
  <c r="T239" i="3"/>
  <c r="T259" i="3"/>
  <c r="L239" i="3"/>
  <c r="L259" i="3"/>
  <c r="I259" i="3"/>
  <c r="K239" i="3"/>
  <c r="K259" i="3"/>
  <c r="Q259" i="3"/>
  <c r="O239" i="3"/>
  <c r="O259" i="3"/>
  <c r="Y259" i="3"/>
  <c r="P259" i="3"/>
  <c r="R259" i="3"/>
  <c r="AQ224" i="3"/>
  <c r="BF224" i="3"/>
  <c r="BI224" i="3"/>
  <c r="AP112" i="3"/>
  <c r="AP114" i="3"/>
  <c r="AJ190" i="3"/>
  <c r="AL174" i="3"/>
  <c r="AO174" i="3"/>
  <c r="AP174" i="3"/>
  <c r="AE227" i="3"/>
  <c r="M239" i="3"/>
  <c r="M242" i="3"/>
  <c r="R239" i="3"/>
  <c r="R242" i="3"/>
  <c r="AB239" i="3"/>
  <c r="AB242" i="3"/>
  <c r="W239" i="3"/>
  <c r="W242" i="3"/>
  <c r="AK148" i="3"/>
  <c r="I239" i="3"/>
  <c r="AG236" i="3"/>
  <c r="AG163" i="3"/>
  <c r="AJ88" i="3"/>
  <c r="AL89" i="3"/>
  <c r="AL172" i="3"/>
  <c r="H242" i="3"/>
  <c r="AV170" i="3"/>
  <c r="AW170" i="3"/>
  <c r="AX170" i="3"/>
  <c r="AY170" i="3"/>
  <c r="AZ170" i="3"/>
  <c r="BA170" i="3"/>
  <c r="BB170" i="3"/>
  <c r="BC170" i="3"/>
  <c r="BD170" i="3"/>
  <c r="BE170" i="3"/>
  <c r="BF170" i="3"/>
  <c r="BG170" i="3"/>
  <c r="BH170" i="3"/>
  <c r="BI170" i="3"/>
  <c r="BJ170" i="3"/>
  <c r="BK170" i="3"/>
  <c r="AV156" i="3"/>
  <c r="BA156" i="3"/>
  <c r="BF156" i="3"/>
  <c r="BK156" i="3"/>
  <c r="H151" i="3"/>
  <c r="H157" i="3"/>
  <c r="D151" i="3"/>
  <c r="D157" i="3"/>
  <c r="E241" i="3"/>
  <c r="F240" i="3"/>
  <c r="AE15" i="3"/>
  <c r="BJ224" i="3"/>
  <c r="AR112" i="3"/>
  <c r="AR114" i="3"/>
  <c r="AQ112" i="3"/>
  <c r="AQ114" i="3"/>
  <c r="AK190" i="3"/>
  <c r="AE19" i="3"/>
  <c r="AE125" i="3"/>
  <c r="AL149" i="3"/>
  <c r="AL148" i="3"/>
  <c r="AM148" i="3"/>
  <c r="AD238" i="3"/>
  <c r="AM89" i="3"/>
  <c r="AK88" i="3"/>
  <c r="H239" i="3"/>
  <c r="H241" i="3"/>
  <c r="M240" i="3"/>
  <c r="M241" i="3"/>
  <c r="AQ174" i="3"/>
  <c r="AR174" i="3"/>
  <c r="AS174" i="3"/>
  <c r="AT174" i="3"/>
  <c r="AU174" i="3"/>
  <c r="F241" i="3"/>
  <c r="G240" i="3"/>
  <c r="I151" i="3"/>
  <c r="I157" i="3"/>
  <c r="N151" i="3"/>
  <c r="N157" i="3"/>
  <c r="S151" i="3"/>
  <c r="S157" i="3"/>
  <c r="X151" i="3"/>
  <c r="X157" i="3"/>
  <c r="AL152" i="3"/>
  <c r="AE126" i="3"/>
  <c r="AE20" i="3"/>
  <c r="BK224" i="3"/>
  <c r="AQ113" i="3"/>
  <c r="AL88" i="3"/>
  <c r="AS112" i="3"/>
  <c r="AS114" i="3"/>
  <c r="AL235" i="3"/>
  <c r="AL161" i="3"/>
  <c r="AL226" i="3"/>
  <c r="AL154" i="3"/>
  <c r="AV224" i="3"/>
  <c r="AN148" i="3"/>
  <c r="AL215" i="3"/>
  <c r="AL162" i="3"/>
  <c r="AN89" i="3"/>
  <c r="AM88" i="3"/>
  <c r="AV174" i="3"/>
  <c r="AW174" i="3"/>
  <c r="AX174" i="3"/>
  <c r="AY174" i="3"/>
  <c r="AZ174" i="3"/>
  <c r="BA174" i="3"/>
  <c r="BB174" i="3"/>
  <c r="BC174" i="3"/>
  <c r="BD174" i="3"/>
  <c r="BE174" i="3"/>
  <c r="BF174" i="3"/>
  <c r="BG174" i="3"/>
  <c r="BH174" i="3"/>
  <c r="BI174" i="3"/>
  <c r="BJ174" i="3"/>
  <c r="BK174" i="3"/>
  <c r="E151" i="3"/>
  <c r="E157" i="3"/>
  <c r="G241" i="3"/>
  <c r="J151" i="3"/>
  <c r="J157" i="3"/>
  <c r="O151" i="3"/>
  <c r="O157" i="3"/>
  <c r="T151" i="3"/>
  <c r="T157" i="3"/>
  <c r="Y151" i="3"/>
  <c r="Y157" i="3"/>
  <c r="AL223" i="3"/>
  <c r="AT112" i="3"/>
  <c r="AT114" i="3"/>
  <c r="AL166" i="3"/>
  <c r="AL225" i="3"/>
  <c r="AL155" i="3"/>
  <c r="AO148" i="3"/>
  <c r="BA224" i="3"/>
  <c r="AL213" i="3"/>
  <c r="AO89" i="3"/>
  <c r="AN88" i="3"/>
  <c r="F151" i="3"/>
  <c r="F157" i="3"/>
  <c r="G151" i="3"/>
  <c r="G157" i="3"/>
  <c r="L151" i="3"/>
  <c r="L157" i="3"/>
  <c r="K151" i="3"/>
  <c r="K157" i="3"/>
  <c r="P151" i="3"/>
  <c r="P157" i="3"/>
  <c r="Q151" i="3"/>
  <c r="Q157" i="3"/>
  <c r="V151" i="3"/>
  <c r="V157" i="3"/>
  <c r="U151" i="3"/>
  <c r="U157" i="3"/>
  <c r="AA151" i="3"/>
  <c r="AA157" i="3"/>
  <c r="Z151" i="3"/>
  <c r="Z157" i="3"/>
  <c r="AL150" i="3"/>
  <c r="AU112" i="3"/>
  <c r="AO216" i="3"/>
  <c r="AO190" i="3"/>
  <c r="AL236" i="3"/>
  <c r="AO204" i="3"/>
  <c r="AP148" i="3"/>
  <c r="AL163" i="3"/>
  <c r="AP89" i="3"/>
  <c r="AQ89" i="3"/>
  <c r="AO88" i="3"/>
  <c r="I240" i="3"/>
  <c r="I241" i="3"/>
  <c r="J240" i="3"/>
  <c r="J241" i="3"/>
  <c r="K240" i="3"/>
  <c r="K241" i="3"/>
  <c r="AV112" i="3"/>
  <c r="AV114" i="3"/>
  <c r="AU114" i="3"/>
  <c r="AO203" i="3"/>
  <c r="AP216" i="3"/>
  <c r="AQ216" i="3"/>
  <c r="AW112" i="3"/>
  <c r="AW114" i="3"/>
  <c r="AP190" i="3"/>
  <c r="AO226" i="3"/>
  <c r="AQ148" i="3"/>
  <c r="AR148" i="3"/>
  <c r="AR89" i="3"/>
  <c r="AP88" i="3"/>
  <c r="L240" i="3"/>
  <c r="L241" i="3"/>
  <c r="AL216" i="3"/>
  <c r="AQ152" i="3"/>
  <c r="AV113" i="3"/>
  <c r="AO153" i="3"/>
  <c r="AP204" i="3"/>
  <c r="AQ161" i="3"/>
  <c r="AX112" i="3"/>
  <c r="AX114" i="3"/>
  <c r="AQ88" i="3"/>
  <c r="AP226" i="3"/>
  <c r="AQ226" i="3"/>
  <c r="AQ154" i="3"/>
  <c r="AS148" i="3"/>
  <c r="AS89" i="3"/>
  <c r="AR88" i="3"/>
  <c r="AQ204" i="3"/>
  <c r="AS216" i="3"/>
  <c r="AY112" i="3"/>
  <c r="AY114" i="3"/>
  <c r="AQ155" i="3"/>
  <c r="AR226" i="3"/>
  <c r="AT148" i="3"/>
  <c r="AT89" i="3"/>
  <c r="AS88" i="3"/>
  <c r="R240" i="3"/>
  <c r="N240" i="3"/>
  <c r="N241" i="3"/>
  <c r="O240" i="3"/>
  <c r="O241" i="3"/>
  <c r="P240" i="3"/>
  <c r="P241" i="3"/>
  <c r="Q240" i="3"/>
  <c r="Q241" i="3"/>
  <c r="AT216" i="3"/>
  <c r="AZ112" i="3"/>
  <c r="AS226" i="3"/>
  <c r="AU148" i="3"/>
  <c r="AU89" i="3"/>
  <c r="AV89" i="3"/>
  <c r="AT88" i="3"/>
  <c r="R241" i="3"/>
  <c r="W240" i="3"/>
  <c r="BA112" i="3"/>
  <c r="BA114" i="3"/>
  <c r="AZ114" i="3"/>
  <c r="AU216" i="3"/>
  <c r="BB112" i="3"/>
  <c r="BB114" i="3"/>
  <c r="AT226" i="3"/>
  <c r="AV148" i="3"/>
  <c r="AW148" i="3"/>
  <c r="AW89" i="3"/>
  <c r="AU88" i="3"/>
  <c r="S240" i="3"/>
  <c r="S241" i="3"/>
  <c r="T240" i="3"/>
  <c r="T241" i="3"/>
  <c r="U240" i="3"/>
  <c r="U241" i="3"/>
  <c r="V240" i="3"/>
  <c r="AV152" i="3"/>
  <c r="BA113" i="3"/>
  <c r="AV161" i="3"/>
  <c r="AW216" i="3"/>
  <c r="BC112" i="3"/>
  <c r="BC114" i="3"/>
  <c r="AV88" i="3"/>
  <c r="AW190" i="3"/>
  <c r="AU226" i="3"/>
  <c r="AV226" i="3"/>
  <c r="AV154" i="3"/>
  <c r="AX216" i="3"/>
  <c r="AX148" i="3"/>
  <c r="AX89" i="3"/>
  <c r="AW88" i="3"/>
  <c r="V241" i="3"/>
  <c r="AV223" i="3"/>
  <c r="BD112" i="3"/>
  <c r="BD114" i="3"/>
  <c r="AX190" i="3"/>
  <c r="AV155" i="3"/>
  <c r="AW226" i="3"/>
  <c r="AY148" i="3"/>
  <c r="AY216" i="3"/>
  <c r="AY89" i="3"/>
  <c r="AX88" i="3"/>
  <c r="W241" i="3"/>
  <c r="AB240" i="3"/>
  <c r="AB241" i="3"/>
  <c r="AG240" i="3"/>
  <c r="BE112" i="3"/>
  <c r="BE114" i="3"/>
  <c r="AY190" i="3"/>
  <c r="AX226" i="3"/>
  <c r="AZ216" i="3"/>
  <c r="AZ148" i="3"/>
  <c r="AZ89" i="3"/>
  <c r="AY88" i="3"/>
  <c r="X240" i="3"/>
  <c r="X241" i="3"/>
  <c r="Y240" i="3"/>
  <c r="Y241" i="3"/>
  <c r="BF112" i="3"/>
  <c r="BG112" i="3"/>
  <c r="BG114" i="3"/>
  <c r="AZ190" i="3"/>
  <c r="AZ88" i="3"/>
  <c r="BB89" i="3"/>
  <c r="AY226" i="3"/>
  <c r="BA148" i="3"/>
  <c r="BB148" i="3"/>
  <c r="BA161" i="3"/>
  <c r="BA89" i="3"/>
  <c r="Z240" i="3"/>
  <c r="Z241" i="3"/>
  <c r="AA240" i="3"/>
  <c r="AA241" i="3"/>
  <c r="BF113" i="3"/>
  <c r="BF114" i="3"/>
  <c r="BH112" i="3"/>
  <c r="BA88" i="3"/>
  <c r="BB190" i="3"/>
  <c r="BA152" i="3"/>
  <c r="BB216" i="3"/>
  <c r="BC148" i="3"/>
  <c r="BC89" i="3"/>
  <c r="BB88" i="3"/>
  <c r="BA154" i="3"/>
  <c r="AZ226" i="3"/>
  <c r="BA226" i="3"/>
  <c r="BA223" i="3"/>
  <c r="BI112" i="3"/>
  <c r="BH114" i="3"/>
  <c r="BF152" i="3"/>
  <c r="BK152" i="3"/>
  <c r="BC190" i="3"/>
  <c r="BB226" i="3"/>
  <c r="BD148" i="3"/>
  <c r="BC216" i="3"/>
  <c r="BD89" i="3"/>
  <c r="BC88" i="3"/>
  <c r="BA155" i="3"/>
  <c r="BJ112" i="3"/>
  <c r="BI114" i="3"/>
  <c r="BD190" i="3"/>
  <c r="BE89" i="3"/>
  <c r="BD88" i="3"/>
  <c r="BD216" i="3"/>
  <c r="BE148" i="3"/>
  <c r="BC226" i="3"/>
  <c r="BJ114" i="3"/>
  <c r="BK112" i="3"/>
  <c r="BE190" i="3"/>
  <c r="BE88" i="3"/>
  <c r="BF88" i="3"/>
  <c r="BG89" i="3"/>
  <c r="BF89" i="3"/>
  <c r="BF148" i="3"/>
  <c r="BG148" i="3"/>
  <c r="BE216" i="3"/>
  <c r="BF216" i="3"/>
  <c r="BF161" i="3"/>
  <c r="BD226" i="3"/>
  <c r="BA216" i="3"/>
  <c r="BK113" i="3"/>
  <c r="BK114" i="3"/>
  <c r="BG190" i="3"/>
  <c r="BG216" i="3"/>
  <c r="BH148" i="3"/>
  <c r="BG88" i="3"/>
  <c r="BH89" i="3"/>
  <c r="BF154" i="3"/>
  <c r="BE226" i="3"/>
  <c r="BF226" i="3"/>
  <c r="BH190" i="3"/>
  <c r="BH216" i="3"/>
  <c r="BG226" i="3"/>
  <c r="BI148" i="3"/>
  <c r="BH88" i="3"/>
  <c r="BI89" i="3"/>
  <c r="BF155" i="3"/>
  <c r="AE25" i="3"/>
  <c r="AE128" i="3"/>
  <c r="BJ190" i="3"/>
  <c r="BI190" i="3"/>
  <c r="BI216" i="3"/>
  <c r="BH226" i="3"/>
  <c r="BJ148" i="3"/>
  <c r="BJ89" i="3"/>
  <c r="BI88" i="3"/>
  <c r="AG165" i="3"/>
  <c r="BJ216" i="3"/>
  <c r="BK216" i="3"/>
  <c r="BK161" i="3"/>
  <c r="BK148" i="3"/>
  <c r="BI226" i="3"/>
  <c r="BJ88" i="3"/>
  <c r="BK88" i="3"/>
  <c r="BK89" i="3"/>
  <c r="AG237" i="3"/>
  <c r="AE27" i="3"/>
  <c r="AE127" i="3"/>
  <c r="BJ226" i="3"/>
  <c r="BK226" i="3"/>
  <c r="BK154" i="3"/>
  <c r="AE31" i="3"/>
  <c r="AE201" i="3"/>
  <c r="AE30" i="3"/>
  <c r="BK155" i="3"/>
  <c r="AL165" i="3"/>
  <c r="AL237" i="3"/>
  <c r="AG112" i="3"/>
  <c r="AG114" i="3"/>
  <c r="AG113" i="3"/>
  <c r="AL114" i="3"/>
  <c r="AL113" i="3"/>
  <c r="AC15" i="3"/>
  <c r="AC125" i="3"/>
  <c r="AC227" i="3"/>
  <c r="AD227" i="3"/>
  <c r="AC19" i="3"/>
  <c r="AC45" i="3"/>
  <c r="AC126" i="3"/>
  <c r="AC20" i="3"/>
  <c r="AC140" i="3"/>
  <c r="AC164" i="3"/>
  <c r="AC168" i="3"/>
  <c r="AD210" i="3"/>
  <c r="AE210" i="3"/>
  <c r="AC25" i="3"/>
  <c r="AC128" i="3"/>
  <c r="AF210" i="3"/>
  <c r="AE45" i="3"/>
  <c r="AD45" i="3"/>
  <c r="AD140" i="3"/>
  <c r="AC27" i="3"/>
  <c r="AC127" i="3"/>
  <c r="AC30" i="3"/>
  <c r="AC31" i="3"/>
  <c r="AC201" i="3"/>
  <c r="AC217" i="3"/>
  <c r="AC259" i="3"/>
  <c r="AC239" i="3"/>
  <c r="AC241" i="3"/>
  <c r="AC175" i="3"/>
  <c r="AC176" i="3"/>
  <c r="AC194" i="3"/>
  <c r="AL212" i="3"/>
  <c r="AC144" i="3"/>
  <c r="AD240" i="3"/>
  <c r="AC250" i="3"/>
  <c r="AC247" i="3"/>
  <c r="AC151" i="3"/>
  <c r="AC157" i="3"/>
  <c r="AG153" i="3"/>
  <c r="AL204" i="3"/>
  <c r="AL203" i="3"/>
  <c r="AL153" i="3"/>
  <c r="AD15" i="3"/>
  <c r="AD211" i="3"/>
  <c r="AE211" i="3"/>
  <c r="AF211" i="3"/>
  <c r="AE217" i="3"/>
  <c r="AD19" i="3"/>
  <c r="AD125" i="3"/>
  <c r="AD126" i="3"/>
  <c r="AD20" i="3"/>
  <c r="AE259" i="3"/>
  <c r="AD25" i="3"/>
  <c r="AD128" i="3"/>
  <c r="AD164" i="3"/>
  <c r="AD168" i="3"/>
  <c r="AD27" i="3"/>
  <c r="AE164" i="3"/>
  <c r="AE168" i="3"/>
  <c r="AD30" i="3"/>
  <c r="AD127" i="3"/>
  <c r="AD201" i="3"/>
  <c r="AD217" i="3"/>
  <c r="AD31" i="3"/>
  <c r="AE239" i="3"/>
  <c r="AD259" i="3"/>
  <c r="AD175" i="3"/>
  <c r="AD239" i="3"/>
  <c r="AD241" i="3"/>
  <c r="AE240" i="3"/>
  <c r="AE241" i="3"/>
  <c r="AF240" i="3"/>
  <c r="AD176" i="3"/>
  <c r="AD194" i="3"/>
  <c r="AE175" i="3"/>
  <c r="AE176" i="3"/>
  <c r="AE194" i="3"/>
  <c r="AE144" i="3"/>
  <c r="AD151" i="3"/>
  <c r="AD157" i="3"/>
  <c r="AE250" i="3"/>
  <c r="AE247" i="3"/>
  <c r="AE151" i="3"/>
  <c r="AE157" i="3"/>
  <c r="AE51" i="3"/>
  <c r="AG75" i="3"/>
  <c r="AE65" i="3"/>
  <c r="AE79" i="3"/>
  <c r="AG47" i="3"/>
  <c r="AH103" i="3"/>
  <c r="AE140" i="3"/>
  <c r="AG103" i="3"/>
  <c r="AG118" i="3"/>
  <c r="AG105" i="3"/>
  <c r="AH118" i="3"/>
  <c r="AH105" i="3"/>
  <c r="AI103" i="3"/>
  <c r="AI105" i="3"/>
  <c r="AG104" i="3"/>
  <c r="AG40" i="3"/>
  <c r="AG42" i="3"/>
  <c r="AG39" i="3"/>
  <c r="AG41" i="3"/>
  <c r="AI118" i="3"/>
  <c r="AI106" i="3"/>
  <c r="AJ103" i="3"/>
  <c r="AG17" i="3"/>
  <c r="AG24" i="3"/>
  <c r="AF15" i="3"/>
  <c r="AF125" i="3"/>
  <c r="AG13" i="3"/>
  <c r="AG123" i="3"/>
  <c r="AF45" i="3"/>
  <c r="AG38" i="3"/>
  <c r="AK103" i="3"/>
  <c r="AF18" i="3"/>
  <c r="AG16" i="3"/>
  <c r="AF19" i="3"/>
  <c r="AG14" i="3"/>
  <c r="AG15" i="3"/>
  <c r="AG210" i="3"/>
  <c r="AG146" i="3"/>
  <c r="AG45" i="3"/>
  <c r="AG145" i="3"/>
  <c r="AG220" i="3"/>
  <c r="AG227" i="3"/>
  <c r="AG260" i="3"/>
  <c r="AG129" i="3"/>
  <c r="AF126" i="3"/>
  <c r="AF20" i="3"/>
  <c r="AM103" i="3"/>
  <c r="AN103" i="3"/>
  <c r="AL103" i="3"/>
  <c r="AG130" i="3"/>
  <c r="AG18" i="3"/>
  <c r="AG125" i="3"/>
  <c r="AG19" i="3"/>
  <c r="AG20" i="3"/>
  <c r="AF227" i="3"/>
  <c r="AF25" i="3"/>
  <c r="AF128" i="3"/>
  <c r="AG211" i="3"/>
  <c r="AG147" i="3"/>
  <c r="AG214" i="3"/>
  <c r="AF164" i="3"/>
  <c r="AF168" i="3"/>
  <c r="AG160" i="3"/>
  <c r="AG164" i="3"/>
  <c r="AG168" i="3"/>
  <c r="AL104" i="3"/>
  <c r="AO103" i="3"/>
  <c r="AG126" i="3"/>
  <c r="AG25" i="3"/>
  <c r="AG26" i="3"/>
  <c r="AP103" i="3"/>
  <c r="AG128" i="3"/>
  <c r="AF27" i="3"/>
  <c r="AF127" i="3"/>
  <c r="AG27" i="3"/>
  <c r="AR103" i="3"/>
  <c r="AQ103" i="3"/>
  <c r="AG127" i="3"/>
  <c r="AG201" i="3"/>
  <c r="AG217" i="3"/>
  <c r="AF201" i="3"/>
  <c r="AF217" i="3"/>
  <c r="AS103" i="3"/>
  <c r="AF259" i="3"/>
  <c r="AG259" i="3"/>
  <c r="AQ104" i="3"/>
  <c r="AT103" i="3"/>
  <c r="AU103" i="3"/>
  <c r="AW103" i="3"/>
  <c r="AV103" i="3"/>
  <c r="AV104" i="3"/>
  <c r="AX103" i="3"/>
  <c r="AY103" i="3"/>
  <c r="AZ103" i="3"/>
  <c r="BB103" i="3"/>
  <c r="BA103" i="3"/>
  <c r="BA104" i="3"/>
  <c r="BC103" i="3"/>
  <c r="AF79" i="3"/>
  <c r="AF65" i="3"/>
  <c r="BD103" i="3"/>
  <c r="AF51" i="3"/>
  <c r="AF140" i="3"/>
  <c r="AG48" i="3"/>
  <c r="AG62" i="3"/>
  <c r="AG76" i="3"/>
  <c r="AI77" i="3"/>
  <c r="AG63" i="3"/>
  <c r="AI63" i="3"/>
  <c r="BE103" i="3"/>
  <c r="AI49" i="3"/>
  <c r="AG65" i="3"/>
  <c r="AG51" i="3"/>
  <c r="AG79" i="3"/>
  <c r="AG77" i="3"/>
  <c r="BG103" i="3"/>
  <c r="BF103" i="3"/>
  <c r="AG140" i="3"/>
  <c r="BF104" i="3"/>
  <c r="BH103" i="3"/>
  <c r="AL76" i="3"/>
  <c r="AL61" i="3"/>
  <c r="AL48" i="3"/>
  <c r="AL77" i="3"/>
  <c r="AL78" i="3"/>
  <c r="AN77" i="3"/>
  <c r="AN49" i="3"/>
  <c r="AL50" i="3"/>
  <c r="BI103" i="3"/>
  <c r="AH45" i="3"/>
  <c r="AL47" i="3"/>
  <c r="AL62" i="3"/>
  <c r="AL63" i="3"/>
  <c r="AL64" i="3"/>
  <c r="AN63" i="3"/>
  <c r="BJ103" i="3"/>
  <c r="AL75" i="3"/>
  <c r="AH140" i="3"/>
  <c r="AH15" i="3"/>
  <c r="AL65" i="3"/>
  <c r="AI45" i="3"/>
  <c r="AI140" i="3"/>
  <c r="AH227" i="3"/>
  <c r="AL51" i="3"/>
  <c r="AI124" i="3"/>
  <c r="AI15" i="3"/>
  <c r="AI125" i="3"/>
  <c r="AI227" i="3"/>
  <c r="AH18" i="3"/>
  <c r="BK103" i="3"/>
  <c r="AL79" i="3"/>
  <c r="AH19" i="3"/>
  <c r="AH125" i="3"/>
  <c r="AI19" i="3"/>
  <c r="AI18" i="3"/>
  <c r="AH164" i="3"/>
  <c r="AH168" i="3"/>
  <c r="AL42" i="3"/>
  <c r="AL39" i="3"/>
  <c r="AL40" i="3"/>
  <c r="AL41" i="3"/>
  <c r="AJ45" i="3"/>
  <c r="AJ15" i="3"/>
  <c r="AJ125" i="3"/>
  <c r="AI126" i="3"/>
  <c r="AI20" i="3"/>
  <c r="AH25" i="3"/>
  <c r="AH128" i="3"/>
  <c r="AH20" i="3"/>
  <c r="BK104" i="3"/>
  <c r="AO61" i="3"/>
  <c r="AH126" i="3"/>
  <c r="AI25" i="3"/>
  <c r="AI128" i="3"/>
  <c r="AJ19" i="3"/>
  <c r="AK124" i="3"/>
  <c r="AL17" i="3"/>
  <c r="AL16" i="3"/>
  <c r="AK15" i="3"/>
  <c r="AK125" i="3"/>
  <c r="AL13" i="3"/>
  <c r="AL123" i="3"/>
  <c r="AI164" i="3"/>
  <c r="AI168" i="3"/>
  <c r="AO47" i="3"/>
  <c r="AJ227" i="3"/>
  <c r="AJ18" i="3"/>
  <c r="AM15" i="3"/>
  <c r="AM125" i="3"/>
  <c r="AK45" i="3"/>
  <c r="AL38" i="3"/>
  <c r="AH27" i="3"/>
  <c r="AH127" i="3"/>
  <c r="AJ126" i="3"/>
  <c r="AJ20" i="3"/>
  <c r="AP61" i="3"/>
  <c r="AQ61" i="3"/>
  <c r="AQ48" i="3"/>
  <c r="AL260" i="3"/>
  <c r="AI27" i="3"/>
  <c r="AM19" i="3"/>
  <c r="AJ25" i="3"/>
  <c r="AK19" i="3"/>
  <c r="AK18" i="3"/>
  <c r="AL129" i="3"/>
  <c r="AP75" i="3"/>
  <c r="AN124" i="3"/>
  <c r="AQ62" i="3"/>
  <c r="AQ63" i="3"/>
  <c r="AL45" i="3"/>
  <c r="AQ76" i="3"/>
  <c r="AQ77" i="3"/>
  <c r="AM18" i="3"/>
  <c r="AP47" i="3"/>
  <c r="AQ47" i="3"/>
  <c r="AL145" i="3"/>
  <c r="AL210" i="3"/>
  <c r="AL146" i="3"/>
  <c r="AJ164" i="3"/>
  <c r="AJ168" i="3"/>
  <c r="AL18" i="3"/>
  <c r="AL130" i="3"/>
  <c r="AL14" i="3"/>
  <c r="AL15" i="3"/>
  <c r="AM126" i="3"/>
  <c r="AM20" i="3"/>
  <c r="AH201" i="3"/>
  <c r="AH217" i="3"/>
  <c r="AH259" i="3"/>
  <c r="AK126" i="3"/>
  <c r="AK20" i="3"/>
  <c r="AR61" i="3"/>
  <c r="AN227" i="3"/>
  <c r="AN15" i="3"/>
  <c r="AN125" i="3"/>
  <c r="AJ27" i="3"/>
  <c r="AJ128" i="3"/>
  <c r="AQ75" i="3"/>
  <c r="AI201" i="3"/>
  <c r="AI127" i="3"/>
  <c r="AM25" i="3"/>
  <c r="AM128" i="3"/>
  <c r="AK25" i="3"/>
  <c r="AN18" i="3"/>
  <c r="AQ65" i="3"/>
  <c r="AL125" i="3"/>
  <c r="AL19" i="3"/>
  <c r="AL20" i="3"/>
  <c r="AL214" i="3"/>
  <c r="AK164" i="3"/>
  <c r="AK168" i="3"/>
  <c r="AL160" i="3"/>
  <c r="AL164" i="3"/>
  <c r="AL168" i="3"/>
  <c r="AO220" i="3"/>
  <c r="AO227" i="3"/>
  <c r="AM227" i="3"/>
  <c r="AR75" i="3"/>
  <c r="AL211" i="3"/>
  <c r="AL147" i="3"/>
  <c r="AQ51" i="3"/>
  <c r="AK227" i="3"/>
  <c r="AL220" i="3"/>
  <c r="AL227" i="3"/>
  <c r="AR47" i="3"/>
  <c r="AN19" i="3"/>
  <c r="AS61" i="3"/>
  <c r="AI217" i="3"/>
  <c r="AI259" i="3"/>
  <c r="AQ145" i="3"/>
  <c r="AL26" i="3"/>
  <c r="AK128" i="3"/>
  <c r="AJ201" i="3"/>
  <c r="AJ127" i="3"/>
  <c r="AQ79" i="3"/>
  <c r="AK27" i="3"/>
  <c r="AK127" i="3"/>
  <c r="AN45" i="3"/>
  <c r="AS47" i="3"/>
  <c r="AS75" i="3"/>
  <c r="AM164" i="3"/>
  <c r="AM168" i="3"/>
  <c r="AM27" i="3"/>
  <c r="AL126" i="3"/>
  <c r="AL25" i="3"/>
  <c r="AN126" i="3"/>
  <c r="AN20" i="3"/>
  <c r="AT61" i="3"/>
  <c r="AM127" i="3"/>
  <c r="AJ217" i="3"/>
  <c r="AJ259" i="3"/>
  <c r="AL27" i="3"/>
  <c r="AL201" i="3"/>
  <c r="AL217" i="3"/>
  <c r="AL259" i="3"/>
  <c r="AP220" i="3"/>
  <c r="AQ220" i="3"/>
  <c r="AQ227" i="3"/>
  <c r="AK201" i="3"/>
  <c r="AM201" i="3"/>
  <c r="AM217" i="3"/>
  <c r="AM259" i="3"/>
  <c r="AR220" i="3"/>
  <c r="AT75" i="3"/>
  <c r="AT47" i="3"/>
  <c r="AL128" i="3"/>
  <c r="C288" i="3"/>
  <c r="AU61" i="3"/>
  <c r="AV61" i="3"/>
  <c r="AK217" i="3"/>
  <c r="AK259" i="3"/>
  <c r="AL127" i="3"/>
  <c r="AU75" i="3"/>
  <c r="AV76" i="3"/>
  <c r="AV77" i="3"/>
  <c r="AU47" i="3"/>
  <c r="AS220" i="3"/>
  <c r="AV48" i="3"/>
  <c r="AV62" i="3"/>
  <c r="AV63" i="3"/>
  <c r="AV75" i="3"/>
  <c r="AV79" i="3"/>
  <c r="AV65" i="3"/>
  <c r="AV47" i="3"/>
  <c r="AW47" i="3"/>
  <c r="AW75" i="3"/>
  <c r="AR216" i="3"/>
  <c r="AV216" i="3"/>
  <c r="AT220" i="3"/>
  <c r="AX75" i="3"/>
  <c r="AX47" i="3"/>
  <c r="AV51" i="3"/>
  <c r="AY47" i="3"/>
  <c r="AY75" i="3"/>
  <c r="BA76" i="3"/>
  <c r="BA77" i="3"/>
  <c r="AX220" i="3"/>
  <c r="AV145" i="3"/>
  <c r="AW220" i="3"/>
  <c r="AU220" i="3"/>
  <c r="AZ75" i="3"/>
  <c r="AZ47" i="3"/>
  <c r="BA48" i="3"/>
  <c r="BA75" i="3"/>
  <c r="AY220" i="3"/>
  <c r="BB47" i="3"/>
  <c r="BB75" i="3"/>
  <c r="AV220" i="3"/>
  <c r="BA47" i="3"/>
  <c r="BA79" i="3"/>
  <c r="BC47" i="3"/>
  <c r="BA51" i="3"/>
  <c r="BC75" i="3"/>
  <c r="BA145" i="3"/>
  <c r="AZ220" i="3"/>
  <c r="BD47" i="3"/>
  <c r="BD75" i="3"/>
  <c r="BE75" i="3"/>
  <c r="BF75" i="3"/>
  <c r="BB220" i="3"/>
  <c r="BC220" i="3"/>
  <c r="BF76" i="3"/>
  <c r="BF77" i="3"/>
  <c r="BE47" i="3"/>
  <c r="BF48" i="3"/>
  <c r="BA220" i="3"/>
  <c r="BF47" i="3"/>
  <c r="BF79" i="3"/>
  <c r="BH47" i="3"/>
  <c r="BH75" i="3"/>
  <c r="BD220" i="3"/>
  <c r="BF51" i="3"/>
  <c r="BI47" i="3"/>
  <c r="BJ47" i="3"/>
  <c r="BI75" i="3"/>
  <c r="BE220" i="3"/>
  <c r="BK48" i="3"/>
  <c r="BK47" i="3"/>
  <c r="BJ75" i="3"/>
  <c r="BK75" i="3"/>
  <c r="BH220" i="3"/>
  <c r="BK76" i="3"/>
  <c r="BK77" i="3"/>
  <c r="BF145" i="3"/>
  <c r="BG220" i="3"/>
  <c r="BF220" i="3"/>
  <c r="BK51" i="3"/>
  <c r="BK145" i="3"/>
  <c r="BI220" i="3"/>
  <c r="BK79" i="3"/>
  <c r="BJ220" i="3"/>
  <c r="BK220" i="3"/>
  <c r="AG233" i="3"/>
  <c r="AG238" i="3"/>
  <c r="AG239" i="3"/>
  <c r="AF238" i="3"/>
  <c r="AF239" i="3"/>
  <c r="AF241" i="3"/>
  <c r="AF144" i="3"/>
  <c r="AG241" i="3"/>
  <c r="AG173" i="3"/>
  <c r="AG175" i="3"/>
  <c r="AF175" i="3"/>
  <c r="AF250" i="3"/>
  <c r="AG176" i="3"/>
  <c r="AF176" i="3"/>
  <c r="AF194" i="3"/>
  <c r="AF247" i="3"/>
  <c r="AH240" i="3"/>
  <c r="AL240" i="3"/>
  <c r="AG144" i="3"/>
  <c r="AF151" i="3"/>
  <c r="AF157" i="3"/>
  <c r="AF177" i="3"/>
  <c r="AG151" i="3"/>
  <c r="AG157" i="3"/>
  <c r="AG177" i="3"/>
  <c r="AG247" i="3"/>
  <c r="AH238" i="3"/>
  <c r="AF30" i="3"/>
  <c r="AG28" i="3"/>
  <c r="AI31" i="3"/>
  <c r="AH30" i="3"/>
  <c r="AF31" i="3"/>
  <c r="AG29" i="3"/>
  <c r="AG251" i="3"/>
  <c r="AH31" i="3"/>
  <c r="AG250" i="3"/>
  <c r="AG30" i="3"/>
  <c r="AG31" i="3"/>
  <c r="AH175" i="3"/>
  <c r="AI30" i="3"/>
  <c r="AJ31" i="3"/>
  <c r="AH239" i="3"/>
  <c r="AH241" i="3"/>
  <c r="AH176" i="3"/>
  <c r="AH194" i="3"/>
  <c r="AH144" i="3"/>
  <c r="AI240" i="3"/>
  <c r="AJ238" i="3"/>
  <c r="AJ239" i="3"/>
  <c r="AJ30" i="3"/>
  <c r="AK31" i="3"/>
  <c r="AL29" i="3"/>
  <c r="AI238" i="3"/>
  <c r="AI175" i="3"/>
  <c r="AL251" i="3"/>
  <c r="AW135" i="3"/>
  <c r="AX135" i="3"/>
  <c r="AY135" i="3"/>
  <c r="AZ135" i="3"/>
  <c r="BB135" i="3"/>
  <c r="BC135" i="3"/>
  <c r="BD135" i="3"/>
  <c r="BE135" i="3"/>
  <c r="BG135" i="3"/>
  <c r="BH135" i="3"/>
  <c r="BI135" i="3"/>
  <c r="BJ135" i="3"/>
  <c r="AH250" i="3"/>
  <c r="AI176" i="3"/>
  <c r="AI194" i="3"/>
  <c r="AH247" i="3"/>
  <c r="AL31" i="3"/>
  <c r="AI239" i="3"/>
  <c r="AI241" i="3"/>
  <c r="AK30" i="3"/>
  <c r="AK238" i="3"/>
  <c r="AK239" i="3"/>
  <c r="AH151" i="3"/>
  <c r="AH157" i="3"/>
  <c r="AH177" i="3"/>
  <c r="AJ175" i="3"/>
  <c r="AL28" i="3"/>
  <c r="AM31" i="3"/>
  <c r="AL30" i="3"/>
  <c r="AW134" i="3"/>
  <c r="AX134" i="3"/>
  <c r="AY134" i="3"/>
  <c r="AZ134" i="3"/>
  <c r="BB134" i="3"/>
  <c r="BC134" i="3"/>
  <c r="BD134" i="3"/>
  <c r="BE134" i="3"/>
  <c r="BG134" i="3"/>
  <c r="BH134" i="3"/>
  <c r="BI134" i="3"/>
  <c r="BJ134" i="3"/>
  <c r="AJ176" i="3"/>
  <c r="AJ194" i="3"/>
  <c r="AL233" i="3"/>
  <c r="AI144" i="3"/>
  <c r="AJ240" i="3"/>
  <c r="AJ241" i="3"/>
  <c r="AL173" i="3"/>
  <c r="AL175" i="3"/>
  <c r="AK175" i="3"/>
  <c r="AM30" i="3"/>
  <c r="AO29" i="3"/>
  <c r="AL238" i="3"/>
  <c r="AL239" i="3"/>
  <c r="AL241" i="3"/>
  <c r="AQ240" i="3"/>
  <c r="AI250" i="3"/>
  <c r="AK176" i="3"/>
  <c r="AK194" i="3"/>
  <c r="AL176" i="3"/>
  <c r="C286" i="3"/>
  <c r="AI247" i="3"/>
  <c r="AO28" i="3"/>
  <c r="AM175" i="3"/>
  <c r="AI151" i="3"/>
  <c r="AI157" i="3"/>
  <c r="AI177" i="3"/>
  <c r="AM240" i="3"/>
  <c r="AK240" i="3"/>
  <c r="AK241" i="3"/>
  <c r="AK144" i="3"/>
  <c r="AJ144" i="3"/>
  <c r="AP29" i="3"/>
  <c r="AJ250" i="3"/>
  <c r="AK250" i="3"/>
  <c r="AM176" i="3"/>
  <c r="AM194" i="3"/>
  <c r="AJ247" i="3"/>
  <c r="AK247" i="3"/>
  <c r="AJ151" i="3"/>
  <c r="AJ157" i="3"/>
  <c r="AJ177" i="3"/>
  <c r="AK151" i="3"/>
  <c r="AK157" i="3"/>
  <c r="AK177" i="3"/>
  <c r="AL144" i="3"/>
  <c r="AL250" i="3"/>
  <c r="AM239" i="3"/>
  <c r="AM241" i="3"/>
  <c r="AO233" i="3"/>
  <c r="AP28" i="3"/>
  <c r="AR29" i="3"/>
  <c r="AL151" i="3"/>
  <c r="AL157" i="3"/>
  <c r="AL177" i="3"/>
  <c r="AL247" i="3"/>
  <c r="AM144" i="3"/>
  <c r="AN240" i="3"/>
  <c r="AS29" i="3"/>
  <c r="AP233" i="3"/>
  <c r="AR28" i="3"/>
  <c r="AM250" i="3"/>
  <c r="AM247" i="3"/>
  <c r="AT29" i="3"/>
  <c r="AM151" i="3"/>
  <c r="AR233" i="3"/>
  <c r="AS28" i="3"/>
  <c r="AP131" i="3"/>
  <c r="AM157" i="3"/>
  <c r="AM177" i="3"/>
  <c r="AT28" i="3"/>
  <c r="AU29" i="3"/>
  <c r="AR131" i="3"/>
  <c r="AP21" i="3"/>
  <c r="AT233" i="3"/>
  <c r="AU28" i="3"/>
  <c r="AW29" i="3"/>
  <c r="AS131" i="3"/>
  <c r="AR21" i="3"/>
  <c r="AU233" i="3"/>
  <c r="AW28" i="3"/>
  <c r="AX29" i="3"/>
  <c r="AT131" i="3"/>
  <c r="AS21" i="3"/>
  <c r="AY29" i="3"/>
  <c r="AW233" i="3"/>
  <c r="AX28" i="3"/>
  <c r="AU131" i="3"/>
  <c r="AT21" i="3"/>
  <c r="AY28" i="3"/>
  <c r="AZ29" i="3"/>
  <c r="AW131" i="3"/>
  <c r="AU21" i="3"/>
  <c r="BB29" i="3"/>
  <c r="AY233" i="3"/>
  <c r="AZ28" i="3"/>
  <c r="AX131" i="3"/>
  <c r="AW21" i="3"/>
  <c r="AZ233" i="3"/>
  <c r="BB28" i="3"/>
  <c r="BC29" i="3"/>
  <c r="AY131" i="3"/>
  <c r="AX21" i="3"/>
  <c r="BB233" i="3"/>
  <c r="BC28" i="3"/>
  <c r="BD29" i="3"/>
  <c r="AZ131" i="3"/>
  <c r="AY21" i="3"/>
  <c r="BE29" i="3"/>
  <c r="BD28" i="3"/>
  <c r="BB131" i="3"/>
  <c r="AZ21" i="3"/>
  <c r="BG29" i="3"/>
  <c r="BD233" i="3"/>
  <c r="BE28" i="3"/>
  <c r="BG28" i="3"/>
  <c r="BC131" i="3"/>
  <c r="BB21" i="3"/>
  <c r="BH28" i="3"/>
  <c r="BG233" i="3"/>
  <c r="BH29" i="3"/>
  <c r="BE233" i="3"/>
  <c r="BD131" i="3"/>
  <c r="BC21" i="3"/>
  <c r="BI29" i="3"/>
  <c r="BI28" i="3"/>
  <c r="BE131" i="3"/>
  <c r="BD21" i="3"/>
  <c r="BJ29" i="3"/>
  <c r="BJ28" i="3"/>
  <c r="BI233" i="3"/>
  <c r="BG131" i="3"/>
  <c r="BE21" i="3"/>
  <c r="BJ233" i="3"/>
  <c r="BH131" i="3"/>
  <c r="BG21" i="3"/>
  <c r="BI131" i="3"/>
  <c r="BH21" i="3"/>
  <c r="AU190" i="3"/>
  <c r="AR190" i="3"/>
  <c r="AT190" i="3"/>
  <c r="AS190" i="3"/>
  <c r="BJ131" i="3"/>
  <c r="BJ21" i="3"/>
  <c r="BI21" i="3"/>
  <c r="AP203" i="3"/>
  <c r="AP153" i="3"/>
  <c r="AR204" i="3"/>
  <c r="AQ203" i="3"/>
  <c r="AP227" i="3"/>
  <c r="AQ153" i="3"/>
  <c r="AR203" i="3"/>
  <c r="AR153" i="3"/>
  <c r="AS204" i="3"/>
  <c r="AR227" i="3"/>
  <c r="AS227" i="3"/>
  <c r="AS203" i="3"/>
  <c r="AS153" i="3"/>
  <c r="AT204" i="3"/>
  <c r="AT203" i="3"/>
  <c r="AT153" i="3"/>
  <c r="AT227" i="3"/>
  <c r="AU204" i="3"/>
  <c r="AU203" i="3"/>
  <c r="AU153" i="3"/>
  <c r="AU227" i="3"/>
  <c r="AV225" i="3"/>
  <c r="AV227" i="3"/>
  <c r="AW204" i="3"/>
  <c r="AV153" i="3"/>
  <c r="AV204" i="3"/>
  <c r="AW227" i="3"/>
  <c r="AW203" i="3"/>
  <c r="AW153" i="3"/>
  <c r="AX204" i="3"/>
  <c r="AV203" i="3"/>
  <c r="AX203" i="3"/>
  <c r="AX153" i="3"/>
  <c r="AX227" i="3"/>
  <c r="AY204" i="3"/>
  <c r="AY203" i="3"/>
  <c r="AY153" i="3"/>
  <c r="AZ204" i="3"/>
  <c r="AZ227" i="3"/>
  <c r="AY227" i="3"/>
  <c r="AZ203" i="3"/>
  <c r="AZ153" i="3"/>
  <c r="BA225" i="3"/>
  <c r="BA227" i="3"/>
  <c r="BA204" i="3"/>
  <c r="BB204" i="3"/>
  <c r="BB203" i="3"/>
  <c r="BB153" i="3"/>
  <c r="BA203" i="3"/>
  <c r="BB227" i="3"/>
  <c r="BA153" i="3"/>
  <c r="BC204" i="3"/>
  <c r="BC203" i="3"/>
  <c r="BC153" i="3"/>
  <c r="BD204" i="3"/>
  <c r="BD227" i="3"/>
  <c r="BC227" i="3"/>
  <c r="BD203" i="3"/>
  <c r="BD153" i="3"/>
  <c r="BE204" i="3"/>
  <c r="BE203" i="3"/>
  <c r="BE153" i="3"/>
  <c r="BG204" i="3"/>
  <c r="BE227" i="3"/>
  <c r="BF225" i="3"/>
  <c r="BF227" i="3"/>
  <c r="BG227" i="3"/>
  <c r="BF153" i="3"/>
  <c r="BF204" i="3"/>
  <c r="BG203" i="3"/>
  <c r="BG153" i="3"/>
  <c r="BH204" i="3"/>
  <c r="BF203" i="3"/>
  <c r="BH203" i="3"/>
  <c r="BH153" i="3"/>
  <c r="BI204" i="3"/>
  <c r="BH227" i="3"/>
  <c r="BI227" i="3"/>
  <c r="BI203" i="3"/>
  <c r="BI153" i="3"/>
  <c r="BJ204" i="3"/>
  <c r="BJ203" i="3"/>
  <c r="BJ153" i="3"/>
  <c r="BK153" i="3"/>
  <c r="BJ227" i="3"/>
  <c r="BK225" i="3"/>
  <c r="BK227" i="3"/>
  <c r="BK204" i="3"/>
  <c r="BK203" i="3"/>
  <c r="AO213" i="3"/>
  <c r="AP213" i="3"/>
  <c r="AQ150" i="3"/>
  <c r="AQ213" i="3"/>
  <c r="AR213" i="3"/>
  <c r="AS213" i="3"/>
  <c r="AT213" i="3"/>
  <c r="AU213" i="3"/>
  <c r="AV150" i="3"/>
  <c r="AV213" i="3"/>
  <c r="AW213" i="3"/>
  <c r="AX213" i="3"/>
  <c r="AY213" i="3"/>
  <c r="AZ213" i="3"/>
  <c r="BA150" i="3"/>
  <c r="BA213" i="3"/>
  <c r="BB213" i="3"/>
  <c r="BC213" i="3"/>
  <c r="BD213" i="3"/>
  <c r="BE213" i="3"/>
  <c r="BF150" i="3"/>
  <c r="BF213" i="3"/>
  <c r="BG213" i="3"/>
  <c r="BH213" i="3"/>
  <c r="BI213" i="3"/>
  <c r="BK150" i="3"/>
  <c r="BJ213" i="3"/>
  <c r="BK213" i="3"/>
  <c r="AQ21" i="3"/>
  <c r="AV21" i="3"/>
  <c r="BA21" i="3"/>
  <c r="BF21" i="3"/>
  <c r="BK21" i="3"/>
  <c r="AN25" i="3"/>
  <c r="AN128" i="3"/>
  <c r="AN27" i="3"/>
  <c r="AN201" i="3"/>
  <c r="AN30" i="3"/>
  <c r="AN31" i="3"/>
  <c r="AN127" i="3"/>
  <c r="AN217" i="3"/>
  <c r="AN259" i="3"/>
  <c r="AQ206" i="3"/>
  <c r="AQ32" i="3"/>
  <c r="AQ33" i="3"/>
  <c r="AS32" i="3"/>
  <c r="AQ233" i="3"/>
  <c r="AN175" i="3"/>
  <c r="AN194" i="3"/>
  <c r="AO194" i="3"/>
  <c r="AP194" i="3"/>
  <c r="AR194" i="3"/>
  <c r="AS194" i="3"/>
  <c r="AT194" i="3"/>
  <c r="AU194" i="3"/>
  <c r="AW194" i="3"/>
  <c r="AX194" i="3"/>
  <c r="AY194" i="3"/>
  <c r="AZ194" i="3"/>
  <c r="BB194" i="3"/>
  <c r="BC194" i="3"/>
  <c r="BD194" i="3"/>
  <c r="BE194" i="3"/>
  <c r="BG194" i="3"/>
  <c r="BH194" i="3"/>
  <c r="BI194" i="3"/>
  <c r="BJ194" i="3"/>
  <c r="AV32" i="3"/>
  <c r="AV33" i="3"/>
  <c r="AS233" i="3"/>
  <c r="AX32" i="3"/>
  <c r="AN132" i="3"/>
  <c r="C287" i="3"/>
  <c r="AN238" i="3"/>
  <c r="AN164" i="3"/>
  <c r="AN168" i="3"/>
  <c r="AN176" i="3"/>
  <c r="BA32" i="3"/>
  <c r="BA33" i="3"/>
  <c r="AX233" i="3"/>
  <c r="BC32" i="3"/>
  <c r="AV233" i="3"/>
  <c r="AG242" i="3"/>
  <c r="AL242" i="3"/>
  <c r="C289" i="3"/>
  <c r="AR132" i="3"/>
  <c r="AS132" i="3"/>
  <c r="AT132" i="3"/>
  <c r="AU132" i="3"/>
  <c r="AW132" i="3"/>
  <c r="AX132" i="3"/>
  <c r="AY132" i="3"/>
  <c r="AZ132" i="3"/>
  <c r="BB132" i="3"/>
  <c r="BC132" i="3"/>
  <c r="BD132" i="3"/>
  <c r="BE132" i="3"/>
  <c r="BG132" i="3"/>
  <c r="BH132" i="3"/>
  <c r="BI132" i="3"/>
  <c r="BJ132" i="3"/>
  <c r="AO24" i="3"/>
  <c r="BA233" i="3"/>
  <c r="AN239" i="3"/>
  <c r="AN241" i="3"/>
  <c r="BF32" i="3"/>
  <c r="BF33" i="3"/>
  <c r="BC233" i="3"/>
  <c r="BH32" i="3"/>
  <c r="C295" i="3"/>
  <c r="C290" i="3"/>
  <c r="AG244" i="3"/>
  <c r="BH233" i="3"/>
  <c r="BK32" i="3"/>
  <c r="BK33" i="3"/>
  <c r="BF233" i="3"/>
  <c r="AN144" i="3"/>
  <c r="AN247" i="3"/>
  <c r="AO247" i="3"/>
  <c r="AP247" i="3"/>
  <c r="AR247" i="3"/>
  <c r="AS247" i="3"/>
  <c r="AT247" i="3"/>
  <c r="AU247" i="3"/>
  <c r="AW247" i="3"/>
  <c r="AX247" i="3"/>
  <c r="AY247" i="3"/>
  <c r="AZ247" i="3"/>
  <c r="BB247" i="3"/>
  <c r="BC247" i="3"/>
  <c r="BD247" i="3"/>
  <c r="BE247" i="3"/>
  <c r="BG247" i="3"/>
  <c r="BH247" i="3"/>
  <c r="BI247" i="3"/>
  <c r="BJ247" i="3"/>
  <c r="AO240" i="3"/>
  <c r="AL244" i="3"/>
  <c r="AN250" i="3"/>
  <c r="C268" i="3"/>
  <c r="AN248" i="3"/>
  <c r="AN251" i="3"/>
  <c r="C269" i="3"/>
  <c r="AN151" i="3"/>
  <c r="AN157" i="3"/>
  <c r="AN177" i="3"/>
  <c r="BK233" i="3"/>
  <c r="C270" i="3"/>
  <c r="C299" i="3"/>
  <c r="AJ98" i="3"/>
  <c r="AJ105" i="3"/>
  <c r="AK98" i="3"/>
  <c r="AK105" i="3"/>
  <c r="AJ118" i="3"/>
  <c r="AJ140" i="3"/>
  <c r="AJ106" i="3"/>
  <c r="AL99" i="3"/>
  <c r="AL101" i="3"/>
  <c r="AL98" i="3"/>
  <c r="AM98" i="3"/>
  <c r="AM105" i="3"/>
  <c r="AK118" i="3"/>
  <c r="AK140" i="3"/>
  <c r="AK106" i="3"/>
  <c r="AL118" i="3"/>
  <c r="AL140" i="3"/>
  <c r="AL105" i="3"/>
  <c r="AN98" i="3"/>
  <c r="AN105" i="3"/>
  <c r="AM106" i="3"/>
  <c r="AM118" i="3"/>
  <c r="AM140" i="3"/>
  <c r="AO98" i="3"/>
  <c r="AO105" i="3"/>
  <c r="AQ99" i="3"/>
  <c r="AN106" i="3"/>
  <c r="AN118" i="3"/>
  <c r="AN140" i="3"/>
  <c r="AP98" i="3"/>
  <c r="AP105" i="3"/>
  <c r="AO118" i="3"/>
  <c r="AQ98" i="3"/>
  <c r="AO42" i="3"/>
  <c r="AO38" i="3"/>
  <c r="AO39" i="3"/>
  <c r="AO40" i="3"/>
  <c r="AO41" i="3"/>
  <c r="AO13" i="3"/>
  <c r="AR98" i="3"/>
  <c r="AR105" i="3"/>
  <c r="AP118" i="3"/>
  <c r="AQ118" i="3"/>
  <c r="AQ105" i="3"/>
  <c r="AP39" i="3"/>
  <c r="AQ39" i="3"/>
  <c r="AP38" i="3"/>
  <c r="AP40" i="3"/>
  <c r="AQ40" i="3"/>
  <c r="AP42" i="3"/>
  <c r="AQ42" i="3"/>
  <c r="AP41" i="3"/>
  <c r="AQ41" i="3"/>
  <c r="AP13" i="3"/>
  <c r="AP162" i="3"/>
  <c r="AR118" i="3"/>
  <c r="AR13" i="3"/>
  <c r="AO45" i="3"/>
  <c r="AO140" i="3"/>
  <c r="AO16" i="3"/>
  <c r="AO124" i="3"/>
  <c r="AO165" i="3"/>
  <c r="AO237" i="3"/>
  <c r="AO162" i="3"/>
  <c r="AO215" i="3"/>
  <c r="AO123" i="3"/>
  <c r="AO146" i="3"/>
  <c r="AO210" i="3"/>
  <c r="AO14" i="3"/>
  <c r="AO15" i="3"/>
  <c r="AO17" i="3"/>
  <c r="AO205" i="3"/>
  <c r="AS98" i="3"/>
  <c r="AS105" i="3"/>
  <c r="AO19" i="3"/>
  <c r="AO20" i="3"/>
  <c r="AO126" i="3"/>
  <c r="AP165" i="3"/>
  <c r="AQ165" i="3"/>
  <c r="AP45" i="3"/>
  <c r="AP140" i="3"/>
  <c r="AQ162" i="3"/>
  <c r="AP215" i="3"/>
  <c r="AQ215" i="3"/>
  <c r="AO232" i="3"/>
  <c r="AO231" i="3"/>
  <c r="AS118" i="3"/>
  <c r="AS13" i="3"/>
  <c r="AS165" i="3"/>
  <c r="AQ38" i="3"/>
  <c r="AO149" i="3"/>
  <c r="AO212" i="3"/>
  <c r="AO160" i="3"/>
  <c r="AO147" i="3"/>
  <c r="AO211" i="3"/>
  <c r="AR123" i="3"/>
  <c r="AR124" i="3"/>
  <c r="AR16" i="3"/>
  <c r="AR17" i="3"/>
  <c r="AR14" i="3"/>
  <c r="AR15" i="3"/>
  <c r="AR205" i="3"/>
  <c r="AP123" i="3"/>
  <c r="AP146" i="3"/>
  <c r="AR146" i="3"/>
  <c r="AR162" i="3"/>
  <c r="AP124" i="3"/>
  <c r="AP17" i="3"/>
  <c r="AQ17" i="3"/>
  <c r="AR165" i="3"/>
  <c r="AP16" i="3"/>
  <c r="AP14" i="3"/>
  <c r="AP205" i="3"/>
  <c r="AQ13" i="3"/>
  <c r="AT98" i="3"/>
  <c r="AT105" i="3"/>
  <c r="AV99" i="3"/>
  <c r="AO18" i="3"/>
  <c r="AS162" i="3"/>
  <c r="AS215" i="3"/>
  <c r="AP18" i="3"/>
  <c r="AO25" i="3"/>
  <c r="AO26" i="3"/>
  <c r="AO27" i="3"/>
  <c r="AO31" i="3"/>
  <c r="AR19" i="3"/>
  <c r="AP237" i="3"/>
  <c r="AQ237" i="3"/>
  <c r="AR215" i="3"/>
  <c r="AR237" i="3"/>
  <c r="AS237" i="3"/>
  <c r="AQ129" i="3"/>
  <c r="AP232" i="3"/>
  <c r="AQ232" i="3"/>
  <c r="AP231" i="3"/>
  <c r="AQ231" i="3"/>
  <c r="AR231" i="3"/>
  <c r="AR232" i="3"/>
  <c r="AO214" i="3"/>
  <c r="AS124" i="3"/>
  <c r="AS123" i="3"/>
  <c r="AS146" i="3"/>
  <c r="AS210" i="3"/>
  <c r="AS16" i="3"/>
  <c r="AS17" i="3"/>
  <c r="AS14" i="3"/>
  <c r="AS15" i="3"/>
  <c r="AS205" i="3"/>
  <c r="AQ205" i="3"/>
  <c r="AP149" i="3"/>
  <c r="AP147" i="3"/>
  <c r="AP160" i="3"/>
  <c r="AR160" i="3"/>
  <c r="AQ146" i="3"/>
  <c r="AR210" i="3"/>
  <c r="AP210" i="3"/>
  <c r="AQ210" i="3"/>
  <c r="AQ14" i="3"/>
  <c r="AQ15" i="3"/>
  <c r="AO172" i="3"/>
  <c r="AQ260" i="3"/>
  <c r="AQ123" i="3"/>
  <c r="AQ45" i="3"/>
  <c r="AU98" i="3"/>
  <c r="AQ16" i="3"/>
  <c r="AT118" i="3"/>
  <c r="AT13" i="3"/>
  <c r="AT162" i="3"/>
  <c r="AP15" i="3"/>
  <c r="AP19" i="3"/>
  <c r="AP20" i="3"/>
  <c r="AR18" i="3"/>
  <c r="AR126" i="3"/>
  <c r="AR20" i="3"/>
  <c r="AV98" i="3"/>
  <c r="AU105" i="3"/>
  <c r="AT215" i="3"/>
  <c r="AS19" i="3"/>
  <c r="AT38" i="3"/>
  <c r="AT165" i="3"/>
  <c r="AT237" i="3"/>
  <c r="AQ125" i="3"/>
  <c r="AQ19" i="3"/>
  <c r="AQ20" i="3"/>
  <c r="AR38" i="3"/>
  <c r="AQ147" i="3"/>
  <c r="AP211" i="3"/>
  <c r="AQ211" i="3"/>
  <c r="AS232" i="3"/>
  <c r="AS231" i="3"/>
  <c r="AP212" i="3"/>
  <c r="AQ212" i="3"/>
  <c r="AQ149" i="3"/>
  <c r="AW98" i="3"/>
  <c r="AW105" i="3"/>
  <c r="AS18" i="3"/>
  <c r="AP126" i="3"/>
  <c r="AR39" i="3"/>
  <c r="AS41" i="3"/>
  <c r="AT42" i="3"/>
  <c r="AS40" i="3"/>
  <c r="AS39" i="3"/>
  <c r="AR41" i="3"/>
  <c r="AS42" i="3"/>
  <c r="AT40" i="3"/>
  <c r="AR40" i="3"/>
  <c r="AT39" i="3"/>
  <c r="AT41" i="3"/>
  <c r="AR42" i="3"/>
  <c r="AT17" i="3"/>
  <c r="AT123" i="3"/>
  <c r="AT124" i="3"/>
  <c r="AT146" i="3"/>
  <c r="AT210" i="3"/>
  <c r="AT14" i="3"/>
  <c r="AT16" i="3"/>
  <c r="AT205" i="3"/>
  <c r="AS38" i="3"/>
  <c r="AO127" i="3"/>
  <c r="AO30" i="3"/>
  <c r="AO201" i="3"/>
  <c r="AR147" i="3"/>
  <c r="AQ18" i="3"/>
  <c r="AQ130" i="3"/>
  <c r="AU118" i="3"/>
  <c r="AU13" i="3"/>
  <c r="AV13" i="3"/>
  <c r="AQ140" i="3"/>
  <c r="AP172" i="3"/>
  <c r="AP214" i="3"/>
  <c r="AQ214" i="3"/>
  <c r="AQ160" i="3"/>
  <c r="AS160" i="3"/>
  <c r="AR149" i="3"/>
  <c r="AS126" i="3"/>
  <c r="AS20" i="3"/>
  <c r="AV118" i="3"/>
  <c r="AV105" i="3"/>
  <c r="AR212" i="3"/>
  <c r="AU162" i="3"/>
  <c r="AU215" i="3"/>
  <c r="AV215" i="3"/>
  <c r="AU38" i="3"/>
  <c r="AV38" i="3"/>
  <c r="AR211" i="3"/>
  <c r="AT45" i="3"/>
  <c r="AT140" i="3"/>
  <c r="AU39" i="3"/>
  <c r="AV39" i="3"/>
  <c r="AS149" i="3"/>
  <c r="AS212" i="3"/>
  <c r="AT160" i="3"/>
  <c r="AS214" i="3"/>
  <c r="AT15" i="3"/>
  <c r="AT19" i="3"/>
  <c r="AT20" i="3"/>
  <c r="AU40" i="3"/>
  <c r="AX98" i="3"/>
  <c r="AX105" i="3"/>
  <c r="AV260" i="3"/>
  <c r="AV123" i="3"/>
  <c r="AR214" i="3"/>
  <c r="AT232" i="3"/>
  <c r="AT231" i="3"/>
  <c r="AU42" i="3"/>
  <c r="AV42" i="3"/>
  <c r="AS147" i="3"/>
  <c r="AS211" i="3"/>
  <c r="AQ172" i="3"/>
  <c r="AR172" i="3"/>
  <c r="AU17" i="3"/>
  <c r="AV17" i="3"/>
  <c r="AV129" i="3"/>
  <c r="AU123" i="3"/>
  <c r="AU124" i="3"/>
  <c r="AU146" i="3"/>
  <c r="AU16" i="3"/>
  <c r="AV16" i="3"/>
  <c r="AU205" i="3"/>
  <c r="AV205" i="3"/>
  <c r="AU14" i="3"/>
  <c r="AU15" i="3"/>
  <c r="AO217" i="3"/>
  <c r="AO259" i="3"/>
  <c r="AO173" i="3"/>
  <c r="AS45" i="3"/>
  <c r="AS140" i="3"/>
  <c r="AT18" i="3"/>
  <c r="AU165" i="3"/>
  <c r="AU41" i="3"/>
  <c r="AV41" i="3"/>
  <c r="AR45" i="3"/>
  <c r="AR140" i="3"/>
  <c r="AQ126" i="3"/>
  <c r="AV162" i="3"/>
  <c r="AT149" i="3"/>
  <c r="AT212" i="3"/>
  <c r="AU45" i="3"/>
  <c r="AU140" i="3"/>
  <c r="AU160" i="3"/>
  <c r="AU18" i="3"/>
  <c r="AV40" i="3"/>
  <c r="AV45" i="3"/>
  <c r="AT147" i="3"/>
  <c r="AT211" i="3"/>
  <c r="AV165" i="3"/>
  <c r="AU237" i="3"/>
  <c r="AV237" i="3"/>
  <c r="AO175" i="3"/>
  <c r="AO166" i="3"/>
  <c r="AU232" i="3"/>
  <c r="AV232" i="3"/>
  <c r="AU231" i="3"/>
  <c r="AU210" i="3"/>
  <c r="AV210" i="3"/>
  <c r="AV146" i="3"/>
  <c r="AV14" i="3"/>
  <c r="AV15" i="3"/>
  <c r="AS172" i="3"/>
  <c r="AT126" i="3"/>
  <c r="AT214" i="3"/>
  <c r="AV130" i="3"/>
  <c r="AV18" i="3"/>
  <c r="AU19" i="3"/>
  <c r="AU20" i="3"/>
  <c r="AY98" i="3"/>
  <c r="AY105" i="3"/>
  <c r="AU149" i="3"/>
  <c r="AV149" i="3"/>
  <c r="AV140" i="3"/>
  <c r="AV125" i="3"/>
  <c r="AV19" i="3"/>
  <c r="AV20" i="3"/>
  <c r="AO235" i="3"/>
  <c r="AO163" i="3"/>
  <c r="AU147" i="3"/>
  <c r="AV231" i="3"/>
  <c r="AU214" i="3"/>
  <c r="AV214" i="3"/>
  <c r="AV160" i="3"/>
  <c r="AU126" i="3"/>
  <c r="AZ98" i="3"/>
  <c r="BA99" i="3"/>
  <c r="AT172" i="3"/>
  <c r="BA98" i="3"/>
  <c r="BA105" i="3"/>
  <c r="AZ105" i="3"/>
  <c r="AU212" i="3"/>
  <c r="AV212" i="3"/>
  <c r="BB98" i="3"/>
  <c r="BB105" i="3"/>
  <c r="AU172" i="3"/>
  <c r="AV147" i="3"/>
  <c r="AU211" i="3"/>
  <c r="AV211" i="3"/>
  <c r="AV126" i="3"/>
  <c r="AO195" i="3"/>
  <c r="AP22" i="3"/>
  <c r="AO236" i="3"/>
  <c r="AO238" i="3"/>
  <c r="AO164" i="3"/>
  <c r="AO168" i="3"/>
  <c r="AO176" i="3"/>
  <c r="AV172" i="3"/>
  <c r="BC98" i="3"/>
  <c r="BC105" i="3"/>
  <c r="AO239" i="3"/>
  <c r="AO241" i="3"/>
  <c r="AQ22" i="3"/>
  <c r="AQ24" i="3"/>
  <c r="AQ25" i="3"/>
  <c r="AP24" i="3"/>
  <c r="AP25" i="3"/>
  <c r="AP26" i="3"/>
  <c r="AQ26" i="3"/>
  <c r="AQ128" i="3"/>
  <c r="BD98" i="3"/>
  <c r="BD105" i="3"/>
  <c r="BF99" i="3"/>
  <c r="AO144" i="3"/>
  <c r="AP240" i="3"/>
  <c r="AP27" i="3"/>
  <c r="AP201" i="3"/>
  <c r="AO151" i="3"/>
  <c r="AO157" i="3"/>
  <c r="AO177" i="3"/>
  <c r="AO246" i="3"/>
  <c r="AO248" i="3"/>
  <c r="AO251" i="3"/>
  <c r="AO250" i="3"/>
  <c r="AQ27" i="3"/>
  <c r="BE98" i="3"/>
  <c r="BF98" i="3"/>
  <c r="BF105" i="3"/>
  <c r="BE105" i="3"/>
  <c r="AP30" i="3"/>
  <c r="AP31" i="3"/>
  <c r="AP127" i="3"/>
  <c r="BG98" i="3"/>
  <c r="BG105" i="3"/>
  <c r="AQ29" i="3"/>
  <c r="AQ31" i="3"/>
  <c r="AQ127" i="3"/>
  <c r="AQ28" i="3"/>
  <c r="AQ30" i="3"/>
  <c r="AQ201" i="3"/>
  <c r="AQ217" i="3"/>
  <c r="AP217" i="3"/>
  <c r="AP259" i="3"/>
  <c r="AP173" i="3"/>
  <c r="AQ173" i="3"/>
  <c r="AQ175" i="3"/>
  <c r="AP175" i="3"/>
  <c r="AQ259" i="3"/>
  <c r="BH98" i="3"/>
  <c r="BH105" i="3"/>
  <c r="AP166" i="3"/>
  <c r="AP163" i="3"/>
  <c r="BI98" i="3"/>
  <c r="BI105" i="3"/>
  <c r="BJ98" i="3"/>
  <c r="BJ105" i="3"/>
  <c r="AP236" i="3"/>
  <c r="AQ236" i="3"/>
  <c r="AP195" i="3"/>
  <c r="AQ163" i="3"/>
  <c r="AQ164" i="3"/>
  <c r="AR22" i="3"/>
  <c r="AP164" i="3"/>
  <c r="AP168" i="3"/>
  <c r="AP176" i="3"/>
  <c r="BK98" i="3"/>
  <c r="BK105" i="3"/>
  <c r="AQ166" i="3"/>
  <c r="AQ242" i="3"/>
  <c r="AQ244" i="3"/>
  <c r="AP235" i="3"/>
  <c r="BK99" i="3"/>
  <c r="AQ168" i="3"/>
  <c r="AQ176" i="3"/>
  <c r="AP238" i="3"/>
  <c r="AQ235" i="3"/>
  <c r="AR24" i="3"/>
  <c r="AR25" i="3"/>
  <c r="AP239" i="3"/>
  <c r="AP241" i="3"/>
  <c r="AP144" i="3"/>
  <c r="AQ238" i="3"/>
  <c r="AQ239" i="3"/>
  <c r="AQ241" i="3"/>
  <c r="AR26" i="3"/>
  <c r="AR27" i="3"/>
  <c r="AR240" i="3"/>
  <c r="AV240" i="3"/>
  <c r="AR30" i="3"/>
  <c r="AR127" i="3"/>
  <c r="AR201" i="3"/>
  <c r="AR31" i="3"/>
  <c r="AP250" i="3"/>
  <c r="AP151" i="3"/>
  <c r="AP157" i="3"/>
  <c r="AP177" i="3"/>
  <c r="AP246" i="3"/>
  <c r="AQ144" i="3"/>
  <c r="AQ246" i="3"/>
  <c r="AQ247" i="3"/>
  <c r="AP248" i="3"/>
  <c r="AR217" i="3"/>
  <c r="AR259" i="3"/>
  <c r="AR173" i="3"/>
  <c r="AQ250" i="3"/>
  <c r="AQ151" i="3"/>
  <c r="AQ157" i="3"/>
  <c r="AQ177" i="3"/>
  <c r="AR175" i="3"/>
  <c r="AQ248" i="3"/>
  <c r="AP251" i="3"/>
  <c r="AR163" i="3"/>
  <c r="AR166" i="3"/>
  <c r="AR235" i="3"/>
  <c r="AQ251" i="3"/>
  <c r="AQ249" i="3"/>
  <c r="AR195" i="3"/>
  <c r="AS22" i="3"/>
  <c r="AR236" i="3"/>
  <c r="AR238" i="3"/>
  <c r="AR164" i="3"/>
  <c r="AR168" i="3"/>
  <c r="AR176" i="3"/>
  <c r="AR239" i="3"/>
  <c r="AR241" i="3"/>
  <c r="AS24" i="3"/>
  <c r="AS25" i="3"/>
  <c r="AR144" i="3"/>
  <c r="AS240" i="3"/>
  <c r="AS26" i="3"/>
  <c r="AS27" i="3"/>
  <c r="AS31" i="3"/>
  <c r="C271" i="3"/>
  <c r="C6" i="3"/>
  <c r="AS201" i="3"/>
  <c r="AS30" i="3"/>
  <c r="AS127" i="3"/>
  <c r="AR250" i="3"/>
  <c r="AR246" i="3"/>
  <c r="AR248" i="3"/>
  <c r="AR251" i="3"/>
  <c r="AR151" i="3"/>
  <c r="AR157" i="3"/>
  <c r="AR177" i="3"/>
  <c r="AS217" i="3"/>
  <c r="AS259" i="3"/>
  <c r="AS173" i="3"/>
  <c r="AS175" i="3"/>
  <c r="AS166" i="3"/>
  <c r="AS235" i="3"/>
  <c r="AS163" i="3"/>
  <c r="AS195" i="3"/>
  <c r="AS236" i="3"/>
  <c r="AT22" i="3"/>
  <c r="AS164" i="3"/>
  <c r="AS168" i="3"/>
  <c r="AS176" i="3"/>
  <c r="AT24" i="3"/>
  <c r="AT25" i="3"/>
  <c r="AS238" i="3"/>
  <c r="AT26" i="3"/>
  <c r="AT27" i="3"/>
  <c r="AS239" i="3"/>
  <c r="AS241" i="3"/>
  <c r="AT127" i="3"/>
  <c r="AT30" i="3"/>
  <c r="AT31" i="3"/>
  <c r="AT201" i="3"/>
  <c r="AT240" i="3"/>
  <c r="AS144" i="3"/>
  <c r="AT217" i="3"/>
  <c r="AT259" i="3"/>
  <c r="AT173" i="3"/>
  <c r="AS250" i="3"/>
  <c r="AS151" i="3"/>
  <c r="AS157" i="3"/>
  <c r="AS177" i="3"/>
  <c r="AS246" i="3"/>
  <c r="AS248" i="3"/>
  <c r="AS251" i="3"/>
  <c r="AT175" i="3"/>
  <c r="AT163" i="3"/>
  <c r="AT166" i="3"/>
  <c r="AT235" i="3"/>
  <c r="AT236" i="3"/>
  <c r="AT238" i="3"/>
  <c r="AT195" i="3"/>
  <c r="AU22" i="3"/>
  <c r="AT164" i="3"/>
  <c r="AT168" i="3"/>
  <c r="AT176" i="3"/>
  <c r="AU24" i="3"/>
  <c r="AU25" i="3"/>
  <c r="AV22" i="3"/>
  <c r="AV24" i="3"/>
  <c r="AV25" i="3"/>
  <c r="AT239" i="3"/>
  <c r="AT241" i="3"/>
  <c r="AU26" i="3"/>
  <c r="AV26" i="3"/>
  <c r="AV128" i="3"/>
  <c r="AT144" i="3"/>
  <c r="AU240" i="3"/>
  <c r="AT250" i="3"/>
  <c r="AT151" i="3"/>
  <c r="AT157" i="3"/>
  <c r="AT177" i="3"/>
  <c r="AT246" i="3"/>
  <c r="AT248" i="3"/>
  <c r="AT251" i="3"/>
  <c r="AV27" i="3"/>
  <c r="AU27" i="3"/>
  <c r="AU127" i="3"/>
  <c r="AU30" i="3"/>
  <c r="AU31" i="3"/>
  <c r="AU201" i="3"/>
  <c r="AV127" i="3"/>
  <c r="AV201" i="3"/>
  <c r="AV217" i="3"/>
  <c r="AV29" i="3"/>
  <c r="AV31" i="3"/>
  <c r="AV28" i="3"/>
  <c r="AV30" i="3"/>
  <c r="AV259" i="3"/>
  <c r="AU217" i="3"/>
  <c r="AU259" i="3"/>
  <c r="AU173" i="3"/>
  <c r="AV173" i="3"/>
  <c r="AV175" i="3"/>
  <c r="AU175" i="3"/>
  <c r="AU166" i="3"/>
  <c r="AU163" i="3"/>
  <c r="AU236" i="3"/>
  <c r="AV236" i="3"/>
  <c r="AU195" i="3"/>
  <c r="AV163" i="3"/>
  <c r="AV164" i="3"/>
  <c r="AW22" i="3"/>
  <c r="AU164" i="3"/>
  <c r="AU168" i="3"/>
  <c r="AU176" i="3"/>
  <c r="AU235" i="3"/>
  <c r="AV166" i="3"/>
  <c r="AV242" i="3"/>
  <c r="AV244" i="3"/>
  <c r="AV168" i="3"/>
  <c r="AV176" i="3"/>
  <c r="AW24" i="3"/>
  <c r="AU238" i="3"/>
  <c r="AV235" i="3"/>
  <c r="AU239" i="3"/>
  <c r="AU241" i="3"/>
  <c r="AU144" i="3"/>
  <c r="AV238" i="3"/>
  <c r="AV239" i="3"/>
  <c r="AV241" i="3"/>
  <c r="AU250" i="3"/>
  <c r="AU246" i="3"/>
  <c r="AU151" i="3"/>
  <c r="AU157" i="3"/>
  <c r="AU177" i="3"/>
  <c r="AV144" i="3"/>
  <c r="BA240" i="3"/>
  <c r="AW240" i="3"/>
  <c r="AV151" i="3"/>
  <c r="AV157" i="3"/>
  <c r="AV177" i="3"/>
  <c r="AV250" i="3"/>
  <c r="AV246" i="3"/>
  <c r="AV247" i="3"/>
  <c r="AU248" i="3"/>
  <c r="AV248" i="3"/>
  <c r="AU251" i="3"/>
  <c r="AV251" i="3"/>
  <c r="AV249" i="3"/>
  <c r="AW61" i="3"/>
  <c r="AX61" i="3"/>
  <c r="AX118" i="3"/>
  <c r="AX42" i="3"/>
  <c r="AX39" i="3"/>
  <c r="AX38" i="3"/>
  <c r="AX41" i="3"/>
  <c r="AX40" i="3"/>
  <c r="AX13" i="3"/>
  <c r="AW118" i="3"/>
  <c r="AX45" i="3"/>
  <c r="AX140" i="3"/>
  <c r="AX123" i="3"/>
  <c r="AX17" i="3"/>
  <c r="AX14" i="3"/>
  <c r="AX15" i="3"/>
  <c r="AX16" i="3"/>
  <c r="AX205" i="3"/>
  <c r="AW42" i="3"/>
  <c r="AW41" i="3"/>
  <c r="AW40" i="3"/>
  <c r="AW39" i="3"/>
  <c r="AW38" i="3"/>
  <c r="AW13" i="3"/>
  <c r="AY61" i="3"/>
  <c r="AX18" i="3"/>
  <c r="AX19" i="3"/>
  <c r="AZ61" i="3"/>
  <c r="AZ118" i="3"/>
  <c r="BA62" i="3"/>
  <c r="BA63" i="3"/>
  <c r="AX232" i="3"/>
  <c r="AX231" i="3"/>
  <c r="AY118" i="3"/>
  <c r="AW124" i="3"/>
  <c r="AX165" i="3"/>
  <c r="AW123" i="3"/>
  <c r="AX162" i="3"/>
  <c r="AW17" i="3"/>
  <c r="AW146" i="3"/>
  <c r="AW162" i="3"/>
  <c r="AW215" i="3"/>
  <c r="AW14" i="3"/>
  <c r="AW15" i="3"/>
  <c r="AW16" i="3"/>
  <c r="AW165" i="3"/>
  <c r="AW237" i="3"/>
  <c r="AW205" i="3"/>
  <c r="AX124" i="3"/>
  <c r="AW45" i="3"/>
  <c r="AW140" i="3"/>
  <c r="BA61" i="3"/>
  <c r="BA65" i="3"/>
  <c r="AX126" i="3"/>
  <c r="AX20" i="3"/>
  <c r="AX237" i="3"/>
  <c r="AW210" i="3"/>
  <c r="AX146" i="3"/>
  <c r="AX210" i="3"/>
  <c r="BB61" i="3"/>
  <c r="AW232" i="3"/>
  <c r="AW231" i="3"/>
  <c r="AW18" i="3"/>
  <c r="AW19" i="3"/>
  <c r="AW20" i="3"/>
  <c r="AW149" i="3"/>
  <c r="AW160" i="3"/>
  <c r="AW147" i="3"/>
  <c r="AX215" i="3"/>
  <c r="AY39" i="3"/>
  <c r="AY40" i="3"/>
  <c r="AY38" i="3"/>
  <c r="AY42" i="3"/>
  <c r="AY41" i="3"/>
  <c r="AY13" i="3"/>
  <c r="AZ40" i="3"/>
  <c r="AZ41" i="3"/>
  <c r="AZ39" i="3"/>
  <c r="AZ42" i="3"/>
  <c r="AZ38" i="3"/>
  <c r="AZ13" i="3"/>
  <c r="BA118" i="3"/>
  <c r="BA40" i="3"/>
  <c r="BA42" i="3"/>
  <c r="BA41" i="3"/>
  <c r="BA39" i="3"/>
  <c r="AW212" i="3"/>
  <c r="AX149" i="3"/>
  <c r="AX212" i="3"/>
  <c r="BB118" i="3"/>
  <c r="BB13" i="3"/>
  <c r="BB162" i="3"/>
  <c r="AZ45" i="3"/>
  <c r="AY45" i="3"/>
  <c r="AY140" i="3"/>
  <c r="BA38" i="3"/>
  <c r="AW211" i="3"/>
  <c r="AX147" i="3"/>
  <c r="AX211" i="3"/>
  <c r="AW126" i="3"/>
  <c r="AW25" i="3"/>
  <c r="BC61" i="3"/>
  <c r="BC118" i="3"/>
  <c r="BC13" i="3"/>
  <c r="AZ123" i="3"/>
  <c r="AZ124" i="3"/>
  <c r="AZ16" i="3"/>
  <c r="AZ17" i="3"/>
  <c r="AZ140" i="3"/>
  <c r="AZ14" i="3"/>
  <c r="AZ205" i="3"/>
  <c r="AW172" i="3"/>
  <c r="AY17" i="3"/>
  <c r="AZ165" i="3"/>
  <c r="AZ162" i="3"/>
  <c r="AY124" i="3"/>
  <c r="AY14" i="3"/>
  <c r="AY15" i="3"/>
  <c r="AY16" i="3"/>
  <c r="AY146" i="3"/>
  <c r="AY210" i="3"/>
  <c r="AY205" i="3"/>
  <c r="AY123" i="3"/>
  <c r="AY165" i="3"/>
  <c r="AY237" i="3"/>
  <c r="AY162" i="3"/>
  <c r="AY215" i="3"/>
  <c r="BA13" i="3"/>
  <c r="AW214" i="3"/>
  <c r="AX160" i="3"/>
  <c r="AY19" i="3"/>
  <c r="BA17" i="3"/>
  <c r="BA129" i="3"/>
  <c r="BB165" i="3"/>
  <c r="AZ146" i="3"/>
  <c r="AZ210" i="3"/>
  <c r="BA210" i="3"/>
  <c r="AZ18" i="3"/>
  <c r="BA260" i="3"/>
  <c r="BA123" i="3"/>
  <c r="AY232" i="3"/>
  <c r="AY231" i="3"/>
  <c r="BA205" i="3"/>
  <c r="AY149" i="3"/>
  <c r="AY212" i="3"/>
  <c r="AY160" i="3"/>
  <c r="AZ160" i="3"/>
  <c r="AY147" i="3"/>
  <c r="AY211" i="3"/>
  <c r="BA14" i="3"/>
  <c r="BA15" i="3"/>
  <c r="BD61" i="3"/>
  <c r="BF62" i="3"/>
  <c r="BF63" i="3"/>
  <c r="BA162" i="3"/>
  <c r="BB215" i="3"/>
  <c r="AZ215" i="3"/>
  <c r="BA215" i="3"/>
  <c r="AX172" i="3"/>
  <c r="AW26" i="3"/>
  <c r="AW27" i="3"/>
  <c r="BA45" i="3"/>
  <c r="BB38" i="3"/>
  <c r="AY18" i="3"/>
  <c r="BA16" i="3"/>
  <c r="BA165" i="3"/>
  <c r="AZ237" i="3"/>
  <c r="BA237" i="3"/>
  <c r="AZ231" i="3"/>
  <c r="AZ232" i="3"/>
  <c r="AX214" i="3"/>
  <c r="AZ15" i="3"/>
  <c r="AZ19" i="3"/>
  <c r="AZ20" i="3"/>
  <c r="BC124" i="3"/>
  <c r="BC16" i="3"/>
  <c r="BC14" i="3"/>
  <c r="BC15" i="3"/>
  <c r="BC123" i="3"/>
  <c r="BC17" i="3"/>
  <c r="BC205" i="3"/>
  <c r="BB124" i="3"/>
  <c r="BC165" i="3"/>
  <c r="BC162" i="3"/>
  <c r="BC215" i="3"/>
  <c r="BB16" i="3"/>
  <c r="BB123" i="3"/>
  <c r="BB205" i="3"/>
  <c r="BB17" i="3"/>
  <c r="BB14" i="3"/>
  <c r="AY126" i="3"/>
  <c r="AY20" i="3"/>
  <c r="BB39" i="3"/>
  <c r="BB146" i="3"/>
  <c r="BA146" i="3"/>
  <c r="BB237" i="3"/>
  <c r="AZ149" i="3"/>
  <c r="BB149" i="3"/>
  <c r="BC149" i="3"/>
  <c r="BC212" i="3"/>
  <c r="BC39" i="3"/>
  <c r="BC237" i="3"/>
  <c r="BC19" i="3"/>
  <c r="BC38" i="3"/>
  <c r="BC18" i="3"/>
  <c r="BA19" i="3"/>
  <c r="BA20" i="3"/>
  <c r="BA125" i="3"/>
  <c r="BB160" i="3"/>
  <c r="BC160" i="3"/>
  <c r="BB18" i="3"/>
  <c r="AZ126" i="3"/>
  <c r="BB40" i="3"/>
  <c r="BB42" i="3"/>
  <c r="BB41" i="3"/>
  <c r="BC42" i="3"/>
  <c r="BC41" i="3"/>
  <c r="BC40" i="3"/>
  <c r="BB232" i="3"/>
  <c r="BB231" i="3"/>
  <c r="BC232" i="3"/>
  <c r="BC231" i="3"/>
  <c r="BC146" i="3"/>
  <c r="BC210" i="3"/>
  <c r="BA130" i="3"/>
  <c r="BA18" i="3"/>
  <c r="AW127" i="3"/>
  <c r="AW31" i="3"/>
  <c r="AW30" i="3"/>
  <c r="AW201" i="3"/>
  <c r="BB15" i="3"/>
  <c r="BB19" i="3"/>
  <c r="BB20" i="3"/>
  <c r="AY172" i="3"/>
  <c r="BD118" i="3"/>
  <c r="BD41" i="3"/>
  <c r="AZ214" i="3"/>
  <c r="BA160" i="3"/>
  <c r="BA231" i="3"/>
  <c r="BA140" i="3"/>
  <c r="BE61" i="3"/>
  <c r="BE118" i="3"/>
  <c r="AZ147" i="3"/>
  <c r="BB147" i="3"/>
  <c r="AY214" i="3"/>
  <c r="BA232" i="3"/>
  <c r="BC126" i="3"/>
  <c r="BC20" i="3"/>
  <c r="BB210" i="3"/>
  <c r="AZ212" i="3"/>
  <c r="BA212" i="3"/>
  <c r="BA149" i="3"/>
  <c r="BB212" i="3"/>
  <c r="BA214" i="3"/>
  <c r="BC45" i="3"/>
  <c r="BC140" i="3"/>
  <c r="BC147" i="3"/>
  <c r="BC211" i="3"/>
  <c r="BE13" i="3"/>
  <c r="BE39" i="3"/>
  <c r="BB126" i="3"/>
  <c r="BE42" i="3"/>
  <c r="BE38" i="3"/>
  <c r="BD13" i="3"/>
  <c r="BD39" i="3"/>
  <c r="BD38" i="3"/>
  <c r="BC214" i="3"/>
  <c r="BD40" i="3"/>
  <c r="BD42" i="3"/>
  <c r="BB214" i="3"/>
  <c r="BE41" i="3"/>
  <c r="BF41" i="3"/>
  <c r="BB45" i="3"/>
  <c r="BB140" i="3"/>
  <c r="BA126" i="3"/>
  <c r="BF61" i="3"/>
  <c r="BE40" i="3"/>
  <c r="AZ211" i="3"/>
  <c r="BA211" i="3"/>
  <c r="BA147" i="3"/>
  <c r="BB211" i="3"/>
  <c r="AZ172" i="3"/>
  <c r="AW217" i="3"/>
  <c r="AW259" i="3"/>
  <c r="AW173" i="3"/>
  <c r="BF40" i="3"/>
  <c r="BF42" i="3"/>
  <c r="BF39" i="3"/>
  <c r="AW175" i="3"/>
  <c r="BF118" i="3"/>
  <c r="BF65" i="3"/>
  <c r="BE165" i="3"/>
  <c r="BD124" i="3"/>
  <c r="BD123" i="3"/>
  <c r="BD16" i="3"/>
  <c r="BE162" i="3"/>
  <c r="BD17" i="3"/>
  <c r="BD205" i="3"/>
  <c r="BD146" i="3"/>
  <c r="BD210" i="3"/>
  <c r="BD14" i="3"/>
  <c r="BD162" i="3"/>
  <c r="BD215" i="3"/>
  <c r="BD165" i="3"/>
  <c r="BD237" i="3"/>
  <c r="BF13" i="3"/>
  <c r="BA172" i="3"/>
  <c r="BB172" i="3"/>
  <c r="BH61" i="3"/>
  <c r="BH118" i="3"/>
  <c r="BH13" i="3"/>
  <c r="BE45" i="3"/>
  <c r="BE140" i="3"/>
  <c r="BG118" i="3"/>
  <c r="BG13" i="3"/>
  <c r="BE16" i="3"/>
  <c r="BE123" i="3"/>
  <c r="BE124" i="3"/>
  <c r="BE17" i="3"/>
  <c r="BE146" i="3"/>
  <c r="BE14" i="3"/>
  <c r="BE205" i="3"/>
  <c r="BD45" i="3"/>
  <c r="BD140" i="3"/>
  <c r="BF38" i="3"/>
  <c r="BE18" i="3"/>
  <c r="BD147" i="3"/>
  <c r="BD211" i="3"/>
  <c r="BD149" i="3"/>
  <c r="BD212" i="3"/>
  <c r="BD160" i="3"/>
  <c r="BE160" i="3"/>
  <c r="BF14" i="3"/>
  <c r="BF15" i="3"/>
  <c r="BE210" i="3"/>
  <c r="BF210" i="3"/>
  <c r="BF146" i="3"/>
  <c r="BF123" i="3"/>
  <c r="BF260" i="3"/>
  <c r="BE215" i="3"/>
  <c r="BF215" i="3"/>
  <c r="BF162" i="3"/>
  <c r="AW166" i="3"/>
  <c r="AW235" i="3"/>
  <c r="AW163" i="3"/>
  <c r="BG123" i="3"/>
  <c r="BH162" i="3"/>
  <c r="BG124" i="3"/>
  <c r="BG14" i="3"/>
  <c r="BH165" i="3"/>
  <c r="BG16" i="3"/>
  <c r="BG205" i="3"/>
  <c r="BG146" i="3"/>
  <c r="BG17" i="3"/>
  <c r="BD15" i="3"/>
  <c r="BD19" i="3"/>
  <c r="BD20" i="3"/>
  <c r="BH123" i="3"/>
  <c r="BH17" i="3"/>
  <c r="BH16" i="3"/>
  <c r="BH124" i="3"/>
  <c r="BH205" i="3"/>
  <c r="BH14" i="3"/>
  <c r="BI61" i="3"/>
  <c r="BG165" i="3"/>
  <c r="BE237" i="3"/>
  <c r="BF237" i="3"/>
  <c r="BF165" i="3"/>
  <c r="BF45" i="3"/>
  <c r="BF140" i="3"/>
  <c r="BE15" i="3"/>
  <c r="BE19" i="3"/>
  <c r="BE20" i="3"/>
  <c r="BG162" i="3"/>
  <c r="BD232" i="3"/>
  <c r="BD231" i="3"/>
  <c r="BF205" i="3"/>
  <c r="BD18" i="3"/>
  <c r="BF16" i="3"/>
  <c r="BE232" i="3"/>
  <c r="BE231" i="3"/>
  <c r="BC172" i="3"/>
  <c r="BF17" i="3"/>
  <c r="BF129" i="3"/>
  <c r="BG215" i="3"/>
  <c r="BG210" i="3"/>
  <c r="BG237" i="3"/>
  <c r="BH146" i="3"/>
  <c r="BH210" i="3"/>
  <c r="BH18" i="3"/>
  <c r="BG38" i="3"/>
  <c r="BH237" i="3"/>
  <c r="BE149" i="3"/>
  <c r="BF149" i="3"/>
  <c r="BE214" i="3"/>
  <c r="BF160" i="3"/>
  <c r="BF125" i="3"/>
  <c r="BF19" i="3"/>
  <c r="BF20" i="3"/>
  <c r="BG231" i="3"/>
  <c r="BG232" i="3"/>
  <c r="BH40" i="3"/>
  <c r="BH42" i="3"/>
  <c r="BH41" i="3"/>
  <c r="BH39" i="3"/>
  <c r="BG40" i="3"/>
  <c r="BG39" i="3"/>
  <c r="BG41" i="3"/>
  <c r="BG42" i="3"/>
  <c r="BH15" i="3"/>
  <c r="BH19" i="3"/>
  <c r="BH20" i="3"/>
  <c r="BG18" i="3"/>
  <c r="BG160" i="3"/>
  <c r="BH160" i="3"/>
  <c r="BE126" i="3"/>
  <c r="BD126" i="3"/>
  <c r="BF231" i="3"/>
  <c r="BF130" i="3"/>
  <c r="BF18" i="3"/>
  <c r="BF232" i="3"/>
  <c r="BH38" i="3"/>
  <c r="BI118" i="3"/>
  <c r="BI13" i="3"/>
  <c r="BH232" i="3"/>
  <c r="BH231" i="3"/>
  <c r="BD214" i="3"/>
  <c r="BD172" i="3"/>
  <c r="BJ61" i="3"/>
  <c r="BJ118" i="3"/>
  <c r="BJ41" i="3"/>
  <c r="BK62" i="3"/>
  <c r="BK63" i="3"/>
  <c r="BG15" i="3"/>
  <c r="BG19" i="3"/>
  <c r="BG20" i="3"/>
  <c r="BH215" i="3"/>
  <c r="AW195" i="3"/>
  <c r="AX22" i="3"/>
  <c r="AW236" i="3"/>
  <c r="AW238" i="3"/>
  <c r="AW164" i="3"/>
  <c r="AW168" i="3"/>
  <c r="AW176" i="3"/>
  <c r="BE147" i="3"/>
  <c r="BG147" i="3"/>
  <c r="BF214" i="3"/>
  <c r="BE212" i="3"/>
  <c r="BF212" i="3"/>
  <c r="BG149" i="3"/>
  <c r="BH149" i="3"/>
  <c r="BH212" i="3"/>
  <c r="BI38" i="3"/>
  <c r="BJ39" i="3"/>
  <c r="BI40" i="3"/>
  <c r="BK61" i="3"/>
  <c r="BK65" i="3"/>
  <c r="BG45" i="3"/>
  <c r="BG140" i="3"/>
  <c r="BI41" i="3"/>
  <c r="BK41" i="3"/>
  <c r="AW239" i="3"/>
  <c r="AW241" i="3"/>
  <c r="BH214" i="3"/>
  <c r="BG126" i="3"/>
  <c r="AX24" i="3"/>
  <c r="AX25" i="3"/>
  <c r="BI42" i="3"/>
  <c r="BH45" i="3"/>
  <c r="BH140" i="3"/>
  <c r="BJ40" i="3"/>
  <c r="BH126" i="3"/>
  <c r="BE211" i="3"/>
  <c r="BF211" i="3"/>
  <c r="BF147" i="3"/>
  <c r="BG211" i="3"/>
  <c r="BI17" i="3"/>
  <c r="BI123" i="3"/>
  <c r="BI124" i="3"/>
  <c r="BI16" i="3"/>
  <c r="BI146" i="3"/>
  <c r="BI210" i="3"/>
  <c r="BI205" i="3"/>
  <c r="BI14" i="3"/>
  <c r="BI162" i="3"/>
  <c r="BI215" i="3"/>
  <c r="BI165" i="3"/>
  <c r="BI237" i="3"/>
  <c r="BJ13" i="3"/>
  <c r="BJ165" i="3"/>
  <c r="BJ38" i="3"/>
  <c r="BE172" i="3"/>
  <c r="BG214" i="3"/>
  <c r="BH147" i="3"/>
  <c r="BH211" i="3"/>
  <c r="BI39" i="3"/>
  <c r="BJ42" i="3"/>
  <c r="BF126" i="3"/>
  <c r="BG212" i="3"/>
  <c r="BK38" i="3"/>
  <c r="BK40" i="3"/>
  <c r="BK42" i="3"/>
  <c r="BK118" i="3"/>
  <c r="BI45" i="3"/>
  <c r="BI140" i="3"/>
  <c r="BK13" i="3"/>
  <c r="BK123" i="3"/>
  <c r="BI149" i="3"/>
  <c r="BI212" i="3"/>
  <c r="BI147" i="3"/>
  <c r="BI211" i="3"/>
  <c r="BI160" i="3"/>
  <c r="BK165" i="3"/>
  <c r="BJ237" i="3"/>
  <c r="BK237" i="3"/>
  <c r="BJ17" i="3"/>
  <c r="BK17" i="3"/>
  <c r="BJ123" i="3"/>
  <c r="BJ146" i="3"/>
  <c r="BJ124" i="3"/>
  <c r="BJ16" i="3"/>
  <c r="BK16" i="3"/>
  <c r="BJ205" i="3"/>
  <c r="BK205" i="3"/>
  <c r="BJ14" i="3"/>
  <c r="BJ45" i="3"/>
  <c r="BJ140" i="3"/>
  <c r="BI232" i="3"/>
  <c r="BI231" i="3"/>
  <c r="AX26" i="3"/>
  <c r="BF172" i="3"/>
  <c r="BG172" i="3"/>
  <c r="BK39" i="3"/>
  <c r="BI15" i="3"/>
  <c r="BI19" i="3"/>
  <c r="BI20" i="3"/>
  <c r="BI18" i="3"/>
  <c r="BJ162" i="3"/>
  <c r="AW144" i="3"/>
  <c r="AX240" i="3"/>
  <c r="BJ18" i="3"/>
  <c r="BK129" i="3"/>
  <c r="BK45" i="3"/>
  <c r="BK140" i="3"/>
  <c r="BK260" i="3"/>
  <c r="BK162" i="3"/>
  <c r="BJ215" i="3"/>
  <c r="BK215" i="3"/>
  <c r="BJ147" i="3"/>
  <c r="BJ160" i="3"/>
  <c r="BJ149" i="3"/>
  <c r="BK130" i="3"/>
  <c r="BK18" i="3"/>
  <c r="AX27" i="3"/>
  <c r="BJ15" i="3"/>
  <c r="BJ19" i="3"/>
  <c r="BJ20" i="3"/>
  <c r="BJ232" i="3"/>
  <c r="BK232" i="3"/>
  <c r="BJ231" i="3"/>
  <c r="BK231" i="3"/>
  <c r="BK14" i="3"/>
  <c r="BK15" i="3"/>
  <c r="BH172" i="3"/>
  <c r="BK146" i="3"/>
  <c r="BJ210" i="3"/>
  <c r="BK210" i="3"/>
  <c r="AW151" i="3"/>
  <c r="AW157" i="3"/>
  <c r="AW177" i="3"/>
  <c r="AW246" i="3"/>
  <c r="AW248" i="3"/>
  <c r="AW251" i="3"/>
  <c r="AW250" i="3"/>
  <c r="BI126" i="3"/>
  <c r="BI214" i="3"/>
  <c r="BJ212" i="3"/>
  <c r="BK212" i="3"/>
  <c r="BK149" i="3"/>
  <c r="BJ214" i="3"/>
  <c r="BK214" i="3"/>
  <c r="BK160" i="3"/>
  <c r="AX31" i="3"/>
  <c r="AX30" i="3"/>
  <c r="AX127" i="3"/>
  <c r="AX201" i="3"/>
  <c r="BK147" i="3"/>
  <c r="BJ211" i="3"/>
  <c r="BK211" i="3"/>
  <c r="BK125" i="3"/>
  <c r="BK19" i="3"/>
  <c r="BK20" i="3"/>
  <c r="BI172" i="3"/>
  <c r="BJ126" i="3"/>
  <c r="BK126" i="3"/>
  <c r="AX217" i="3"/>
  <c r="AX259" i="3"/>
  <c r="AX173" i="3"/>
  <c r="BJ172" i="3"/>
  <c r="AX175" i="3"/>
  <c r="BK172" i="3"/>
  <c r="AX166" i="3"/>
  <c r="AX235" i="3"/>
  <c r="AX163" i="3"/>
  <c r="AX195" i="3"/>
  <c r="AX236" i="3"/>
  <c r="AY22" i="3"/>
  <c r="AX164" i="3"/>
  <c r="AX168" i="3"/>
  <c r="AX176" i="3"/>
  <c r="AY24" i="3"/>
  <c r="AY25" i="3"/>
  <c r="AX238" i="3"/>
  <c r="AY26" i="3"/>
  <c r="AX239" i="3"/>
  <c r="AX241" i="3"/>
  <c r="AX144" i="3"/>
  <c r="AY240" i="3"/>
  <c r="AY27" i="3"/>
  <c r="AY31" i="3"/>
  <c r="AY201" i="3"/>
  <c r="AY30" i="3"/>
  <c r="AY127" i="3"/>
  <c r="AX246" i="3"/>
  <c r="AX248" i="3"/>
  <c r="AX251" i="3"/>
  <c r="AX250" i="3"/>
  <c r="AX151" i="3"/>
  <c r="AX157" i="3"/>
  <c r="AX177" i="3"/>
  <c r="AY217" i="3"/>
  <c r="AY259" i="3"/>
  <c r="AY173" i="3"/>
  <c r="AY175" i="3"/>
  <c r="AY166" i="3"/>
  <c r="AY235" i="3"/>
  <c r="AY163" i="3"/>
  <c r="AY195" i="3"/>
  <c r="AZ22" i="3"/>
  <c r="AY236" i="3"/>
  <c r="AY164" i="3"/>
  <c r="AY168" i="3"/>
  <c r="AY176" i="3"/>
  <c r="AZ24" i="3"/>
  <c r="AZ25" i="3"/>
  <c r="BA22" i="3"/>
  <c r="BA24" i="3"/>
  <c r="BA25" i="3"/>
  <c r="AY238" i="3"/>
  <c r="AZ26" i="3"/>
  <c r="BA26" i="3"/>
  <c r="BA128" i="3"/>
  <c r="AY239" i="3"/>
  <c r="AY241" i="3"/>
  <c r="AZ27" i="3"/>
  <c r="AZ201" i="3"/>
  <c r="AZ240" i="3"/>
  <c r="AY144" i="3"/>
  <c r="BA27" i="3"/>
  <c r="AZ31" i="3"/>
  <c r="AZ127" i="3"/>
  <c r="AZ30" i="3"/>
  <c r="BA127" i="3"/>
  <c r="BA201" i="3"/>
  <c r="BA217" i="3"/>
  <c r="BA29" i="3"/>
  <c r="BA31" i="3"/>
  <c r="BA28" i="3"/>
  <c r="BA30" i="3"/>
  <c r="AY250" i="3"/>
  <c r="AY151" i="3"/>
  <c r="AY157" i="3"/>
  <c r="AY177" i="3"/>
  <c r="AY246" i="3"/>
  <c r="AY248" i="3"/>
  <c r="AY251" i="3"/>
  <c r="AZ217" i="3"/>
  <c r="AZ259" i="3"/>
  <c r="AZ173" i="3"/>
  <c r="BA259" i="3"/>
  <c r="BA173" i="3"/>
  <c r="BA175" i="3"/>
  <c r="AZ175" i="3"/>
  <c r="AZ163" i="3"/>
  <c r="AZ166" i="3"/>
  <c r="BA166" i="3"/>
  <c r="BA242" i="3"/>
  <c r="BA244" i="3"/>
  <c r="AZ235" i="3"/>
  <c r="AZ195" i="3"/>
  <c r="AZ236" i="3"/>
  <c r="BA236" i="3"/>
  <c r="BA163" i="3"/>
  <c r="BA164" i="3"/>
  <c r="BA168" i="3"/>
  <c r="BA176" i="3"/>
  <c r="BB22" i="3"/>
  <c r="AZ164" i="3"/>
  <c r="AZ168" i="3"/>
  <c r="AZ176" i="3"/>
  <c r="BB24" i="3"/>
  <c r="BB25" i="3"/>
  <c r="AZ238" i="3"/>
  <c r="BA235" i="3"/>
  <c r="BB26" i="3"/>
  <c r="BB27" i="3"/>
  <c r="AZ239" i="3"/>
  <c r="AZ241" i="3"/>
  <c r="AZ144" i="3"/>
  <c r="BA238" i="3"/>
  <c r="BA239" i="3"/>
  <c r="BA241" i="3"/>
  <c r="BB127" i="3"/>
  <c r="BB30" i="3"/>
  <c r="BB31" i="3"/>
  <c r="BB201" i="3"/>
  <c r="BA144" i="3"/>
  <c r="AZ250" i="3"/>
  <c r="AZ151" i="3"/>
  <c r="AZ157" i="3"/>
  <c r="AZ177" i="3"/>
  <c r="AZ246" i="3"/>
  <c r="BB240" i="3"/>
  <c r="BF240" i="3"/>
  <c r="BA250" i="3"/>
  <c r="BA151" i="3"/>
  <c r="BA157" i="3"/>
  <c r="BA177" i="3"/>
  <c r="AZ248" i="3"/>
  <c r="BA246" i="3"/>
  <c r="BA247" i="3"/>
  <c r="BB217" i="3"/>
  <c r="BB259" i="3"/>
  <c r="BB173" i="3"/>
  <c r="BB175" i="3"/>
  <c r="BA248" i="3"/>
  <c r="AZ251" i="3"/>
  <c r="BA251" i="3"/>
  <c r="BA249" i="3"/>
  <c r="BB166" i="3"/>
  <c r="BB235" i="3"/>
  <c r="BB163" i="3"/>
  <c r="BB236" i="3"/>
  <c r="BC22" i="3"/>
  <c r="BB195" i="3"/>
  <c r="BB164" i="3"/>
  <c r="BB168" i="3"/>
  <c r="BB176" i="3"/>
  <c r="BC24" i="3"/>
  <c r="BC25" i="3"/>
  <c r="BB238" i="3"/>
  <c r="BB239" i="3"/>
  <c r="BB241" i="3"/>
  <c r="BC26" i="3"/>
  <c r="BC27" i="3"/>
  <c r="BB144" i="3"/>
  <c r="BC240" i="3"/>
  <c r="BB250" i="3"/>
  <c r="BB246" i="3"/>
  <c r="BB248" i="3"/>
  <c r="BB251" i="3"/>
  <c r="BB151" i="3"/>
  <c r="BB157" i="3"/>
  <c r="BB177" i="3"/>
  <c r="BC30" i="3"/>
  <c r="BC127" i="3"/>
  <c r="BC201" i="3"/>
  <c r="BC31" i="3"/>
  <c r="BC217" i="3"/>
  <c r="BC259" i="3"/>
  <c r="BC173" i="3"/>
  <c r="BC175" i="3"/>
  <c r="BC163" i="3"/>
  <c r="BC166" i="3"/>
  <c r="BC235" i="3"/>
  <c r="BC195" i="3"/>
  <c r="BC236" i="3"/>
  <c r="BD22" i="3"/>
  <c r="BC164" i="3"/>
  <c r="BC168" i="3"/>
  <c r="BC176" i="3"/>
  <c r="BD24" i="3"/>
  <c r="BD25" i="3"/>
  <c r="BC238" i="3"/>
  <c r="BD26" i="3"/>
  <c r="BD27" i="3"/>
  <c r="BC239" i="3"/>
  <c r="BC241" i="3"/>
  <c r="BD31" i="3"/>
  <c r="BD127" i="3"/>
  <c r="BD30" i="3"/>
  <c r="BD201" i="3"/>
  <c r="BC144" i="3"/>
  <c r="BD240" i="3"/>
  <c r="BD217" i="3"/>
  <c r="BD259" i="3"/>
  <c r="BD173" i="3"/>
  <c r="BC250" i="3"/>
  <c r="BC151" i="3"/>
  <c r="BC157" i="3"/>
  <c r="BC177" i="3"/>
  <c r="BC246" i="3"/>
  <c r="BC248" i="3"/>
  <c r="BC251" i="3"/>
  <c r="BD175" i="3"/>
  <c r="BD166" i="3"/>
  <c r="BD235" i="3"/>
  <c r="BD163" i="3"/>
  <c r="BD236" i="3"/>
  <c r="BD238" i="3"/>
  <c r="BD195" i="3"/>
  <c r="BE22" i="3"/>
  <c r="BD164" i="3"/>
  <c r="BD168" i="3"/>
  <c r="BD176" i="3"/>
  <c r="BE24" i="3"/>
  <c r="BE25" i="3"/>
  <c r="BF22" i="3"/>
  <c r="BF24" i="3"/>
  <c r="BF25" i="3"/>
  <c r="BD239" i="3"/>
  <c r="BD241" i="3"/>
  <c r="BD144" i="3"/>
  <c r="BE240" i="3"/>
  <c r="BE26" i="3"/>
  <c r="BF26" i="3"/>
  <c r="BF128" i="3"/>
  <c r="BF27" i="3"/>
  <c r="BE27" i="3"/>
  <c r="BD246" i="3"/>
  <c r="BD248" i="3"/>
  <c r="BD251" i="3"/>
  <c r="BD250" i="3"/>
  <c r="BD151" i="3"/>
  <c r="BD157" i="3"/>
  <c r="BD177" i="3"/>
  <c r="BE30" i="3"/>
  <c r="BE127" i="3"/>
  <c r="BE201" i="3"/>
  <c r="BE31" i="3"/>
  <c r="BF127" i="3"/>
  <c r="BF201" i="3"/>
  <c r="BF217" i="3"/>
  <c r="BF29" i="3"/>
  <c r="BF31" i="3"/>
  <c r="BF28" i="3"/>
  <c r="BF30" i="3"/>
  <c r="BF259" i="3"/>
  <c r="BE217" i="3"/>
  <c r="BE259" i="3"/>
  <c r="BE173" i="3"/>
  <c r="BF173" i="3"/>
  <c r="BF175" i="3"/>
  <c r="BE175" i="3"/>
  <c r="BE163" i="3"/>
  <c r="BE166" i="3"/>
  <c r="BE195" i="3"/>
  <c r="BF163" i="3"/>
  <c r="BF164" i="3"/>
  <c r="BG22" i="3"/>
  <c r="BE236" i="3"/>
  <c r="BF236" i="3"/>
  <c r="BE164" i="3"/>
  <c r="BE168" i="3"/>
  <c r="BE176" i="3"/>
  <c r="BF166" i="3"/>
  <c r="BF242" i="3"/>
  <c r="BF244" i="3"/>
  <c r="BE235" i="3"/>
  <c r="BE238" i="3"/>
  <c r="BF235" i="3"/>
  <c r="BF168" i="3"/>
  <c r="BF176" i="3"/>
  <c r="BG24" i="3"/>
  <c r="BG25" i="3"/>
  <c r="BG26" i="3"/>
  <c r="BG27" i="3"/>
  <c r="BE239" i="3"/>
  <c r="BE241" i="3"/>
  <c r="BE144" i="3"/>
  <c r="BF238" i="3"/>
  <c r="BF239" i="3"/>
  <c r="BF241" i="3"/>
  <c r="BE250" i="3"/>
  <c r="BE151" i="3"/>
  <c r="BE157" i="3"/>
  <c r="BE177" i="3"/>
  <c r="BE246" i="3"/>
  <c r="BF144" i="3"/>
  <c r="BG30" i="3"/>
  <c r="BG127" i="3"/>
  <c r="BG31" i="3"/>
  <c r="BG201" i="3"/>
  <c r="BK240" i="3"/>
  <c r="BG240" i="3"/>
  <c r="BF250" i="3"/>
  <c r="BF151" i="3"/>
  <c r="BF157" i="3"/>
  <c r="BF177" i="3"/>
  <c r="BF246" i="3"/>
  <c r="BF247" i="3"/>
  <c r="BE248" i="3"/>
  <c r="BG217" i="3"/>
  <c r="BG259" i="3"/>
  <c r="BG173" i="3"/>
  <c r="BG175" i="3"/>
  <c r="BF248" i="3"/>
  <c r="BE251" i="3"/>
  <c r="BF251" i="3"/>
  <c r="BF249" i="3"/>
  <c r="BG166" i="3"/>
  <c r="BG235" i="3"/>
  <c r="BG163" i="3"/>
  <c r="BG195" i="3"/>
  <c r="BH22" i="3"/>
  <c r="BG236" i="3"/>
  <c r="BG238" i="3"/>
  <c r="BG164" i="3"/>
  <c r="BG168" i="3"/>
  <c r="BG176" i="3"/>
  <c r="BG239" i="3"/>
  <c r="BG241" i="3"/>
  <c r="BH24" i="3"/>
  <c r="BH25" i="3"/>
  <c r="BG144" i="3"/>
  <c r="BH240" i="3"/>
  <c r="BH26" i="3"/>
  <c r="BH27" i="3"/>
  <c r="BH201" i="3"/>
  <c r="BH30" i="3"/>
  <c r="BH127" i="3"/>
  <c r="BH31" i="3"/>
  <c r="BG246" i="3"/>
  <c r="BG248" i="3"/>
  <c r="BG251" i="3"/>
  <c r="BG250" i="3"/>
  <c r="BG151" i="3"/>
  <c r="BG157" i="3"/>
  <c r="BG177" i="3"/>
  <c r="BH217" i="3"/>
  <c r="BH259" i="3"/>
  <c r="BH173" i="3"/>
  <c r="BH175" i="3"/>
  <c r="BH166" i="3"/>
  <c r="BH235" i="3"/>
  <c r="BH163" i="3"/>
  <c r="BH236" i="3"/>
  <c r="BH238" i="3"/>
  <c r="BH195" i="3"/>
  <c r="BI22" i="3"/>
  <c r="BH164" i="3"/>
  <c r="BH168" i="3"/>
  <c r="BH176" i="3"/>
  <c r="BI24" i="3"/>
  <c r="BI25" i="3"/>
  <c r="BH239" i="3"/>
  <c r="BH241" i="3"/>
  <c r="BH144" i="3"/>
  <c r="BI240" i="3"/>
  <c r="BI26" i="3"/>
  <c r="BI27" i="3"/>
  <c r="BH250" i="3"/>
  <c r="BH151" i="3"/>
  <c r="BH157" i="3"/>
  <c r="BH177" i="3"/>
  <c r="BH246" i="3"/>
  <c r="BH248" i="3"/>
  <c r="BH251" i="3"/>
  <c r="BI31" i="3"/>
  <c r="BI30" i="3"/>
  <c r="BI127" i="3"/>
  <c r="BI201" i="3"/>
  <c r="BI217" i="3"/>
  <c r="BI259" i="3"/>
  <c r="BI173" i="3"/>
  <c r="BI175" i="3"/>
  <c r="BI166" i="3"/>
  <c r="BI235" i="3"/>
  <c r="BI163" i="3"/>
  <c r="BI236" i="3"/>
  <c r="BI238" i="3"/>
  <c r="BJ22" i="3"/>
  <c r="BI195" i="3"/>
  <c r="BI164" i="3"/>
  <c r="BI168" i="3"/>
  <c r="BI176" i="3"/>
  <c r="BJ24" i="3"/>
  <c r="BJ25" i="3"/>
  <c r="BK22" i="3"/>
  <c r="BK24" i="3"/>
  <c r="BK25" i="3"/>
  <c r="BI239" i="3"/>
  <c r="BI241" i="3"/>
  <c r="BI144" i="3"/>
  <c r="BJ240" i="3"/>
  <c r="BJ26" i="3"/>
  <c r="BK26" i="3"/>
  <c r="BK128" i="3"/>
  <c r="BI250" i="3"/>
  <c r="BI151" i="3"/>
  <c r="BI157" i="3"/>
  <c r="BI177" i="3"/>
  <c r="BI246" i="3"/>
  <c r="BI248" i="3"/>
  <c r="BI251" i="3"/>
  <c r="BJ27" i="3"/>
  <c r="BK27" i="3"/>
  <c r="BK127" i="3"/>
  <c r="BK201" i="3"/>
  <c r="BK217" i="3"/>
  <c r="BK28" i="3"/>
  <c r="BK30" i="3"/>
  <c r="BK29" i="3"/>
  <c r="BK31" i="3"/>
  <c r="BJ31" i="3"/>
  <c r="BJ201" i="3"/>
  <c r="BJ30" i="3"/>
  <c r="BJ127" i="3"/>
  <c r="BK259" i="3"/>
  <c r="BJ217" i="3"/>
  <c r="BJ259" i="3"/>
  <c r="BJ173" i="3"/>
  <c r="BK173" i="3"/>
  <c r="BK175" i="3"/>
  <c r="BJ175" i="3"/>
  <c r="BJ166" i="3"/>
  <c r="BJ163" i="3"/>
  <c r="BJ195" i="3"/>
  <c r="BJ236" i="3"/>
  <c r="BK236" i="3"/>
  <c r="BK163" i="3"/>
  <c r="BK164" i="3"/>
  <c r="BJ164" i="3"/>
  <c r="BJ168" i="3"/>
  <c r="BJ176" i="3"/>
  <c r="BJ235" i="3"/>
  <c r="BK166" i="3"/>
  <c r="C297" i="3"/>
  <c r="BK168" i="3"/>
  <c r="BK176" i="3"/>
  <c r="BK242" i="3"/>
  <c r="BK244" i="3"/>
  <c r="C298" i="3"/>
  <c r="BJ238" i="3"/>
  <c r="BK235" i="3"/>
  <c r="C300" i="3"/>
  <c r="C7" i="3"/>
  <c r="C8" i="3"/>
  <c r="C310" i="3"/>
  <c r="BJ239" i="3"/>
  <c r="BJ241" i="3"/>
  <c r="BJ144" i="3"/>
  <c r="BK238" i="3"/>
  <c r="BK239" i="3"/>
  <c r="BK241" i="3"/>
  <c r="BJ246" i="3"/>
  <c r="BJ250" i="3"/>
  <c r="BK144" i="3"/>
  <c r="BJ151" i="3"/>
  <c r="BJ157" i="3"/>
  <c r="BJ177" i="3"/>
  <c r="C9" i="3"/>
  <c r="BK151" i="3"/>
  <c r="BK157" i="3"/>
  <c r="BK177" i="3"/>
  <c r="BK250" i="3"/>
  <c r="BK246" i="3"/>
  <c r="BK247" i="3"/>
  <c r="BJ248" i="3"/>
  <c r="BJ251" i="3"/>
  <c r="BK248" i="3"/>
  <c r="BK249" i="3"/>
  <c r="BK25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Admin</author>
    <author>GE User</author>
  </authors>
  <commentList>
    <comment ref="AE13" authorId="0" shapeId="0" xr:uid="{00000000-0006-0000-0000-000001000000}">
      <text>
        <r>
          <rPr>
            <sz val="9"/>
            <color indexed="81"/>
            <rFont val="Tahoma"/>
            <family val="2"/>
          </rPr>
          <t>Management guided revenue between $46 billion and $48 billion
(source: F2Q15 earnings call)</t>
        </r>
      </text>
    </comment>
    <comment ref="AF13" authorId="0" shapeId="0" xr:uid="{00000000-0006-0000-0000-000002000000}">
      <text>
        <r>
          <rPr>
            <sz val="9"/>
            <color indexed="81"/>
            <rFont val="Tahoma"/>
            <family val="2"/>
          </rPr>
          <t xml:space="preserve">Management guided revenue between $49 billion and $51 billion on 7/21/15
</t>
        </r>
      </text>
    </comment>
    <comment ref="AH13" authorId="0" shapeId="0" xr:uid="{00000000-0006-0000-0000-000003000000}">
      <text>
        <r>
          <rPr>
            <sz val="9"/>
            <color indexed="81"/>
            <rFont val="Tahoma"/>
            <family val="2"/>
          </rPr>
          <t>Management guided revenue between $75.5B amd $77.5B on 10/27/2015.</t>
        </r>
      </text>
    </comment>
    <comment ref="AI13" authorId="1" shapeId="0" xr:uid="{00000000-0006-0000-0000-000004000000}">
      <text>
        <r>
          <rPr>
            <sz val="9"/>
            <color indexed="81"/>
            <rFont val="Tahoma"/>
            <family val="2"/>
          </rPr>
          <t>Management guided revenue between $50.0B amd $53.0B on 1/26/2015.</t>
        </r>
      </text>
    </comment>
    <comment ref="AJ13" authorId="1" shapeId="0" xr:uid="{00000000-0006-0000-0000-000005000000}">
      <text>
        <r>
          <rPr>
            <sz val="9"/>
            <color indexed="81"/>
            <rFont val="Tahoma"/>
            <family val="2"/>
          </rPr>
          <t>Management guided revenue between $41B and $43B on 4/26/2016.</t>
        </r>
      </text>
    </comment>
    <comment ref="AK13" authorId="1" shapeId="0" xr:uid="{00000000-0006-0000-0000-000006000000}">
      <text>
        <r>
          <rPr>
            <sz val="9"/>
            <color indexed="81"/>
            <rFont val="Tahoma"/>
            <family val="2"/>
          </rPr>
          <t>Management guided revenue between $45.5B and $47.5B on 7/26/2016.</t>
        </r>
      </text>
    </comment>
    <comment ref="AM13" authorId="1" shapeId="0" xr:uid="{00000000-0006-0000-0000-000007000000}">
      <text>
        <r>
          <rPr>
            <sz val="9"/>
            <color indexed="81"/>
            <rFont val="Tahoma"/>
            <family val="2"/>
          </rPr>
          <t>Management guided revenue between $76B and $78B on 10/25/2016.</t>
        </r>
      </text>
    </comment>
    <comment ref="AN13" authorId="1" shapeId="0" xr:uid="{00000000-0006-0000-0000-000008000000}">
      <text>
        <r>
          <rPr>
            <sz val="9"/>
            <color indexed="81"/>
            <rFont val="Tahoma"/>
            <family val="2"/>
          </rPr>
          <t>Management guided revenue between $51.5B and $53.5B on 1/31/2017.</t>
        </r>
      </text>
    </comment>
    <comment ref="AO13" authorId="1" shapeId="0" xr:uid="{00000000-0006-0000-0000-000009000000}">
      <text>
        <r>
          <rPr>
            <sz val="9"/>
            <color indexed="81"/>
            <rFont val="Tahoma"/>
            <family val="2"/>
          </rPr>
          <t>Management guided revenue between $43.5B and $45.5B on 5/2/2017.</t>
        </r>
        <r>
          <rPr>
            <sz val="9"/>
            <color indexed="81"/>
            <rFont val="Tahoma"/>
            <family val="2"/>
          </rPr>
          <t xml:space="preserve">
</t>
        </r>
      </text>
    </comment>
    <comment ref="AF15" authorId="0" shapeId="0" xr:uid="{00000000-0006-0000-0000-00000A000000}">
      <text>
        <r>
          <rPr>
            <sz val="9"/>
            <color indexed="81"/>
            <rFont val="Tahoma"/>
            <family val="2"/>
          </rPr>
          <t xml:space="preserve">Management guided gross margin between 38.5 percent and 39.5 percent on 7/21/15
</t>
        </r>
      </text>
    </comment>
    <comment ref="AH15" authorId="0" shapeId="0" xr:uid="{00000000-0006-0000-0000-00000B000000}">
      <text>
        <r>
          <rPr>
            <sz val="9"/>
            <color indexed="81"/>
            <rFont val="Tahoma"/>
            <family val="2"/>
          </rPr>
          <t>Management guided gross margin between 39% and 40% on 10/27/2015.</t>
        </r>
      </text>
    </comment>
    <comment ref="AI15" authorId="1" shapeId="0" xr:uid="{00000000-0006-0000-0000-00000C000000}">
      <text>
        <r>
          <rPr>
            <sz val="9"/>
            <color indexed="81"/>
            <rFont val="Tahoma"/>
            <family val="2"/>
          </rPr>
          <t>Management guided gross margin between 39% and 39.5% on 1/26/2015.</t>
        </r>
      </text>
    </comment>
    <comment ref="AJ15" authorId="1" shapeId="0" xr:uid="{00000000-0006-0000-0000-00000D000000}">
      <text>
        <r>
          <rPr>
            <sz val="9"/>
            <color indexed="81"/>
            <rFont val="Tahoma"/>
            <family val="2"/>
          </rPr>
          <t xml:space="preserve">Management guided gross margin between 37.5% and 38% on 4/26/2016.
</t>
        </r>
      </text>
    </comment>
    <comment ref="AK15" authorId="1" shapeId="0" xr:uid="{00000000-0006-0000-0000-00000E000000}">
      <text>
        <r>
          <rPr>
            <sz val="9"/>
            <color indexed="81"/>
            <rFont val="Tahoma"/>
            <family val="2"/>
          </rPr>
          <t>Management guided gross margin between 37.5% and 38% on 7/26/2016.</t>
        </r>
      </text>
    </comment>
    <comment ref="AM15" authorId="1" shapeId="0" xr:uid="{00000000-0006-0000-0000-00000F000000}">
      <text>
        <r>
          <rPr>
            <sz val="9"/>
            <color indexed="81"/>
            <rFont val="Tahoma"/>
            <family val="2"/>
          </rPr>
          <t>Management guided gross margin between 38% and 38.5% on 10/25/2016.</t>
        </r>
      </text>
    </comment>
    <comment ref="AN15" authorId="1" shapeId="0" xr:uid="{00000000-0006-0000-0000-000010000000}">
      <text>
        <r>
          <rPr>
            <sz val="9"/>
            <color indexed="81"/>
            <rFont val="Tahoma"/>
            <family val="2"/>
          </rPr>
          <t>Management guided gross margin between 38% and 39% on 1/31/2017.</t>
        </r>
      </text>
    </comment>
    <comment ref="AO15" authorId="1" shapeId="0" xr:uid="{00000000-0006-0000-0000-000011000000}">
      <text>
        <r>
          <rPr>
            <sz val="9"/>
            <color indexed="81"/>
            <rFont val="Tahoma"/>
            <family val="2"/>
          </rPr>
          <t>Management guided gross margin between 37.5% and 38.5% on 5/2/2017.</t>
        </r>
      </text>
    </comment>
    <comment ref="AF18" authorId="0" shapeId="0" xr:uid="{00000000-0006-0000-0000-000012000000}">
      <text>
        <r>
          <rPr>
            <sz val="9"/>
            <color indexed="81"/>
            <rFont val="Tahoma"/>
            <family val="2"/>
          </rPr>
          <t>Management guided operating expenses between $5.85 billion and $5.95 billion on 7/21/2015.</t>
        </r>
      </text>
    </comment>
    <comment ref="AH18" authorId="0" shapeId="0" xr:uid="{00000000-0006-0000-0000-000013000000}">
      <text>
        <r>
          <rPr>
            <sz val="9"/>
            <color indexed="81"/>
            <rFont val="Tahoma"/>
            <family val="2"/>
          </rPr>
          <t>Management guided operating expenses between $6.3B and $6.4B on 10/27/2015.</t>
        </r>
      </text>
    </comment>
    <comment ref="AI18" authorId="1" shapeId="0" xr:uid="{00000000-0006-0000-0000-000014000000}">
      <text>
        <r>
          <rPr>
            <sz val="9"/>
            <color indexed="81"/>
            <rFont val="Tahoma"/>
            <family val="2"/>
          </rPr>
          <t>Management guided operating expenses between $6.0B and $6.1B on 1/26/2016.</t>
        </r>
      </text>
    </comment>
    <comment ref="AJ18" authorId="1" shapeId="0" xr:uid="{00000000-0006-0000-0000-000015000000}">
      <text>
        <r>
          <rPr>
            <sz val="9"/>
            <color indexed="81"/>
            <rFont val="Tahoma"/>
            <family val="2"/>
          </rPr>
          <t>Management guided operating expenses between $6.0B and $6.1B on 4/26/2016.</t>
        </r>
      </text>
    </comment>
    <comment ref="AK18" authorId="1" shapeId="0" xr:uid="{00000000-0006-0000-0000-000016000000}">
      <text>
        <r>
          <rPr>
            <sz val="9"/>
            <color indexed="81"/>
            <rFont val="Tahoma"/>
            <family val="2"/>
          </rPr>
          <t>Management guided operating expenses between $6.05B and $6.15B on 7/26/2016.</t>
        </r>
      </text>
    </comment>
    <comment ref="AM18" authorId="1" shapeId="0" xr:uid="{00000000-0006-0000-0000-000017000000}">
      <text>
        <r>
          <rPr>
            <sz val="9"/>
            <color indexed="81"/>
            <rFont val="Tahoma"/>
            <family val="2"/>
          </rPr>
          <t>Management guided operating expenses between $6.9B and $7B on 10/25/2016.</t>
        </r>
      </text>
    </comment>
    <comment ref="AN18" authorId="1" shapeId="0" xr:uid="{00000000-0006-0000-0000-000018000000}">
      <text>
        <r>
          <rPr>
            <sz val="9"/>
            <color indexed="81"/>
            <rFont val="Tahoma"/>
            <family val="2"/>
          </rPr>
          <t>Management guided operating expenses between $6.5B and $6.6B on 1/31/2017.</t>
        </r>
      </text>
    </comment>
    <comment ref="AO18" authorId="1" shapeId="0" xr:uid="{00000000-0006-0000-0000-000019000000}">
      <text>
        <r>
          <rPr>
            <sz val="9"/>
            <color indexed="81"/>
            <rFont val="Tahoma"/>
            <family val="2"/>
          </rPr>
          <t>Management guided operating expenses between $6.6B and $6.7B on 5/2/2017.</t>
        </r>
      </text>
    </comment>
    <comment ref="AE19" authorId="0" shapeId="0" xr:uid="{00000000-0006-0000-0000-00001A000000}">
      <text>
        <r>
          <rPr>
            <sz val="9"/>
            <color indexed="81"/>
            <rFont val="Tahoma"/>
            <family val="2"/>
          </rPr>
          <t>management guided operating expenses between $5.65 billion and $5.75 billion
(source: 2Q15 earnings call)</t>
        </r>
      </text>
    </comment>
    <comment ref="AE24" authorId="0" shapeId="0" xr:uid="{00000000-0006-0000-0000-00001B000000}">
      <text>
        <r>
          <rPr>
            <sz val="9"/>
            <color indexed="81"/>
            <rFont val="Tahoma"/>
            <family val="2"/>
          </rPr>
          <t>Management guided other income/(expense) of $350 million 
(source: 2Q15 earnings call)</t>
        </r>
      </text>
    </comment>
    <comment ref="AF24" authorId="0" shapeId="0" xr:uid="{00000000-0006-0000-0000-00001C000000}">
      <text>
        <r>
          <rPr>
            <sz val="9"/>
            <color indexed="81"/>
            <rFont val="Tahoma"/>
            <family val="2"/>
          </rPr>
          <t xml:space="preserve">Management guided other income/(expense) of $400 million on 7/21/15
</t>
        </r>
      </text>
    </comment>
    <comment ref="AH24" authorId="0" shapeId="0" xr:uid="{00000000-0006-0000-0000-00001D000000}">
      <text>
        <r>
          <rPr>
            <sz val="9"/>
            <color indexed="81"/>
            <rFont val="Tahoma"/>
            <family val="2"/>
          </rPr>
          <t>Management guided other income of $400M on 10/27/2015.</t>
        </r>
      </text>
    </comment>
    <comment ref="AI24" authorId="1" shapeId="0" xr:uid="{00000000-0006-0000-0000-00001E000000}">
      <text>
        <r>
          <rPr>
            <sz val="9"/>
            <color indexed="81"/>
            <rFont val="Tahoma"/>
            <family val="2"/>
          </rPr>
          <t>Management guided other income of $325M on 1/26/2016.</t>
        </r>
      </text>
    </comment>
    <comment ref="AJ24" authorId="1" shapeId="0" xr:uid="{00000000-0006-0000-0000-00001F000000}">
      <text>
        <r>
          <rPr>
            <sz val="9"/>
            <color indexed="81"/>
            <rFont val="Tahoma"/>
            <family val="2"/>
          </rPr>
          <t>Management guided other income of $300M on 4/26/2016.</t>
        </r>
      </text>
    </comment>
    <comment ref="AK24" authorId="1" shapeId="0" xr:uid="{00000000-0006-0000-0000-000020000000}">
      <text>
        <r>
          <rPr>
            <sz val="9"/>
            <color indexed="81"/>
            <rFont val="Tahoma"/>
            <family val="2"/>
          </rPr>
          <t>Management guided other income of $350M on 7/26/2016.</t>
        </r>
      </text>
    </comment>
    <comment ref="AM24" authorId="1" shapeId="0" xr:uid="{00000000-0006-0000-0000-000021000000}">
      <text>
        <r>
          <rPr>
            <sz val="9"/>
            <color indexed="81"/>
            <rFont val="Tahoma"/>
            <family val="2"/>
          </rPr>
          <t>Management guided other income of $400M on 7/26/2016.</t>
        </r>
      </text>
    </comment>
    <comment ref="AN24" authorId="1" shapeId="0" xr:uid="{00000000-0006-0000-0000-000022000000}">
      <text>
        <r>
          <rPr>
            <sz val="9"/>
            <color indexed="81"/>
            <rFont val="Tahoma"/>
            <family val="2"/>
          </rPr>
          <t>Management guided other income of $400M on 1/31/2017.</t>
        </r>
      </text>
    </comment>
    <comment ref="AO24" authorId="1" shapeId="0" xr:uid="{00000000-0006-0000-0000-000023000000}">
      <text>
        <r>
          <rPr>
            <sz val="9"/>
            <color indexed="81"/>
            <rFont val="Tahoma"/>
            <family val="2"/>
          </rPr>
          <t>Management guided other income of $450M on 5/2/2017.</t>
        </r>
      </text>
    </comment>
    <comment ref="AF26" authorId="0" shapeId="0" xr:uid="{00000000-0006-0000-0000-000024000000}">
      <text>
        <r>
          <rPr>
            <sz val="9"/>
            <color indexed="81"/>
            <rFont val="Tahoma"/>
            <family val="2"/>
          </rPr>
          <t xml:space="preserve">Management guided tax rate of 26.3 percent on 7/21/15
</t>
        </r>
      </text>
    </comment>
    <comment ref="AH26" authorId="0" shapeId="0" xr:uid="{00000000-0006-0000-0000-000025000000}">
      <text>
        <r>
          <rPr>
            <sz val="9"/>
            <color indexed="81"/>
            <rFont val="Tahoma"/>
            <family val="2"/>
          </rPr>
          <t>Management guided the tax rate to 26.2% on 10/27/2015.</t>
        </r>
      </text>
    </comment>
    <comment ref="AI26" authorId="1" shapeId="0" xr:uid="{00000000-0006-0000-0000-000026000000}">
      <text>
        <r>
          <rPr>
            <sz val="9"/>
            <color indexed="81"/>
            <rFont val="Tahoma"/>
            <family val="2"/>
          </rPr>
          <t>Management guided the tax rate to 25.5% on 1/26/2016.</t>
        </r>
      </text>
    </comment>
    <comment ref="AJ26" authorId="1" shapeId="0" xr:uid="{00000000-0006-0000-0000-000027000000}">
      <text>
        <r>
          <rPr>
            <sz val="9"/>
            <color indexed="81"/>
            <rFont val="Tahoma"/>
            <family val="2"/>
          </rPr>
          <t>Management guided the tax rate to 25.5% on 4/26/2016.</t>
        </r>
      </text>
    </comment>
    <comment ref="AK26" authorId="1" shapeId="0" xr:uid="{00000000-0006-0000-0000-000028000000}">
      <text>
        <r>
          <rPr>
            <sz val="9"/>
            <color indexed="81"/>
            <rFont val="Tahoma"/>
            <family val="2"/>
          </rPr>
          <t>Management guided the tax rate to 25.5% on 7/26/2016.</t>
        </r>
      </text>
    </comment>
    <comment ref="AM26" authorId="1" shapeId="0" xr:uid="{00000000-0006-0000-0000-000029000000}">
      <text>
        <r>
          <rPr>
            <sz val="9"/>
            <color indexed="81"/>
            <rFont val="Tahoma"/>
            <family val="2"/>
          </rPr>
          <t>Management guided the tax rate to 26% on 10/25/2016.</t>
        </r>
      </text>
    </comment>
    <comment ref="AN26" authorId="1" shapeId="0" xr:uid="{00000000-0006-0000-0000-00002A000000}">
      <text>
        <r>
          <rPr>
            <sz val="9"/>
            <color indexed="81"/>
            <rFont val="Tahoma"/>
            <family val="2"/>
          </rPr>
          <t>Management guided the tax rate to 26% on 1/31/2017.</t>
        </r>
      </text>
    </comment>
    <comment ref="AO26" authorId="1" shapeId="0" xr:uid="{00000000-0006-0000-0000-00002B000000}">
      <text>
        <r>
          <rPr>
            <sz val="9"/>
            <color indexed="81"/>
            <rFont val="Tahoma"/>
            <family val="2"/>
          </rPr>
          <t>Management guided the tax rate to 25.5% on 5/2/2017.</t>
        </r>
      </text>
    </comment>
    <comment ref="Y31" authorId="1" shapeId="0" xr:uid="{00000000-0006-0000-0000-00002C000000}">
      <text>
        <r>
          <rPr>
            <sz val="9"/>
            <color indexed="81"/>
            <rFont val="Tahoma"/>
            <family val="2"/>
          </rPr>
          <t>Note: per share values not adjusted for stock splits prior to June 2014</t>
        </r>
      </text>
    </comment>
    <comment ref="B52" authorId="1" shapeId="0" xr:uid="{00000000-0006-0000-0000-00002D000000}">
      <text>
        <r>
          <rPr>
            <sz val="9"/>
            <color indexed="81"/>
            <rFont val="Tahoma"/>
            <family val="2"/>
          </rPr>
          <t>Product history does not show all refresh dates. Focus is on new generation launches and price changes.</t>
        </r>
      </text>
    </comment>
    <comment ref="B66" authorId="1" shapeId="0" xr:uid="{00000000-0006-0000-0000-00002E000000}">
      <text>
        <r>
          <rPr>
            <sz val="9"/>
            <color indexed="81"/>
            <rFont val="Tahoma"/>
            <family val="2"/>
          </rPr>
          <t>Product history does not show all refresh dates. Focus is on new generation launches and price changes.</t>
        </r>
      </text>
    </comment>
    <comment ref="B80" authorId="1" shapeId="0" xr:uid="{00000000-0006-0000-0000-00002F000000}">
      <text>
        <r>
          <rPr>
            <sz val="9"/>
            <color indexed="81"/>
            <rFont val="Tahoma"/>
            <family val="2"/>
          </rPr>
          <t>Product history does not show all refresh dates. Focus is on new generation launches and price changes.</t>
        </r>
      </text>
    </comment>
    <comment ref="B92" authorId="1" shapeId="0" xr:uid="{00000000-0006-0000-0000-000030000000}">
      <text>
        <r>
          <rPr>
            <sz val="9"/>
            <color indexed="81"/>
            <rFont val="Tahoma"/>
            <family val="2"/>
          </rPr>
          <t>Product history does not show all refresh dates. Focus is on new generation launches and price changes.</t>
        </r>
      </text>
    </comment>
    <comment ref="B97" authorId="1" shapeId="0" xr:uid="{00000000-0006-0000-0000-000031000000}">
      <text>
        <r>
          <rPr>
            <sz val="9"/>
            <color indexed="81"/>
            <rFont val="Tahoma"/>
            <family val="2"/>
          </rPr>
          <t>The company does not break iWatch results out, Therefore the values in all of these rows (including historic results) represent our estimates).</t>
        </r>
      </text>
    </comment>
    <comment ref="B103" authorId="1" shapeId="0" xr:uid="{00000000-0006-0000-0000-000032000000}">
      <text>
        <r>
          <rPr>
            <sz val="9"/>
            <color indexed="81"/>
            <rFont val="Tahoma"/>
            <family val="2"/>
          </rPr>
          <t>Includes sales of Apple TV, Apple Watch, Beats products, iPod and Apple-branded and third-party accessories</t>
        </r>
      </text>
    </comment>
    <comment ref="B107" authorId="1" shapeId="0" xr:uid="{00000000-0006-0000-0000-000033000000}">
      <text>
        <r>
          <rPr>
            <sz val="9"/>
            <color indexed="81"/>
            <rFont val="Tahoma"/>
            <family val="2"/>
          </rPr>
          <t>Product history does not show all refresh dates. Focus is on new generation launches and price changes.</t>
        </r>
      </text>
    </comment>
    <comment ref="B112" authorId="1" shapeId="0" xr:uid="{00000000-0006-0000-0000-000034000000}">
      <text>
        <r>
          <rPr>
            <sz val="9"/>
            <color indexed="81"/>
            <rFont val="Tahoma"/>
            <family val="2"/>
          </rPr>
          <t>Includes revenue from Internet Services, AppleCare, Apple Pay, licensing and other services</t>
        </r>
      </text>
    </comment>
    <comment ref="BF112" authorId="1" shapeId="0" xr:uid="{00000000-0006-0000-0000-000035000000}">
      <text>
        <r>
          <rPr>
            <sz val="9"/>
            <color indexed="81"/>
            <rFont val="Tahoma"/>
            <family val="2"/>
          </rPr>
          <t>Management expects to double the size of Services business by 2020. First disclosed on F1Q17 call, reiterated on F2Q17 call.</t>
        </r>
      </text>
    </comment>
    <comment ref="B120" authorId="1" shapeId="0" xr:uid="{00000000-0006-0000-0000-000036000000}">
      <text>
        <r>
          <rPr>
            <sz val="9"/>
            <color indexed="81"/>
            <rFont val="Tahoma"/>
            <family val="2"/>
          </rPr>
          <t>Strength in the U.S. Dollar will bring revenue and gross margin down, so it is an important metric to watch when forecasting. In addition, management typically gives the expected impact from fx changes in their guidance.</t>
        </r>
      </text>
    </comment>
    <comment ref="AF125" authorId="0" shapeId="0" xr:uid="{00000000-0006-0000-0000-000037000000}">
      <text>
        <r>
          <rPr>
            <sz val="9"/>
            <color indexed="81"/>
            <rFont val="Tahoma"/>
            <family val="2"/>
          </rPr>
          <t>Management guided gross margin between 38.5 percent and 39.5 percent on 7/21/15</t>
        </r>
      </text>
    </comment>
    <comment ref="AH125" authorId="1" shapeId="0" xr:uid="{00000000-0006-0000-0000-000038000000}">
      <text>
        <r>
          <rPr>
            <sz val="9"/>
            <color indexed="81"/>
            <rFont val="Tahoma"/>
            <family val="2"/>
          </rPr>
          <t xml:space="preserve">Management guided gross margin to 39.5%
</t>
        </r>
      </text>
    </comment>
    <comment ref="AJ125" authorId="1" shapeId="0" xr:uid="{00000000-0006-0000-0000-000039000000}">
      <text>
        <r>
          <rPr>
            <sz val="9"/>
            <color indexed="81"/>
            <rFont val="Tahoma"/>
            <family val="2"/>
          </rPr>
          <t>Management guided gross margin between 37.5% and 38% on  4/26/2016.</t>
        </r>
      </text>
    </comment>
    <comment ref="AK125" authorId="1" shapeId="0" xr:uid="{00000000-0006-0000-0000-00003A000000}">
      <text>
        <r>
          <rPr>
            <sz val="9"/>
            <color indexed="81"/>
            <rFont val="Tahoma"/>
            <family val="2"/>
          </rPr>
          <t>Management guided gross margin between 37.5% and 38% on  7/26/2016.</t>
        </r>
      </text>
    </comment>
    <comment ref="AM125" authorId="1" shapeId="0" xr:uid="{00000000-0006-0000-0000-00003B000000}">
      <text>
        <r>
          <rPr>
            <sz val="9"/>
            <color indexed="81"/>
            <rFont val="Tahoma"/>
            <family val="2"/>
          </rPr>
          <t>Management guided gross margin between 38% and 38.5% on  10/25/2016.</t>
        </r>
      </text>
    </comment>
    <comment ref="AN125" authorId="1" shapeId="0" xr:uid="{00000000-0006-0000-0000-00003C000000}">
      <text>
        <r>
          <rPr>
            <sz val="9"/>
            <color indexed="81"/>
            <rFont val="Tahoma"/>
            <family val="2"/>
          </rPr>
          <t>Management guided gross margin between 38% and 39% on  1/31/2017.</t>
        </r>
      </text>
    </comment>
    <comment ref="AO125" authorId="1" shapeId="0" xr:uid="{00000000-0006-0000-0000-00003D000000}">
      <text>
        <r>
          <rPr>
            <sz val="9"/>
            <color indexed="81"/>
            <rFont val="Tahoma"/>
            <family val="2"/>
          </rPr>
          <t>Management guided gross margin between 37.5% and 38.5% on  5/2/2017.</t>
        </r>
      </text>
    </comment>
    <comment ref="AF128" authorId="0" shapeId="0" xr:uid="{00000000-0006-0000-0000-00003E000000}">
      <text>
        <r>
          <rPr>
            <sz val="9"/>
            <color indexed="81"/>
            <rFont val="Tahoma"/>
            <family val="2"/>
          </rPr>
          <t>Management guided tax rate of 26.3 percent on 7/21/15</t>
        </r>
      </text>
    </comment>
    <comment ref="AH128" authorId="0" shapeId="0" xr:uid="{00000000-0006-0000-0000-00003F000000}">
      <text>
        <r>
          <rPr>
            <sz val="9"/>
            <color indexed="81"/>
            <rFont val="Tahoma"/>
            <family val="2"/>
          </rPr>
          <t>Management guided the tax rate to 26.2% on 10/27/2015.</t>
        </r>
      </text>
    </comment>
    <comment ref="AJ128" authorId="1" shapeId="0" xr:uid="{00000000-0006-0000-0000-000040000000}">
      <text>
        <r>
          <rPr>
            <sz val="9"/>
            <color indexed="81"/>
            <rFont val="Tahoma"/>
            <family val="2"/>
          </rPr>
          <t>Management guided the tax rate to 25.5% on 4/26/2016.</t>
        </r>
      </text>
    </comment>
    <comment ref="AK128" authorId="1" shapeId="0" xr:uid="{00000000-0006-0000-0000-000041000000}">
      <text>
        <r>
          <rPr>
            <sz val="9"/>
            <color indexed="81"/>
            <rFont val="Tahoma"/>
            <family val="2"/>
          </rPr>
          <t>Management guided the tax rate to 25.5% on 7/26/2016.</t>
        </r>
      </text>
    </comment>
    <comment ref="AM128" authorId="1" shapeId="0" xr:uid="{00000000-0006-0000-0000-000042000000}">
      <text>
        <r>
          <rPr>
            <sz val="9"/>
            <color indexed="81"/>
            <rFont val="Tahoma"/>
            <family val="2"/>
          </rPr>
          <t>Management guided the tax rate to 26% on 10/25/2016.</t>
        </r>
      </text>
    </comment>
    <comment ref="AN128" authorId="1" shapeId="0" xr:uid="{00000000-0006-0000-0000-000043000000}">
      <text>
        <r>
          <rPr>
            <sz val="9"/>
            <color indexed="81"/>
            <rFont val="Tahoma"/>
            <family val="2"/>
          </rPr>
          <t>Management guided the tax rate to 26% on 1/31/2017.</t>
        </r>
      </text>
    </comment>
    <comment ref="AO128" authorId="1" shapeId="0" xr:uid="{00000000-0006-0000-0000-000044000000}">
      <text>
        <r>
          <rPr>
            <sz val="9"/>
            <color indexed="81"/>
            <rFont val="Tahoma"/>
            <family val="2"/>
          </rPr>
          <t>Management guided the tax rate to 25.5% on 5/2/2017.</t>
        </r>
      </text>
    </comment>
    <comment ref="B131" authorId="1" shapeId="0" xr:uid="{00000000-0006-0000-0000-000045000000}">
      <text>
        <r>
          <rPr>
            <b/>
            <sz val="9"/>
            <color indexed="81"/>
            <rFont val="Tahoma"/>
            <family val="2"/>
          </rPr>
          <t xml:space="preserve">Assume interest earned on cash and equivalents is immaterial. </t>
        </r>
      </text>
    </comment>
    <comment ref="B136" authorId="0" shapeId="0" xr:uid="{00000000-0006-0000-0000-000046000000}">
      <text>
        <r>
          <rPr>
            <sz val="9"/>
            <color indexed="81"/>
            <rFont val="Tahoma"/>
            <family val="2"/>
          </rPr>
          <t xml:space="preserve">Excludes ASR which is calculated in the general change in shares.
</t>
        </r>
      </text>
    </comment>
    <comment ref="B183" authorId="1" shapeId="0" xr:uid="{00000000-0006-0000-0000-000047000000}">
      <text>
        <r>
          <rPr>
            <sz val="9"/>
            <color indexed="81"/>
            <rFont val="Tahoma"/>
            <family val="2"/>
          </rPr>
          <t>Includes purchases of components by outsourcing partners and other vendors that manufacture sub-assemblies or assemble final products.</t>
        </r>
      </text>
    </comment>
    <comment ref="B202" authorId="1" shapeId="0" xr:uid="{00000000-0006-0000-0000-000048000000}">
      <text>
        <r>
          <rPr>
            <sz val="9"/>
            <color indexed="81"/>
            <rFont val="Tahoma"/>
            <family val="2"/>
          </rPr>
          <t>Future estimate of depreciation for acquired intangibles is included in the 10K Footnotes.
The details are not disclosed in the quarterly financials, so the estimates are left in each quarter and recalculated once per year.</t>
        </r>
      </text>
    </comment>
    <comment ref="B204" authorId="1" shapeId="0" xr:uid="{00000000-0006-0000-0000-000049000000}">
      <text>
        <r>
          <rPr>
            <sz val="9"/>
            <color indexed="81"/>
            <rFont val="Tahoma"/>
            <family val="2"/>
          </rPr>
          <t>Note: for simplicity this row excludes amortization from the forecast periods.</t>
        </r>
      </text>
    </comment>
    <comment ref="B242" authorId="2" shapeId="0" xr:uid="{00000000-0006-0000-0000-00004A000000}">
      <text>
        <r>
          <rPr>
            <sz val="9"/>
            <color indexed="81"/>
            <rFont val="Tahoma"/>
            <family val="2"/>
          </rPr>
          <t xml:space="preserve">*FCFF calculated as Cash Flow from Operations (CFO) + After tax interest expense - CapEx.
</t>
        </r>
      </text>
    </comment>
    <comment ref="B248" authorId="1" shapeId="0" xr:uid="{00000000-0006-0000-0000-00004B000000}">
      <text>
        <r>
          <rPr>
            <sz val="9"/>
            <color indexed="81"/>
            <rFont val="Tahoma"/>
            <family val="2"/>
          </rPr>
          <t>From the 10-K:
The foreign provision for income taxes is based on foreign pre-tax earnings of $41.1 billion, $47.6 billion and $33.6 billion in 2016, 2015 and 2014, respectively. The Company’s consolidated financial statements provide for any related tax liability on undistributed earnings that the Company does not intend to be indefinitely reinvested outside the U.S. Substantially all of the Company’s undistributed international earnings intended to be indefinitely reinvested in operations outside the U.S. were generated by subsidiaries organized in Ireland, which has a statutory tax rate of 12.5%. As of September 24, 2016, U.S. income taxes have not been provided on a cumulative total of $109.8 billion of such earnings. The amount of unrecognized deferred tax liability related to these temporary differences is estimated to be $35.9 billion.
As of September 24, 2016 and September 26, 2015, $216.0 billion and $186.9 billion, respectively, of the Company’s cash, cash equivalents and marketable securities were held by foreign subsidiaries and are generally based in U.S.dollar-denominated holdings. Amounts held by foreign subsidiaries are generally subject to U.S. income taxation on repatriation to the U.S.</t>
        </r>
      </text>
    </comment>
    <comment ref="B249" authorId="1" shapeId="0" xr:uid="{00000000-0006-0000-0000-00004C000000}">
      <text>
        <r>
          <rPr>
            <sz val="9"/>
            <color indexed="81"/>
            <rFont val="Tahoma"/>
            <family val="2"/>
          </rPr>
          <t>Note that the repatriation tax is effectively the difference between the U.S. income tax rate and that of the foreign tax authority multiplied by the foreign earnings, not the cash balance; However this ratio gives a rough approximation of the tax liability.</t>
        </r>
      </text>
    </comment>
    <comment ref="C297" authorId="2" shapeId="0" xr:uid="{00000000-0006-0000-0000-00004D000000}">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299" authorId="0" shapeId="0" xr:uid="{00000000-0006-0000-0000-00004E000000}">
      <text>
        <r>
          <rPr>
            <sz val="9"/>
            <color indexed="81"/>
            <rFont val="Tahoma"/>
            <family val="2"/>
          </rPr>
          <t xml:space="preserve">This adds back cash and removes debt from the enterprise value to arrive at the equity only value
</t>
        </r>
      </text>
    </comment>
  </commentList>
</comments>
</file>

<file path=xl/sharedStrings.xml><?xml version="1.0" encoding="utf-8"?>
<sst xmlns="http://schemas.openxmlformats.org/spreadsheetml/2006/main" count="1410" uniqueCount="611">
  <si>
    <t>FY 2013</t>
  </si>
  <si>
    <t>Gross Profit</t>
  </si>
  <si>
    <t xml:space="preserve">Operating Income </t>
  </si>
  <si>
    <t xml:space="preserve">Income before income taxes </t>
  </si>
  <si>
    <t>Basic shares outstanding</t>
  </si>
  <si>
    <t xml:space="preserve">Diluted shares outstanding </t>
  </si>
  <si>
    <t>FY 2014</t>
  </si>
  <si>
    <t>Selling, general and administrative</t>
  </si>
  <si>
    <t>Research and development</t>
  </si>
  <si>
    <t>Effective tax rate</t>
  </si>
  <si>
    <t>(Dollars in millions, except per share data)</t>
  </si>
  <si>
    <t>Inventories</t>
  </si>
  <si>
    <t>Total Current Assets</t>
  </si>
  <si>
    <t xml:space="preserve">Property, plant and equipment, net </t>
  </si>
  <si>
    <t>Total Assets</t>
  </si>
  <si>
    <t>Assets</t>
  </si>
  <si>
    <t>Liabilities</t>
  </si>
  <si>
    <t>Total Current liabilities</t>
  </si>
  <si>
    <t>Other current assets</t>
  </si>
  <si>
    <t>Deferred tax assets</t>
  </si>
  <si>
    <t>Other noncurrent assets</t>
  </si>
  <si>
    <t>Total liabilities</t>
  </si>
  <si>
    <t>Equity</t>
  </si>
  <si>
    <t>Common stock</t>
  </si>
  <si>
    <t>Accumulated other comprehensive income</t>
  </si>
  <si>
    <t>Total liabilities and equity</t>
  </si>
  <si>
    <t xml:space="preserve"> -   </t>
  </si>
  <si>
    <t>Cash flows from operating activities</t>
  </si>
  <si>
    <t>Net income (loss)</t>
  </si>
  <si>
    <t>Deferred income taxes, net</t>
  </si>
  <si>
    <t>Other</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</si>
  <si>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</si>
  <si>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</si>
  <si>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</si>
  <si>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</si>
  <si>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</si>
  <si>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</si>
  <si>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</si>
  <si>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</si>
  <si>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Change in operating assets and liabilities</t>
  </si>
  <si>
    <t>F1Q14</t>
  </si>
  <si>
    <t>F2Q14</t>
  </si>
  <si>
    <t>F3Q14</t>
  </si>
  <si>
    <t>F4Q14</t>
  </si>
  <si>
    <t>Revenue growth rate (year over year)</t>
  </si>
  <si>
    <t>Revenue growth rate (quarter over quarter)</t>
  </si>
  <si>
    <t>Multiple Valuation</t>
  </si>
  <si>
    <t>Ratios</t>
  </si>
  <si>
    <t>SG&amp;A to sales</t>
  </si>
  <si>
    <t>R&amp;D to sales</t>
  </si>
  <si>
    <t>Balance Sheet Ratios &amp; Assumptions</t>
  </si>
  <si>
    <t>Receivables turnover</t>
  </si>
  <si>
    <t>Inventory turnover</t>
  </si>
  <si>
    <t>Number of days of payables</t>
  </si>
  <si>
    <t>Cash Flow Ratios &amp; Assumptions</t>
  </si>
  <si>
    <t xml:space="preserve"> </t>
  </si>
  <si>
    <t>Gross margin percentage (GAAP)</t>
  </si>
  <si>
    <t>Operating margin (GAAP)</t>
  </si>
  <si>
    <t>F3Q17E</t>
  </si>
  <si>
    <t>F4Q17E</t>
  </si>
  <si>
    <t>F1Q18E</t>
  </si>
  <si>
    <t>F2Q18E</t>
  </si>
  <si>
    <t>F3Q18E</t>
  </si>
  <si>
    <t>F4Q18E</t>
  </si>
  <si>
    <t>F1Q19E</t>
  </si>
  <si>
    <t>F2Q19E</t>
  </si>
  <si>
    <t>F3Q19E</t>
  </si>
  <si>
    <t>F4Q19E</t>
  </si>
  <si>
    <t>Share repurchase assumptions: average price</t>
  </si>
  <si>
    <t>Share repurchase: amount in the period ($M)</t>
  </si>
  <si>
    <t>Diluted share impact (convertible retirement)</t>
  </si>
  <si>
    <t>Free Cash Flow to Firm (FCFF)*</t>
  </si>
  <si>
    <t>Discounted FCFF</t>
  </si>
  <si>
    <t>Discounted Cash Flow Valuation</t>
  </si>
  <si>
    <t>Current share price</t>
  </si>
  <si>
    <t>Shares outstanding</t>
  </si>
  <si>
    <t>Market Capitalization ($M)</t>
  </si>
  <si>
    <t>Equity market risk premium</t>
  </si>
  <si>
    <t>Required return on equity (CAPM)</t>
  </si>
  <si>
    <t>Equity to total capital</t>
  </si>
  <si>
    <t>Average cost of debt</t>
  </si>
  <si>
    <t xml:space="preserve">After tax cost of debt </t>
  </si>
  <si>
    <t>WACC Inputs</t>
  </si>
  <si>
    <t>Net income to revenue</t>
  </si>
  <si>
    <t>P/E used for valuation</t>
  </si>
  <si>
    <t>Apple Inc Income Statement</t>
  </si>
  <si>
    <t>Apple Inc Balance Sheet</t>
  </si>
  <si>
    <t>Apple Inc Cash Flow Statement</t>
  </si>
  <si>
    <t>Net sales</t>
  </si>
  <si>
    <t>Cost of sales</t>
  </si>
  <si>
    <t>Provisions for income tax</t>
  </si>
  <si>
    <t>Sept-14</t>
  </si>
  <si>
    <t>June-14</t>
  </si>
  <si>
    <t>Mar-14</t>
  </si>
  <si>
    <t>Dec-13</t>
  </si>
  <si>
    <t>Sept-13</t>
  </si>
  <si>
    <t>Dec-14</t>
  </si>
  <si>
    <t>Mar-15</t>
  </si>
  <si>
    <t>June-15</t>
  </si>
  <si>
    <t>Sept-15</t>
  </si>
  <si>
    <t>Dec-16</t>
  </si>
  <si>
    <t>Dec-15</t>
  </si>
  <si>
    <t>Mar-16</t>
  </si>
  <si>
    <t>June-16</t>
  </si>
  <si>
    <t>Sept-16</t>
  </si>
  <si>
    <t>Mar-17</t>
  </si>
  <si>
    <t>June-17</t>
  </si>
  <si>
    <t>Sept-17</t>
  </si>
  <si>
    <t>Dec-17</t>
  </si>
  <si>
    <t>Mar-18</t>
  </si>
  <si>
    <t>June-18</t>
  </si>
  <si>
    <t>Sept-18</t>
  </si>
  <si>
    <t>Dec-18</t>
  </si>
  <si>
    <t>Mar-19</t>
  </si>
  <si>
    <t>June-19</t>
  </si>
  <si>
    <t>Sept-19</t>
  </si>
  <si>
    <t>Dec-10</t>
  </si>
  <si>
    <t>Dec-09</t>
  </si>
  <si>
    <t>Mar-10</t>
  </si>
  <si>
    <t>June-10</t>
  </si>
  <si>
    <t>Sept-10</t>
  </si>
  <si>
    <t>F1Q10</t>
  </si>
  <si>
    <t>F2Q10</t>
  </si>
  <si>
    <t>F3Q10</t>
  </si>
  <si>
    <t>F4Q10</t>
  </si>
  <si>
    <t>FY 2010</t>
  </si>
  <si>
    <t>Mar-11</t>
  </si>
  <si>
    <t>June-11</t>
  </si>
  <si>
    <t>Sept-11</t>
  </si>
  <si>
    <t>F1Q11</t>
  </si>
  <si>
    <t>F2Q11</t>
  </si>
  <si>
    <t>F3Q11</t>
  </si>
  <si>
    <t>F4Q11</t>
  </si>
  <si>
    <t>FY 2011</t>
  </si>
  <si>
    <t>Dec-11</t>
  </si>
  <si>
    <t>Mar-12</t>
  </si>
  <si>
    <t>June-12</t>
  </si>
  <si>
    <t>Sept-12</t>
  </si>
  <si>
    <t>F1Q12</t>
  </si>
  <si>
    <t>F2Q12</t>
  </si>
  <si>
    <t>F3Q12</t>
  </si>
  <si>
    <t>F4Q12</t>
  </si>
  <si>
    <t>FY 2012</t>
  </si>
  <si>
    <t>Dec-12</t>
  </si>
  <si>
    <t>Mar-13</t>
  </si>
  <si>
    <t>June-13</t>
  </si>
  <si>
    <t>F1Q13</t>
  </si>
  <si>
    <t>F2Q13</t>
  </si>
  <si>
    <t>F3Q13</t>
  </si>
  <si>
    <t>F4Q13</t>
  </si>
  <si>
    <t>Dividends per share</t>
  </si>
  <si>
    <t>Cash and equivalents</t>
  </si>
  <si>
    <t>Short-term marketable securities</t>
  </si>
  <si>
    <t xml:space="preserve">Accounts receivables </t>
  </si>
  <si>
    <t>Long-term marketable securities</t>
  </si>
  <si>
    <t>Goodwill</t>
  </si>
  <si>
    <t>Acquired intangible assets, net</t>
  </si>
  <si>
    <t>Accounts payable</t>
  </si>
  <si>
    <t>Accrued expenses</t>
  </si>
  <si>
    <t>Deferred revenue</t>
  </si>
  <si>
    <t>Deferred revenue (non-current)</t>
  </si>
  <si>
    <t>Long-term debt</t>
  </si>
  <si>
    <t>Other non-current liabilities</t>
  </si>
  <si>
    <t>Commitments and contingencies</t>
  </si>
  <si>
    <t xml:space="preserve">Retained earnings </t>
  </si>
  <si>
    <t>Total shareholders' equity</t>
  </si>
  <si>
    <t>Share-based compensation expense</t>
  </si>
  <si>
    <t>Accounts receivable</t>
  </si>
  <si>
    <t>Vendor non-trade receivables</t>
  </si>
  <si>
    <t>Other current and non-current liabilities</t>
  </si>
  <si>
    <t>Purchases of marketable securities</t>
  </si>
  <si>
    <t>Proceeds from maturities of securities</t>
  </si>
  <si>
    <t>Proceeds from sales of securities</t>
  </si>
  <si>
    <t>Payments made for acquisitions</t>
  </si>
  <si>
    <t>Proceeds from issuance of common stock</t>
  </si>
  <si>
    <t>Excess tax benefits from equity awards</t>
  </si>
  <si>
    <t>Taxes paid related to equity awards</t>
  </si>
  <si>
    <t>Dividends paid</t>
  </si>
  <si>
    <t>Repurchase of common stock</t>
  </si>
  <si>
    <t>Proceeds from issuance of long-term debt</t>
  </si>
  <si>
    <t>Proceeds from issuance of commercial paper</t>
  </si>
  <si>
    <t>Other investing activities</t>
  </si>
  <si>
    <t>Other financing activities</t>
  </si>
  <si>
    <t>Total sales by geography</t>
  </si>
  <si>
    <t>Total sales by product</t>
  </si>
  <si>
    <t>Americas net sales ($M)</t>
  </si>
  <si>
    <t>Japan net sales  ($M)</t>
  </si>
  <si>
    <t>Retail net sales  ($M)</t>
  </si>
  <si>
    <t>Other segments net sales  ($M)</t>
  </si>
  <si>
    <t>iPod units sold (thousands of units)</t>
  </si>
  <si>
    <t>iPhone units sold (thousands of units)</t>
  </si>
  <si>
    <t>iPad units sold (thousands of units)</t>
  </si>
  <si>
    <t>Rest of Asia Pacific ($M)</t>
  </si>
  <si>
    <t>Other current and non-current assets</t>
  </si>
  <si>
    <t>iWatch units sold (thousands of units)</t>
  </si>
  <si>
    <t>Adjusted cash per share</t>
  </si>
  <si>
    <t>Beta (relative to the S&amp;P500)</t>
  </si>
  <si>
    <t>Revenue growth (in perpetuity)</t>
  </si>
  <si>
    <t>NPV of stage-one cash flows</t>
  </si>
  <si>
    <t>Constant CFO growth rate</t>
  </si>
  <si>
    <t>Ave CapEx (% of sales)</t>
  </si>
  <si>
    <t>DCF Valuation</t>
  </si>
  <si>
    <t>PV of terminal value</t>
  </si>
  <si>
    <t xml:space="preserve">Net income </t>
  </si>
  <si>
    <t xml:space="preserve">Basic EPS </t>
  </si>
  <si>
    <t xml:space="preserve">Diluted EPS </t>
  </si>
  <si>
    <t>F1Q15</t>
  </si>
  <si>
    <t>Greater China sales  ($M)</t>
  </si>
  <si>
    <t>Accessories/other growth rate</t>
  </si>
  <si>
    <t>P/E 3-month high</t>
  </si>
  <si>
    <t>P/E 3-month low</t>
  </si>
  <si>
    <t>F2Q15</t>
  </si>
  <si>
    <t>DCF Period (approximate number of years)</t>
  </si>
  <si>
    <t>F3Q15</t>
  </si>
  <si>
    <t>Commercial paper/current portion of LT debt</t>
  </si>
  <si>
    <t>F4Q15</t>
  </si>
  <si>
    <t>FY 2017E</t>
  </si>
  <si>
    <t>FY 2018E</t>
  </si>
  <si>
    <t>FY 2019E</t>
  </si>
  <si>
    <t xml:space="preserve">Plus cash/(debt) per share </t>
  </si>
  <si>
    <t>P/E 3-month average (a)</t>
  </si>
  <si>
    <t>(a) Multiples are calculated excluding the value of net cash and are based on the 3-month average daily share price compared to the consensus EPS estimates for the next twelve month period. For Apple, we adjust the net cash per share to approximate the tax implications of repatriating cash balances that are held in foreign countries.</t>
  </si>
  <si>
    <t>(d) Assumes constant networking capital in the constant growth stage.
(e) Assumes debt balance and interest expense remains constant in the constant growth stage, and that book value of debt approximates fair value.</t>
  </si>
  <si>
    <t>Constant market Sharpe ratio(b)</t>
  </si>
  <si>
    <t>S&amp;P500 implied volatility(c)</t>
  </si>
  <si>
    <r>
      <t>Constant Growth Stage Assumptions</t>
    </r>
    <r>
      <rPr>
        <sz val="11"/>
        <color theme="1"/>
        <rFont val="Calibri"/>
        <family val="2"/>
        <scheme val="minor"/>
      </rPr>
      <t>(d,e)</t>
    </r>
  </si>
  <si>
    <t>Implied P/E 12-month target value</t>
  </si>
  <si>
    <t>Implied DCF 12-month target value</t>
  </si>
  <si>
    <t>Total operating expenses</t>
  </si>
  <si>
    <t>Change in basic shares  (excluding repurchases)</t>
  </si>
  <si>
    <t>Change in diluted shares  (excluding repurchases)</t>
  </si>
  <si>
    <t>FY 2015</t>
  </si>
  <si>
    <t>F1Q20E</t>
  </si>
  <si>
    <t>Dec-19</t>
  </si>
  <si>
    <t>Mar-20</t>
  </si>
  <si>
    <t>June-20</t>
  </si>
  <si>
    <t>Sept-20</t>
  </si>
  <si>
    <t>F2Q20E</t>
  </si>
  <si>
    <t>F3Q20E</t>
  </si>
  <si>
    <t>F4Q20E</t>
  </si>
  <si>
    <t>FY 2020E</t>
  </si>
  <si>
    <t>Consensus</t>
  </si>
  <si>
    <t>Source: Company Reports, Gutenberg estimates</t>
  </si>
  <si>
    <t>F1Q16</t>
  </si>
  <si>
    <t>Europe net sales  ($M)</t>
  </si>
  <si>
    <t>By obtaining this model you are deemed to have read and agreed to our Terms of Use. Visit our website for details: https://www.gutenbergresearch.com/terms-of-use.html</t>
  </si>
  <si>
    <t>GR</t>
  </si>
  <si>
    <t>F2Q16</t>
  </si>
  <si>
    <t>F3Q16</t>
  </si>
  <si>
    <t>Sales by Geography</t>
  </si>
  <si>
    <t>Estimates by Product - iPhone</t>
  </si>
  <si>
    <t>Estimates by Product - iPad</t>
  </si>
  <si>
    <t>iPhone and related products and service revenue ($M)</t>
  </si>
  <si>
    <t>iPad and related products and services revenue ($M)</t>
  </si>
  <si>
    <t>iPod revenue ($M)</t>
  </si>
  <si>
    <t>iWatch revenue ($M)</t>
  </si>
  <si>
    <t>Other music related products &amp; services revenue ($M)</t>
  </si>
  <si>
    <t>Peripherals and other hardware revenue ($M)</t>
  </si>
  <si>
    <t>Software, services and other sales revenue ($M)</t>
  </si>
  <si>
    <t>iPhone Average Selling Price (in dollars)</t>
  </si>
  <si>
    <t>iPad Average Selling Price (in dollars)</t>
  </si>
  <si>
    <t>Estimates by Product - iPod</t>
  </si>
  <si>
    <t>Total Mac revenue ($M)</t>
  </si>
  <si>
    <t>iPod Average Selling Price (in dollars)</t>
  </si>
  <si>
    <t>iWatch Average Selling Price (in dollars)</t>
  </si>
  <si>
    <t>Estimates by Product - iWatch (refer to comment)</t>
  </si>
  <si>
    <t>Ratio Analysis</t>
  </si>
  <si>
    <t>Services revenue ($M)</t>
  </si>
  <si>
    <t>Shares repurchased (in millions)</t>
  </si>
  <si>
    <t>Risk Free (12 mo ave 10yr US-T)</t>
  </si>
  <si>
    <t>F4Q16</t>
  </si>
  <si>
    <t>FY 2016</t>
  </si>
  <si>
    <t>Dec-20</t>
  </si>
  <si>
    <t>Mar-21</t>
  </si>
  <si>
    <t>June-21</t>
  </si>
  <si>
    <t>Sept-21</t>
  </si>
  <si>
    <t>F1Q21E</t>
  </si>
  <si>
    <t>F2Q21E</t>
  </si>
  <si>
    <t>F3Q21E</t>
  </si>
  <si>
    <t>F4Q21E</t>
  </si>
  <si>
    <t>FY 2021E</t>
  </si>
  <si>
    <t>F1Q17</t>
  </si>
  <si>
    <t>iPad</t>
  </si>
  <si>
    <t>iWatch</t>
  </si>
  <si>
    <t>iWatch launched April-2014</t>
  </si>
  <si>
    <t>Apple AirPods</t>
  </si>
  <si>
    <t>MacBook Pro</t>
  </si>
  <si>
    <t>iMac</t>
  </si>
  <si>
    <t>iMac launched Oct-2009 ($1199, $1499, $1699, $1999)</t>
  </si>
  <si>
    <t>MacBook Air</t>
  </si>
  <si>
    <t>MacBook</t>
  </si>
  <si>
    <t>iPod Touch</t>
  </si>
  <si>
    <t>iPod Classic</t>
  </si>
  <si>
    <t>iPod Shuffle</t>
  </si>
  <si>
    <t>iPod Nano</t>
  </si>
  <si>
    <t xml:space="preserve">3rd Gen Launched Sept-2010 ($299 &amp; $399). </t>
  </si>
  <si>
    <t>5th Gen Launched Sept-2009 ($149 &amp; $179).</t>
  </si>
  <si>
    <t>Refresh Oct-2010 ($999, $1199, $1299 &amp; $1599)</t>
  </si>
  <si>
    <t>4th Gen launched Sept-2010 ($229, $299, &amp; $399)</t>
  </si>
  <si>
    <t>4th Gen launched Sept-2010 ($49)</t>
  </si>
  <si>
    <t>6th Gen launch Sept-2010 ($149 &amp; $179)</t>
  </si>
  <si>
    <t>Mac Pro</t>
  </si>
  <si>
    <t>Refresh July-2010 ($2499 &amp; $3499)</t>
  </si>
  <si>
    <t>Mac Mini &amp; Mini Server</t>
  </si>
  <si>
    <t xml:space="preserve">Refresh June 2010  ($699, $999) </t>
  </si>
  <si>
    <t>iPhone 3</t>
  </si>
  <si>
    <t>iPhone 4</t>
  </si>
  <si>
    <t>3GS launched June-2009 ($599 &amp; $699)</t>
  </si>
  <si>
    <t>iPhone 4 launched June-2010 ($599 &amp; $699)</t>
  </si>
  <si>
    <t>Refresh Oct-2009 ($999)</t>
  </si>
  <si>
    <t>Refresh May-2010 ($999)</t>
  </si>
  <si>
    <t>Refresh April-2010 ($1199, $1799, $1999, $2199, $2299)</t>
  </si>
  <si>
    <t>iPad launched January-2010 ($499, $599, $699 3G wifi +$130)</t>
  </si>
  <si>
    <t>Refresh May-2011 ($1199, $1499, $1699, $1999)</t>
  </si>
  <si>
    <t>Refresh June-2011 ($999, $1199, $1399, &amp; $1599)</t>
  </si>
  <si>
    <t>Refresh July 2011 ($599, $799, $999)</t>
  </si>
  <si>
    <t>iPhone 4S launched Oct-2011 ($649, $749, &amp; $849)</t>
  </si>
  <si>
    <t>Refresh Oct-2011</t>
  </si>
  <si>
    <t>Refresh Feb-2011 ($1199, $1499, $1799, $2199, $2499)</t>
  </si>
  <si>
    <t>iPad 2</t>
  </si>
  <si>
    <t>iPad 2nd Gen launched March 2011 ($499, $599, $699)</t>
  </si>
  <si>
    <t>iPad 3</t>
  </si>
  <si>
    <t>iPad 3rd Gen launched March-2012 ($499, $599, $699)</t>
  </si>
  <si>
    <t>Refresh June-2012 ($999, $1099, $1199, $1499)</t>
  </si>
  <si>
    <t>Refresh inc 3rd Gen Retina launch June-2012 ($1199, $1499, $1799, $2199, $2799)</t>
  </si>
  <si>
    <t>Refresh July-2012 ($2499, $3499)</t>
  </si>
  <si>
    <t>iPhone 5</t>
  </si>
  <si>
    <t>iPhone 5 launched Sept-2012 ($649, $749, $849)</t>
  </si>
  <si>
    <t>iPod Nano 7th Gen Launched Sept-2012 ($149)</t>
  </si>
  <si>
    <t>iPod Touch 5th Gen Launched Sept-2012 ($299, $399)</t>
  </si>
  <si>
    <t>iPad 4</t>
  </si>
  <si>
    <t>iPad 4th Gen launched Oct-2012 ($499, $599, $699 + $130 for LTE)</t>
  </si>
  <si>
    <t>iPad Mini launched Oct-2012 ($329, $429, $529, + $130 for LTE</t>
  </si>
  <si>
    <t>iPhone 5C launched Sept-2013 ($549, $649)</t>
  </si>
  <si>
    <t xml:space="preserve">iPhone 5C </t>
  </si>
  <si>
    <t>iPhone 5S</t>
  </si>
  <si>
    <t>iPhone 5S launched Sept-2013 ($649, $749, $849)</t>
  </si>
  <si>
    <t>iPad Air</t>
  </si>
  <si>
    <t>iPad Air launched Oct-2013 ($499, $599, $699, $799 + $130 for LTE)</t>
  </si>
  <si>
    <t>iPad Mini</t>
  </si>
  <si>
    <t>Refresh Oct-2013 ($1299, $1499, $1799, $1999, $2599)</t>
  </si>
  <si>
    <t>Refresh July-2014 ($1499, $1799, $1999, $2499)</t>
  </si>
  <si>
    <t>iPhone 6 &amp; 6+</t>
  </si>
  <si>
    <t>iPad Mini 2 launched Oct-2013 ($399, $499, $599, $699 + $130/LTE)</t>
  </si>
  <si>
    <t>Refresh March-2015 ($1299, $1499, $1799, $1999, $2499)</t>
  </si>
  <si>
    <t>iPod Touch 6th Gen Launched July-2015 ($199, $249, $299, $399)</t>
  </si>
  <si>
    <t>Mini 3 launched Oct-2014 ($499, $599, $699 + $130/LTE)</t>
  </si>
  <si>
    <t>iPad Pro</t>
  </si>
  <si>
    <t>iPhone 5C refresh March-2014</t>
  </si>
  <si>
    <t>iPhone 7 &amp; 7+</t>
  </si>
  <si>
    <t>Refresh June-2013</t>
  </si>
  <si>
    <t>Refresh  April-2014.</t>
  </si>
  <si>
    <t>Refresh March-2015 ($999, $1199)</t>
  </si>
  <si>
    <t>MacBook ($1299, $1599)</t>
  </si>
  <si>
    <t>Refresh Dec-2012.</t>
  </si>
  <si>
    <t>Refresh Sept-2013.</t>
  </si>
  <si>
    <t>Refresh October-2014.</t>
  </si>
  <si>
    <t>iMac refresh with Retina 5k Display May-2015 ($1099, $1299, $1499, $1799, $1999, $2299)</t>
  </si>
  <si>
    <t>4th Gen w/Touchbar launched Oct-2016 ($1299, $1499, $1799, $1999, $2399, $2799)</t>
  </si>
  <si>
    <t>Refresh December-2013 ($2999, $3999)</t>
  </si>
  <si>
    <t>Mac Mini refresh Oct-2014 ($499, $699, $699).</t>
  </si>
  <si>
    <t>iPhone 6/6+ launched Sept-2014 ($649, $749, $849, $949)</t>
  </si>
  <si>
    <t>iPad Pro launched Nov-2015 ($599, $699, $799 + $130/LTE)</t>
  </si>
  <si>
    <t>iPad Air 2 launched Oct-2014 ($399, $499 + $130/LTE)</t>
  </si>
  <si>
    <t>iPad Mini 4 launched Sept-2015 ($399, $499 + $130/LTE)</t>
  </si>
  <si>
    <t>iPhone 6S/6S+ launched Sept-2015 ($649, $749, $849, $949)</t>
  </si>
  <si>
    <t>iPhone 7/7+ launched Sept-2016 ($649, $749, $849, $769, $869, $969)</t>
  </si>
  <si>
    <t>Apple TV</t>
  </si>
  <si>
    <t>Apple TV 3rd Gen Launched March-2012 ($99 dropped to $69 in March-2015)</t>
  </si>
  <si>
    <t>Apple TV 2nd Gen Launched Sept-2010 ($99)</t>
  </si>
  <si>
    <t>Apple TV 4th Gen Launched October-2015 ($149, $199)</t>
  </si>
  <si>
    <t>iWatch Series 1 &amp; 2 launched April-2015 ($269 to $1499</t>
  </si>
  <si>
    <t>Apple AirPods Launched Dec-2016 ($159)</t>
  </si>
  <si>
    <t>iPhone SE launched March-2016 ($399, $449)</t>
  </si>
  <si>
    <t>iPhone 9</t>
  </si>
  <si>
    <t>iPhone 9S</t>
  </si>
  <si>
    <t>iPhone 10</t>
  </si>
  <si>
    <t>5th Gen MacBook Pro</t>
  </si>
  <si>
    <t>MacBook Air 2nd Gen</t>
  </si>
  <si>
    <t>iPad Pro 2</t>
  </si>
  <si>
    <t xml:space="preserve">Other Important Data Points </t>
  </si>
  <si>
    <t>Trade Weighted U.S. Dollar Index</t>
  </si>
  <si>
    <t>A weighted average of the foreign exchange value of the U.S. dollar against the currencies of a broad group of major U.S. trading partners.
Broad currency index includes the Euro Area, Canada, Japan, Mexico, China, United Kingdom, Taiwan, Korea, Singapore, Hong Kong, Malaysia, Brazil, Switzerland, Thailand, Philippines, Australia, Indonesia, India, Israel, Saudi Arabia, Russia, Sweden, Argentina, Venezuela, Chile and Colombia.</t>
  </si>
  <si>
    <t>Source: Board of Governors of the Federal Reserve System (US), Trade Weighted U.S. Dollar Index: Broad [DTWEXB], retrieved from FRED, Federal Reserve Bank of St. Louis; https://fred.stlouisfed.org/series/DTWEXB, March 17, 2017.</t>
  </si>
  <si>
    <t>FRED Graph Observations</t>
  </si>
  <si>
    <t>Federal Reserve Economic Data</t>
  </si>
  <si>
    <t>Link: https://fred.stlouisfed.org</t>
  </si>
  <si>
    <t>Help: https://fred.stlouisfed.org/help-faq</t>
  </si>
  <si>
    <t>Economic Research Division</t>
  </si>
  <si>
    <t>Federal Reserve Bank of St. Louis</t>
  </si>
  <si>
    <t>DTWEXB</t>
  </si>
  <si>
    <t>Trade Weighted U.S. Dollar Index: Broad, Index Jan 1997=100, Daily, Not Seasonally Adjusted</t>
  </si>
  <si>
    <t>Frequency: Daily</t>
  </si>
  <si>
    <t>observation_date</t>
  </si>
  <si>
    <t>Average</t>
  </si>
  <si>
    <t>Repatriation tax estimate per share</t>
  </si>
  <si>
    <t>Cash and investments held by foreign subsidiaries</t>
  </si>
  <si>
    <t>Net cash and investments per share  (pre-DTL)</t>
  </si>
  <si>
    <t xml:space="preserve">Estimate of tax adjustment on net cash and investments per share </t>
  </si>
  <si>
    <t xml:space="preserve">Net Cash and investments per share </t>
  </si>
  <si>
    <t>DTL to foreign cash and investment balance</t>
  </si>
  <si>
    <t xml:space="preserve">Net cash &amp; investments per share </t>
  </si>
  <si>
    <t>Debt-to-Equity Ratio</t>
  </si>
  <si>
    <t>Dividend growth rate (YoY)</t>
  </si>
  <si>
    <t>Commercial Paper and ST Debt-to-Total Debt</t>
  </si>
  <si>
    <t xml:space="preserve">Total Depreciation and amortization </t>
  </si>
  <si>
    <t>Amortization of Acquired Intangibles</t>
  </si>
  <si>
    <t>Capex-to-Sales</t>
  </si>
  <si>
    <t>Capex growth rate (QoQ)</t>
  </si>
  <si>
    <t>All other depreciation and Amortization</t>
  </si>
  <si>
    <t>Current Deferred Revenue-to-Total Deferred Revenue</t>
  </si>
  <si>
    <t>Percent change in Dollar Index (YoY)</t>
  </si>
  <si>
    <t>Growth in total investments (QoQ)</t>
  </si>
  <si>
    <t>Short-term marketable securities as a % total investments</t>
  </si>
  <si>
    <t>Day Count (number of days in the quarter)</t>
  </si>
  <si>
    <t>Days of inventory on hand</t>
  </si>
  <si>
    <t>Days sales outstanding</t>
  </si>
  <si>
    <t>Payables turnover</t>
  </si>
  <si>
    <t>Cash conversion cycle</t>
  </si>
  <si>
    <t>Interest and dividend income</t>
  </si>
  <si>
    <t>Interest expense</t>
  </si>
  <si>
    <t>Other income/(expense)</t>
  </si>
  <si>
    <t>Total other income/(expense)</t>
  </si>
  <si>
    <t>Interest expense as a percentage of average debt</t>
  </si>
  <si>
    <t>Share Count Analysis</t>
  </si>
  <si>
    <t>Growth in total debt (QoQ)</t>
  </si>
  <si>
    <t>Segment &amp; Product Data</t>
  </si>
  <si>
    <t>Net Cash from Operations growth rate (YoY)</t>
  </si>
  <si>
    <t>Excess tax benefits from equity awards as a percentage of stock-based comp</t>
  </si>
  <si>
    <t>Taxes paid related to equity awards  as a percentage of stock-based comp</t>
  </si>
  <si>
    <t>iPhone unit growth rate (QoQ)</t>
  </si>
  <si>
    <t>iPhone 8</t>
  </si>
  <si>
    <t>iPad unit growth rate  (YoY)</t>
  </si>
  <si>
    <t>iPad unit growth rate  (QoQ)</t>
  </si>
  <si>
    <t>Mac unit growth rate  (YoY)</t>
  </si>
  <si>
    <t>Mac unit growth rate (QoQ)</t>
  </si>
  <si>
    <t>iPod unit growth rate (QoQ)</t>
  </si>
  <si>
    <t>iWatch unit growth rate (QoQ)</t>
  </si>
  <si>
    <t>iWatch unit growth rate  (YoY)</t>
  </si>
  <si>
    <t>Purple cells = Company guidance (updated 5/2/2017)</t>
  </si>
  <si>
    <t>F2Q17</t>
  </si>
  <si>
    <t>Guidance For</t>
  </si>
  <si>
    <t>Date Published</t>
  </si>
  <si>
    <t>Revenue Range</t>
  </si>
  <si>
    <t>Revenue Midpoint</t>
  </si>
  <si>
    <t>Gross Margin Range</t>
  </si>
  <si>
    <t>GM Midpoint</t>
  </si>
  <si>
    <t>Operating Expenses</t>
  </si>
  <si>
    <t>Opex Midpoint</t>
  </si>
  <si>
    <t>Other Income</t>
  </si>
  <si>
    <t>Tax Rate</t>
  </si>
  <si>
    <t>Reporting Quarter</t>
  </si>
  <si>
    <t>Fiscal Qtr End Date</t>
  </si>
  <si>
    <t>Revenue</t>
  </si>
  <si>
    <t>Revenue Results</t>
  </si>
  <si>
    <t>Gross Margin</t>
  </si>
  <si>
    <t>Gross Margin Results</t>
  </si>
  <si>
    <t>Opex Results</t>
  </si>
  <si>
    <t>Other Results</t>
  </si>
  <si>
    <t>Tax Rate Results</t>
  </si>
  <si>
    <t>F2Q2017</t>
  </si>
  <si>
    <t>$51.5B to $53.5B</t>
  </si>
  <si>
    <t>38% to 39%</t>
  </si>
  <si>
    <t>$6.5B to $6.6B</t>
  </si>
  <si>
    <t>$400M</t>
  </si>
  <si>
    <t>F1Q2017</t>
  </si>
  <si>
    <t>$76B to $78B</t>
  </si>
  <si>
    <t>38% to 38.5%</t>
  </si>
  <si>
    <t>$6.9B to $7.0B</t>
  </si>
  <si>
    <t>Beat</t>
  </si>
  <si>
    <t>High-end</t>
  </si>
  <si>
    <t>In-line</t>
  </si>
  <si>
    <t>F4Q2016</t>
  </si>
  <si>
    <t>$45.5B to $47.5B</t>
  </si>
  <si>
    <t>37.5% to 38%</t>
  </si>
  <si>
    <t>$6.05B to $6.15B</t>
  </si>
  <si>
    <t>$350M</t>
  </si>
  <si>
    <t>Low-end</t>
  </si>
  <si>
    <t>Miss</t>
  </si>
  <si>
    <t>F3Q2016</t>
  </si>
  <si>
    <t>$41B to $43B</t>
  </si>
  <si>
    <t>$6B to $6.1B</t>
  </si>
  <si>
    <t>$300M</t>
  </si>
  <si>
    <t>F2Q2016</t>
  </si>
  <si>
    <t>$50B to $53B</t>
  </si>
  <si>
    <t>39% to 39.5%</t>
  </si>
  <si>
    <t>$325M</t>
  </si>
  <si>
    <t>F1Q2016</t>
  </si>
  <si>
    <t>$75.5B to $77.5B</t>
  </si>
  <si>
    <t>39% to 40%</t>
  </si>
  <si>
    <t>$6.3B to $6.4B</t>
  </si>
  <si>
    <t>F4Q2015</t>
  </si>
  <si>
    <t>$49B to $51B</t>
  </si>
  <si>
    <t>38.5% to 39.5%</t>
  </si>
  <si>
    <t>$5.85B to $5.95B</t>
  </si>
  <si>
    <t>F3Q2015</t>
  </si>
  <si>
    <t>$46B to $48B</t>
  </si>
  <si>
    <t>$5.65B to $5.75B</t>
  </si>
  <si>
    <t>F2Q2015</t>
  </si>
  <si>
    <t>$52B to $55B</t>
  </si>
  <si>
    <t>$5.4B to $5.5B</t>
  </si>
  <si>
    <t>F1Q2015</t>
  </si>
  <si>
    <t>$63.5B to $66.5B</t>
  </si>
  <si>
    <t>37.5% to 38.5%</t>
  </si>
  <si>
    <t>F4Q2014</t>
  </si>
  <si>
    <t>$37B to $40B</t>
  </si>
  <si>
    <t>37% to 38%</t>
  </si>
  <si>
    <t>$4.75B to $4.85B</t>
  </si>
  <si>
    <t>$250M</t>
  </si>
  <si>
    <t>F3Q2014</t>
  </si>
  <si>
    <t>$36B to $38B</t>
  </si>
  <si>
    <t>$4.4B to $4.5B</t>
  </si>
  <si>
    <t>$200M</t>
  </si>
  <si>
    <t>F2Q2014</t>
  </si>
  <si>
    <t>$42B to $48B</t>
  </si>
  <si>
    <t>$4.3B to $4.4B</t>
  </si>
  <si>
    <t>F1Q2014</t>
  </si>
  <si>
    <t>$55B to $58B</t>
  </si>
  <si>
    <t>36.5% to 37.5%</t>
  </si>
  <si>
    <t>F4Q2013</t>
  </si>
  <si>
    <t>$34B to $37B</t>
  </si>
  <si>
    <t>36% to 37%</t>
  </si>
  <si>
    <t>$3.9B to $3.95B</t>
  </si>
  <si>
    <t>F3Q2013</t>
  </si>
  <si>
    <t>$33.5B to $35.5B</t>
  </si>
  <si>
    <t>$3.85B to $3.95B</t>
  </si>
  <si>
    <t>F2Q2013</t>
  </si>
  <si>
    <t>$3.8B to $3.9B</t>
  </si>
  <si>
    <t>F3Q2017</t>
  </si>
  <si>
    <t>$43.5B to $45.5B</t>
  </si>
  <si>
    <t>$6.6B to $6.7B</t>
  </si>
  <si>
    <t>$450M</t>
  </si>
  <si>
    <t>Fiscal third quarter has not been released.</t>
  </si>
  <si>
    <t>Source: Company Reports (represents the midpoint of management's range, $B)</t>
  </si>
  <si>
    <t>F3Q2017E</t>
  </si>
  <si>
    <t>Revenue Guidance vs Actual Trend ($B)</t>
  </si>
  <si>
    <t>Gross Margin Guidance vs Actual Trend (%)</t>
  </si>
  <si>
    <t>Source: Company Reports (represents the midpoint of management's range, %)</t>
  </si>
  <si>
    <t>Gross Margin (%)</t>
  </si>
  <si>
    <t>Quarterly Consensus Estimates</t>
  </si>
  <si>
    <t>EPS (GAAP, $/per share)</t>
  </si>
  <si>
    <t>Metric</t>
  </si>
  <si>
    <t># of Analysts</t>
  </si>
  <si>
    <t>Revenue ($B)</t>
  </si>
  <si>
    <t>Operating Profit ($B)</t>
  </si>
  <si>
    <t>EBITDA ($B)</t>
  </si>
  <si>
    <t>Pre-tax profit ($B)</t>
  </si>
  <si>
    <t>Net income (GAAP, $B)</t>
  </si>
  <si>
    <t>Free cash flow ($B)</t>
  </si>
  <si>
    <t>Capital expenditures ($B)</t>
  </si>
  <si>
    <t>Annual Consensus Estimates</t>
  </si>
  <si>
    <t>Quarterly Consensus Revenue and Gross Margin Estimates</t>
  </si>
  <si>
    <t>F4Q2017E</t>
  </si>
  <si>
    <t>F1Q2018E</t>
  </si>
  <si>
    <t>FY2017E</t>
  </si>
  <si>
    <t>FY2018E</t>
  </si>
  <si>
    <t>FY2019E</t>
  </si>
  <si>
    <t>FY2020E</t>
  </si>
  <si>
    <t>F2Q2018E</t>
  </si>
  <si>
    <t>Annual Consensus Revenue and Gross Margin Estimates</t>
  </si>
  <si>
    <t>Quarterly iPhone Statistics</t>
  </si>
  <si>
    <t>Quarterly iPad Statistics</t>
  </si>
  <si>
    <t>Quarterly Mac Statistics</t>
  </si>
  <si>
    <t>Services growth rate (QoQ)</t>
  </si>
  <si>
    <t>Services growth rate (YoY)</t>
  </si>
  <si>
    <t>Services Revenue</t>
  </si>
  <si>
    <t>Check: iWatch + Other Products = Reported Other Products Revenue</t>
  </si>
  <si>
    <t>Total Other Products Revenue</t>
  </si>
  <si>
    <t>Other Products revenue ($M, ex iWatch)</t>
  </si>
  <si>
    <t>iPhone unit growth rate  (YoY)</t>
  </si>
  <si>
    <t>iPhone Release Map</t>
  </si>
  <si>
    <t>iPhone 8S</t>
  </si>
  <si>
    <t>iPad Release Map</t>
  </si>
  <si>
    <t>Mac Release Map</t>
  </si>
  <si>
    <t>iPod Release Map</t>
  </si>
  <si>
    <t>Other Products Release Map</t>
  </si>
  <si>
    <t>EBITDA</t>
  </si>
  <si>
    <t>Interest and dividend income as a % of investments</t>
  </si>
  <si>
    <t>Total Deferred Revenue-to-Prior 4 Quarters of Revenue</t>
  </si>
  <si>
    <t>Depreciation &amp; Amort Exp-to-Average PP&amp;E &amp; Intangibles</t>
  </si>
  <si>
    <t>% of total cash and investments held by foreign subs</t>
  </si>
  <si>
    <t>Def Tax Liability (DTL) for unremitted earnings of foreign subs</t>
  </si>
  <si>
    <t>Last updated: 5/12/2017</t>
  </si>
  <si>
    <t>Last updated: 5/12/2016</t>
  </si>
  <si>
    <t>Mean monthly return</t>
  </si>
  <si>
    <t xml:space="preserve">Standard deviation </t>
  </si>
  <si>
    <t>Implied upper bound</t>
  </si>
  <si>
    <t>Implied Lower bound</t>
  </si>
  <si>
    <t>Implied target value</t>
  </si>
  <si>
    <t>Implied 50/50 average target value</t>
  </si>
  <si>
    <t>Risk Estimation Summary (g)</t>
  </si>
  <si>
    <t xml:space="preserve">Implied target price band </t>
  </si>
  <si>
    <t>S1 Weighted Average Cost of Capital</t>
  </si>
  <si>
    <t>Stage 2 Long-Term WACC (f)</t>
  </si>
  <si>
    <t>(b) This model uses the Constant Sharpe approach to estimate the Equity Risk Premium. The S&amp;P500 Constant Sharpe is calculated by taking the excess return on the index over the risk-free rate, divided by the standard deviation of returns. The Constant Sharpe ratio is multiplied by the estimate of implied volatility.</t>
  </si>
  <si>
    <t>(c) 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t>
  </si>
  <si>
    <t>(f) Stage two long-term WACC assumes the weight and cost of debt remains constant, and cost of equity reaches long term average based on an ERP of 6.0% and a required return on equity of 13.9% based on a VIX of 19.5%, Beta of 1.25, Risk-Free Rate of 6.4%, and Constant Sharpe of 0.31.</t>
  </si>
  <si>
    <t>Orange cells = Consensus estimates (Updated 5/30/2017)</t>
  </si>
  <si>
    <r>
      <rPr>
        <b/>
        <sz val="11"/>
        <color theme="1"/>
        <rFont val="Calibri"/>
        <family val="2"/>
        <scheme val="minor"/>
      </rPr>
      <t>NOTE:</t>
    </r>
    <r>
      <rPr>
        <sz val="11"/>
        <color theme="1"/>
        <rFont val="Calibri"/>
        <family val="2"/>
        <scheme val="minor"/>
      </rPr>
      <t xml:space="preserve"> 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
    </r>
    <r>
      <rPr>
        <b/>
        <sz val="11"/>
        <color theme="3"/>
        <rFont val="Calibri"/>
        <family val="2"/>
        <scheme val="minor"/>
      </rPr>
      <t xml:space="preserve">The multiple  in this section was last updated on 5/30/2017. </t>
    </r>
  </si>
  <si>
    <r>
      <t xml:space="preserve">(g)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
    </r>
    <r>
      <rPr>
        <b/>
        <sz val="11"/>
        <color theme="4" tint="-0.499984740745262"/>
        <rFont val="Calibri"/>
        <family val="2"/>
        <scheme val="minor"/>
      </rPr>
      <t xml:space="preserve">The mean &amp; standard deviation in this section were last updated on 5/30/2017. </t>
    </r>
  </si>
  <si>
    <r>
      <rPr>
        <b/>
        <sz val="11"/>
        <color theme="1"/>
        <rFont val="Calibri"/>
        <family val="2"/>
        <scheme val="minor"/>
      </rPr>
      <t xml:space="preserve">NOTE: </t>
    </r>
    <r>
      <rPr>
        <sz val="11"/>
        <color theme="1"/>
        <rFont val="Calibri"/>
        <family val="2"/>
        <scheme val="minor"/>
      </rPr>
      <t xml:space="preserve">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
    </r>
    <r>
      <rPr>
        <sz val="11"/>
        <color theme="3"/>
        <rFont val="Calibri"/>
        <family val="2"/>
        <scheme val="minor"/>
      </rPr>
      <t xml:space="preserve"> </t>
    </r>
    <r>
      <rPr>
        <b/>
        <sz val="11"/>
        <color theme="3"/>
        <rFont val="Calibri"/>
        <family val="2"/>
        <scheme val="minor"/>
      </rPr>
      <t>The  Beta, Volatility, and Risk-Free rate used in this DCF section was last updated on 5/30/2017 .</t>
    </r>
  </si>
  <si>
    <t>6th Gen Launched Sept-2009 ($249, discontinued Sept-2014</t>
  </si>
  <si>
    <t>Deferred revenue (current portion)</t>
  </si>
  <si>
    <t>Vendor non-trade receivables turnover</t>
  </si>
  <si>
    <t>Payments for acquisition of PPE</t>
  </si>
  <si>
    <t>Payments for acquisition of intangible assets</t>
  </si>
  <si>
    <t>Share-based compensation to Sales</t>
  </si>
  <si>
    <t>Mac Average Selling Price (in dollars)</t>
  </si>
  <si>
    <t>Estimates by Product - Mac</t>
  </si>
  <si>
    <t>Total Mac (thousands of units)</t>
  </si>
  <si>
    <t>Blue cells = Primary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</si>
</sst>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5">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x"/>
    <numFmt numFmtId="169" formatCode="0.0_)\%;\(0.0\)\%;0.0_)\%;@_)_%"/>
    <numFmt numFmtId="170" formatCode="#,##0.0_)_%;\(#,##0.0\)_%;0.0_)_%;@_)_%"/>
    <numFmt numFmtId="171" formatCode="#,##0.0_);\(#,##0.0\);#,##0.0_);@_)"/>
    <numFmt numFmtId="172" formatCode="&quot;$&quot;_(#,##0.00_);&quot;$&quot;\(#,##0.00\);&quot;$&quot;_(0.00_);@_)"/>
    <numFmt numFmtId="173" formatCode="#,##0.00_);\(#,##0.00\);0.00_);@_)"/>
    <numFmt numFmtId="174" formatCode="\€_(#,##0.00_);\€\(#,##0.00\);\€_(0.00_);@_)"/>
    <numFmt numFmtId="175" formatCode="#,##0_)\x;\(#,##0\)\x;0_)\x;@_)_x"/>
    <numFmt numFmtId="176" formatCode="#,##0_)_x;\(#,##0\)_x;0_)_x;@_)_x"/>
    <numFmt numFmtId="177" formatCode="* #,##0.00_);\(#,##0.00\)"/>
    <numFmt numFmtId="178" formatCode="&quot;$&quot;#,##0;\-&quot;$&quot;#,##0"/>
    <numFmt numFmtId="179" formatCode="#,##0;\-#,##0;&quot;-&quot;"/>
    <numFmt numFmtId="180" formatCode="0.000000"/>
    <numFmt numFmtId="181" formatCode="_(* #,##0,,_);_(* \(#,##0,,\);_(* &quot;-&quot;_)"/>
    <numFmt numFmtId="182" formatCode="_(* #,##0_);[Red]_(* \(#,##0\);_(* &quot;&quot;&quot;&quot;&quot;&quot;&quot;&quot;\ \-\ &quot;&quot;&quot;&quot;&quot;&quot;&quot;&quot;_);_(@_)"/>
    <numFmt numFmtId="183" formatCode="&quot;£&quot;#,##0;[Red]\-&quot;£&quot;#,##0"/>
    <numFmt numFmtId="184" formatCode="_(* #,##0,_);[Red]_(* \(#,##0,\);_(* &quot;&quot;&quot;&quot;&quot;&quot;&quot;&quot;\ \-\ &quot;&quot;&quot;&quot;&quot;&quot;&quot;&quot;_);_(@_)"/>
    <numFmt numFmtId="185" formatCode="0.00_);[Red]\(0.00\)"/>
    <numFmt numFmtId="186" formatCode="0%;\(0%\);;"/>
    <numFmt numFmtId="187" formatCode="&quot;£&quot;#,##0.00;[Red]\-&quot;£&quot;#,##0.00"/>
    <numFmt numFmtId="188" formatCode="_(* #,##0.000_);_(* \(#,##0.000\);_(* &quot;-&quot;_);_(@_)"/>
    <numFmt numFmtId="189" formatCode="0%;\(0%\);&quot;-&quot;"/>
    <numFmt numFmtId="190" formatCode="_-&quot;£&quot;* #,##0_-;\-&quot;£&quot;* #,##0_-;_-&quot;£&quot;* &quot;-&quot;_-;_-@_-"/>
    <numFmt numFmtId="191" formatCode="_(&quot;$&quot;* #,##0,_);_(&quot;$&quot;* \(#,##0,\);_(&quot;$&quot;* &quot;-&quot;_);_(@_)"/>
    <numFmt numFmtId="192" formatCode="#,##0\ ;\(#,##0.0\)"/>
    <numFmt numFmtId="193" formatCode="0.0"/>
    <numFmt numFmtId="194" formatCode="#,##0.00;\-#,##0.00;&quot;-&quot;"/>
    <numFmt numFmtId="195" formatCode="_._.* \(#,##0\)_%;_._.* #,##0_)_%;_._.* 0_)_%;_._.@_)_%"/>
    <numFmt numFmtId="196" formatCode="_._.&quot;$&quot;* \(#,##0\)_%;_._.&quot;$&quot;* #,##0_)_%;_._.&quot;$&quot;* 0_)_%;_._.@_)_%"/>
    <numFmt numFmtId="197" formatCode="&quot;$&quot;0.00_)"/>
    <numFmt numFmtId="198" formatCode="&quot;SFr.&quot;\ #,##0.00;&quot;SFr.&quot;\ \-#,##0.00"/>
    <numFmt numFmtId="199" formatCode="#,##0;\(#,##0\)"/>
    <numFmt numFmtId="200" formatCode="_([$€-2]* #,##0.00_);_([$€-2]* \(#,##0.00\);_([$€-2]* &quot;-&quot;??_)"/>
    <numFmt numFmtId="201" formatCode="_-* #,##0\ _D_M_-;\-* #,##0\ _D_M_-;_-* &quot;-&quot;\ _D_M_-;_-@_-"/>
    <numFmt numFmtId="202" formatCode="_-* #,##0.00\ _D_M_-;\-* #,##0.00\ _D_M_-;_-* &quot;-&quot;??\ _D_M_-;_-@_-"/>
    <numFmt numFmtId="203" formatCode="_-* #,##0\ &quot;DM&quot;_-;\-* #,##0\ &quot;DM&quot;_-;_-* &quot;-&quot;\ &quot;DM&quot;_-;_-@_-"/>
    <numFmt numFmtId="204" formatCode="_-* #,##0.00\ &quot;DM&quot;_-;\-* #,##0.00\ &quot;DM&quot;_-;_-* &quot;-&quot;??\ &quot;DM&quot;_-;_-@_-"/>
    <numFmt numFmtId="205" formatCode="#,##0.0_);\(#,##0.0\)"/>
    <numFmt numFmtId="206" formatCode="#,##0.0\ ;\(#,##0.0\)"/>
    <numFmt numFmtId="207" formatCode="0%;\(0%\)"/>
    <numFmt numFmtId="208" formatCode="&quot;SFr.&quot;#,##0;[Red]&quot;SFr.&quot;\-#,##0"/>
    <numFmt numFmtId="209" formatCode="#,##0.0000000000;\-#,##0.0000000000"/>
    <numFmt numFmtId="210" formatCode="#,##0.0;\-#,##0.0"/>
    <numFmt numFmtId="211" formatCode="#,##0.000;\-#,##0.000"/>
    <numFmt numFmtId="212" formatCode="#,##0.0000;\-#,##0.0000"/>
    <numFmt numFmtId="213" formatCode="#,##0.00000;\-#,##0.00000"/>
    <numFmt numFmtId="214" formatCode="#,##0.000000;\-#,##0.000000"/>
    <numFmt numFmtId="215" formatCode="#,##0.0000000;\-#,##0.0000000"/>
    <numFmt numFmtId="216" formatCode="#,##0.00000000;\-#,##0.00000000"/>
    <numFmt numFmtId="217" formatCode="#,##0.000000000;\-#,##0.000000000"/>
    <numFmt numFmtId="218" formatCode="#,##0___);\(#,##0.00\)"/>
    <numFmt numFmtId="219" formatCode="#,##0&quot;%&quot;"/>
    <numFmt numFmtId="220" formatCode="#,##0_);[Red]\(#,##0\);&quot;-&quot;"/>
    <numFmt numFmtId="221" formatCode="_-&quot;£&quot;* #,##0.00_-;\-&quot;£&quot;* #,##0.00_-;_-&quot;£&quot;* &quot;-&quot;??_-;_-@_-"/>
    <numFmt numFmtId="222" formatCode="*-"/>
    <numFmt numFmtId="223" formatCode="#,##0;[Red]\(#,##0\)"/>
    <numFmt numFmtId="224" formatCode="_-&quot;$&quot;* #,##0_-;\-&quot;$&quot;* #,##0_-;_-&quot;$&quot;* &quot;-&quot;_-;_-@_-"/>
    <numFmt numFmtId="225" formatCode="_-&quot;$&quot;* #,##0.00_-;\-&quot;$&quot;* #,##0.00_-;_-&quot;$&quot;* &quot;-&quot;??_-;_-@_-"/>
    <numFmt numFmtId="226" formatCode="0\x"/>
    <numFmt numFmtId="227" formatCode="yyyy\-mm\-dd"/>
    <numFmt numFmtId="228" formatCode="0.0000"/>
    <numFmt numFmtId="229" formatCode="&quot;$&quot;#,##0.0_);[Red]\(&quot;$&quot;#,##0.0\)"/>
    <numFmt numFmtId="230" formatCode="&quot;$&quot;#,##0.000_);[Red]\(&quot;$&quot;#,##0.000\)"/>
    <numFmt numFmtId="231" formatCode="&quot;$&quot;#,##0.0"/>
    <numFmt numFmtId="232" formatCode="&quot;$&quot;#,##0.00"/>
  </numFmts>
  <fonts count="81"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b/>
      <sz val="11"/>
      <color theme="9" tint="-0.499984740745262"/>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b/>
      <sz val="11"/>
      <color theme="1" tint="0.14999847407452621"/>
      <name val="Calibri"/>
      <family val="2"/>
      <scheme val="minor"/>
    </font>
    <font>
      <b/>
      <u val="singleAccounting"/>
      <sz val="11"/>
      <color theme="1" tint="0.14999847407452621"/>
      <name val="Calibri"/>
      <family val="2"/>
      <scheme val="minor"/>
    </font>
    <font>
      <b/>
      <sz val="11"/>
      <color theme="3"/>
      <name val="Calibri"/>
      <family val="2"/>
      <scheme val="minor"/>
    </font>
    <font>
      <sz val="11"/>
      <color theme="0"/>
      <name val="Calibri"/>
      <family val="2"/>
      <scheme val="minor"/>
    </font>
    <font>
      <u/>
      <sz val="11"/>
      <color theme="10"/>
      <name val="Calibri"/>
      <family val="2"/>
      <scheme val="minor"/>
    </font>
    <font>
      <i/>
      <sz val="11"/>
      <color theme="1"/>
      <name val="Calibri"/>
      <family val="2"/>
      <scheme val="minor"/>
    </font>
    <font>
      <sz val="11"/>
      <color theme="2"/>
      <name val="Calibri"/>
      <family val="2"/>
      <scheme val="minor"/>
    </font>
    <font>
      <b/>
      <u val="singleAccounting"/>
      <sz val="11"/>
      <name val="Calibri"/>
      <family val="2"/>
      <scheme val="minor"/>
    </font>
    <font>
      <b/>
      <sz val="11"/>
      <color theme="0"/>
      <name val="Calibri"/>
      <family val="2"/>
      <scheme val="minor"/>
    </font>
    <font>
      <i/>
      <sz val="11"/>
      <color rgb="FFFF0000"/>
      <name val="Calibri"/>
      <family val="2"/>
      <scheme val="minor"/>
    </font>
    <font>
      <b/>
      <sz val="11"/>
      <color theme="1" tint="0.249977111117893"/>
      <name val="Calibri"/>
      <family val="2"/>
      <scheme val="minor"/>
    </font>
    <font>
      <b/>
      <i/>
      <sz val="11"/>
      <color theme="1"/>
      <name val="Calibri"/>
      <family val="2"/>
      <scheme val="minor"/>
    </font>
    <font>
      <b/>
      <i/>
      <sz val="11"/>
      <name val="Calibri"/>
      <family val="2"/>
      <scheme val="minor"/>
    </font>
    <font>
      <b/>
      <sz val="11"/>
      <color theme="4" tint="-0.499984740745262"/>
      <name val="Calibri"/>
      <family val="2"/>
      <scheme val="minor"/>
    </font>
  </fonts>
  <fills count="39">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theme="3" tint="-0.49998474074526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7" tint="-0.499984740745262"/>
        <bgColor indexed="64"/>
      </patternFill>
    </fill>
    <fill>
      <patternFill patternType="solid">
        <fgColor theme="0" tint="-0.24994659260841701"/>
        <bgColor indexed="64"/>
      </patternFill>
    </fill>
  </fills>
  <borders count="59">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thin">
        <color auto="1"/>
      </left>
      <right/>
      <top style="thin">
        <color auto="1"/>
      </top>
      <bottom style="thin">
        <color theme="1" tint="0.24994659260841701"/>
      </bottom>
      <diagonal/>
    </border>
    <border>
      <left/>
      <right/>
      <top style="thin">
        <color auto="1"/>
      </top>
      <bottom style="thin">
        <color theme="1" tint="0.24994659260841701"/>
      </bottom>
      <diagonal/>
    </border>
    <border>
      <left/>
      <right style="thin">
        <color auto="1"/>
      </right>
      <top style="thin">
        <color auto="1"/>
      </top>
      <bottom style="thin">
        <color theme="1" tint="0.24994659260841701"/>
      </bottom>
      <diagonal/>
    </border>
    <border>
      <left style="thin">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diagonal/>
    </border>
    <border>
      <left/>
      <right style="thin">
        <color theme="1" tint="0.24994659260841701"/>
      </right>
      <top/>
      <bottom/>
      <diagonal/>
    </border>
    <border>
      <left style="thin">
        <color theme="1" tint="0.24994659260841701"/>
      </left>
      <right/>
      <top/>
      <bottom style="thin">
        <color auto="1"/>
      </bottom>
      <diagonal/>
    </border>
    <border>
      <left/>
      <right style="thin">
        <color theme="1" tint="0.24994659260841701"/>
      </right>
      <top/>
      <bottom style="thin">
        <color auto="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bottom/>
      <diagonal/>
    </border>
    <border>
      <left style="thin">
        <color auto="1"/>
      </left>
      <right style="thin">
        <color theme="1" tint="0.24994659260841701"/>
      </right>
      <top style="thin">
        <color theme="1" tint="0.24994659260841701"/>
      </top>
      <bottom/>
      <diagonal/>
    </border>
    <border>
      <left style="thin">
        <color auto="1"/>
      </left>
      <right style="thin">
        <color theme="1" tint="0.24994659260841701"/>
      </right>
      <top/>
      <bottom/>
      <diagonal/>
    </border>
    <border>
      <left/>
      <right/>
      <top style="thin">
        <color theme="0" tint="-0.24994659260841701"/>
      </top>
      <bottom/>
      <diagonal/>
    </border>
    <border>
      <left/>
      <right style="thin">
        <color auto="1"/>
      </right>
      <top style="thin">
        <color theme="0" tint="-0.24994659260841701"/>
      </top>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lignment vertical="top"/>
    </xf>
    <xf numFmtId="0" fontId="16" fillId="0" borderId="0"/>
    <xf numFmtId="43" fontId="16" fillId="0" borderId="0" applyFont="0" applyFill="0" applyBorder="0" applyAlignment="0" applyProtection="0"/>
    <xf numFmtId="169"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74" fontId="10"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0" fillId="4" borderId="0" applyNumberFormat="0" applyFont="0" applyAlignment="0" applyProtection="0"/>
    <xf numFmtId="175" fontId="10" fillId="0" borderId="0" applyFont="0" applyFill="0" applyBorder="0" applyAlignment="0" applyProtection="0"/>
    <xf numFmtId="176" fontId="10" fillId="0" borderId="0" applyFont="0" applyFill="0" applyBorder="0" applyProtection="0">
      <alignment horizontal="right"/>
    </xf>
    <xf numFmtId="0" fontId="24" fillId="0" borderId="0" applyNumberFormat="0" applyFill="0" applyBorder="0" applyProtection="0">
      <alignment vertical="top"/>
    </xf>
    <xf numFmtId="0" fontId="24" fillId="0" borderId="0" applyNumberFormat="0" applyFill="0" applyBorder="0" applyProtection="0">
      <alignment vertical="top"/>
    </xf>
    <xf numFmtId="0" fontId="24" fillId="0" borderId="0" applyNumberFormat="0" applyFill="0" applyBorder="0" applyProtection="0">
      <alignment vertical="top"/>
    </xf>
    <xf numFmtId="0" fontId="24" fillId="0" borderId="0" applyNumberFormat="0" applyFill="0" applyBorder="0" applyProtection="0">
      <alignment vertical="top"/>
    </xf>
    <xf numFmtId="0" fontId="24" fillId="0" borderId="0" applyNumberFormat="0" applyFill="0" applyBorder="0" applyProtection="0">
      <alignment vertical="top"/>
    </xf>
    <xf numFmtId="0" fontId="25" fillId="0" borderId="17" applyNumberFormat="0" applyFill="0" applyAlignment="0" applyProtection="0"/>
    <xf numFmtId="0" fontId="26" fillId="0" borderId="18" applyNumberFormat="0" applyFill="0" applyProtection="0">
      <alignment horizontal="center"/>
    </xf>
    <xf numFmtId="0" fontId="26" fillId="0" borderId="0" applyNumberFormat="0" applyFill="0" applyBorder="0" applyProtection="0">
      <alignment horizontal="left"/>
    </xf>
    <xf numFmtId="0" fontId="27" fillId="0" borderId="0" applyNumberFormat="0" applyFill="0" applyBorder="0" applyProtection="0">
      <alignment horizontal="centerContinuous"/>
    </xf>
    <xf numFmtId="0" fontId="28" fillId="0" borderId="0" applyNumberFormat="0" applyFill="0" applyBorder="0" applyAlignment="0" applyProtection="0"/>
    <xf numFmtId="0" fontId="29" fillId="0" borderId="0"/>
    <xf numFmtId="177" fontId="30" fillId="0" borderId="0">
      <alignment horizontal="center"/>
    </xf>
    <xf numFmtId="37" fontId="31" fillId="0" borderId="0"/>
    <xf numFmtId="37" fontId="32" fillId="0" borderId="0"/>
    <xf numFmtId="178" fontId="33" fillId="0" borderId="2"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33" fillId="0" borderId="2"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33" fillId="0" borderId="2"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1" fillId="0" borderId="0" applyAlignment="0" applyProtection="0"/>
    <xf numFmtId="178" fontId="33" fillId="0" borderId="2" applyAlignment="0" applyProtection="0"/>
    <xf numFmtId="178" fontId="1" fillId="0" borderId="0" applyAlignment="0" applyProtection="0"/>
    <xf numFmtId="178" fontId="1" fillId="0" borderId="0" applyAlignment="0" applyProtection="0"/>
    <xf numFmtId="178" fontId="1" fillId="0" borderId="0" applyAlignment="0" applyProtection="0"/>
    <xf numFmtId="178" fontId="33" fillId="0" borderId="2" applyAlignment="0" applyProtection="0"/>
    <xf numFmtId="178" fontId="33" fillId="0" borderId="2" applyAlignment="0" applyProtection="0"/>
    <xf numFmtId="178" fontId="33" fillId="0" borderId="2" applyAlignment="0" applyProtection="0"/>
    <xf numFmtId="178" fontId="33" fillId="0" borderId="2" applyAlignment="0" applyProtection="0"/>
    <xf numFmtId="178" fontId="1" fillId="0" borderId="0" applyAlignment="0" applyProtection="0"/>
    <xf numFmtId="179" fontId="34" fillId="0" borderId="0" applyFill="0" applyBorder="0" applyAlignment="0"/>
    <xf numFmtId="180" fontId="10" fillId="0" borderId="0" applyFill="0" applyBorder="0" applyAlignment="0"/>
    <xf numFmtId="181" fontId="10" fillId="0" borderId="0" applyFill="0" applyBorder="0" applyAlignment="0"/>
    <xf numFmtId="164" fontId="10" fillId="0" borderId="0" applyFill="0" applyBorder="0" applyAlignment="0"/>
    <xf numFmtId="182" fontId="10" fillId="0" borderId="0" applyFill="0" applyBorder="0" applyAlignment="0"/>
    <xf numFmtId="183" fontId="10" fillId="0" borderId="0" applyFill="0" applyBorder="0" applyAlignment="0"/>
    <xf numFmtId="184" fontId="10" fillId="0" borderId="0" applyFill="0" applyBorder="0" applyAlignment="0"/>
    <xf numFmtId="185" fontId="10" fillId="0" borderId="0" applyFill="0" applyBorder="0" applyAlignment="0"/>
    <xf numFmtId="186" fontId="10" fillId="0" borderId="0" applyFill="0" applyBorder="0" applyAlignment="0"/>
    <xf numFmtId="187" fontId="10" fillId="0" borderId="0" applyFill="0" applyBorder="0" applyAlignment="0"/>
    <xf numFmtId="179" fontId="34" fillId="0" borderId="0" applyFill="0" applyBorder="0" applyAlignment="0"/>
    <xf numFmtId="188" fontId="10" fillId="0" borderId="0" applyFill="0" applyBorder="0" applyAlignment="0"/>
    <xf numFmtId="189" fontId="10" fillId="0" borderId="0" applyFill="0" applyBorder="0" applyAlignment="0"/>
    <xf numFmtId="190" fontId="10" fillId="0" borderId="0" applyFill="0" applyBorder="0" applyAlignment="0"/>
    <xf numFmtId="181" fontId="10" fillId="0" borderId="0" applyFill="0" applyBorder="0" applyAlignment="0"/>
    <xf numFmtId="164" fontId="10" fillId="0" borderId="0" applyFill="0" applyBorder="0" applyAlignment="0"/>
    <xf numFmtId="0" fontId="35" fillId="0" borderId="0" applyFill="0" applyBorder="0" applyProtection="0">
      <alignment horizontal="center"/>
      <protection locked="0"/>
    </xf>
    <xf numFmtId="0" fontId="36" fillId="0" borderId="0"/>
    <xf numFmtId="191" fontId="10" fillId="0" borderId="0"/>
    <xf numFmtId="191" fontId="10" fillId="0" borderId="0"/>
    <xf numFmtId="191" fontId="10" fillId="0" borderId="0"/>
    <xf numFmtId="191" fontId="10" fillId="0" borderId="0"/>
    <xf numFmtId="191" fontId="10" fillId="0" borderId="0"/>
    <xf numFmtId="191" fontId="10" fillId="0" borderId="0"/>
    <xf numFmtId="191" fontId="10" fillId="0" borderId="0"/>
    <xf numFmtId="191" fontId="10" fillId="0" borderId="0"/>
    <xf numFmtId="192" fontId="36" fillId="0" borderId="7"/>
    <xf numFmtId="193" fontId="1" fillId="0" borderId="0"/>
    <xf numFmtId="0" fontId="29" fillId="0" borderId="7"/>
    <xf numFmtId="193" fontId="1" fillId="0" borderId="0"/>
    <xf numFmtId="179" fontId="10" fillId="0" borderId="0" applyFont="0" applyFill="0" applyBorder="0" applyAlignment="0" applyProtection="0"/>
    <xf numFmtId="188" fontId="10" fillId="0" borderId="0" applyFont="0" applyFill="0" applyBorder="0" applyAlignment="0" applyProtection="0"/>
    <xf numFmtId="43" fontId="10" fillId="0" borderId="0" applyFont="0" applyFill="0" applyBorder="0" applyAlignment="0" applyProtection="0">
      <alignment wrapText="1"/>
    </xf>
    <xf numFmtId="43" fontId="1" fillId="0" borderId="0" applyFont="0" applyFill="0" applyBorder="0" applyAlignment="0" applyProtection="0"/>
    <xf numFmtId="43" fontId="10" fillId="0" borderId="0" applyFont="0" applyFill="0" applyBorder="0" applyAlignment="0" applyProtection="0">
      <alignment wrapText="1"/>
    </xf>
    <xf numFmtId="43" fontId="10" fillId="0" borderId="0" applyFont="0" applyFill="0" applyBorder="0" applyAlignment="0" applyProtection="0">
      <alignment wrapText="1"/>
    </xf>
    <xf numFmtId="43" fontId="10" fillId="0" borderId="0" applyFont="0" applyFill="0" applyBorder="0" applyAlignment="0" applyProtection="0"/>
    <xf numFmtId="4" fontId="36" fillId="0" borderId="0" applyFont="0" applyFill="0" applyBorder="0" applyAlignment="0" applyProtection="0"/>
    <xf numFmtId="4" fontId="36"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37" fillId="0" borderId="0" applyFont="0" applyFill="0" applyBorder="0" applyAlignment="0" applyProtection="0"/>
    <xf numFmtId="4" fontId="1" fillId="0" borderId="0" applyFont="0" applyFill="0" applyBorder="0" applyAlignment="0" applyProtection="0"/>
    <xf numFmtId="4" fontId="2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38" fillId="0" borderId="0" applyNumberFormat="0" applyFill="0" applyBorder="0" applyAlignment="0" applyProtection="0"/>
    <xf numFmtId="0" fontId="39" fillId="0" borderId="0" applyFill="0" applyBorder="0" applyAlignment="0" applyProtection="0">
      <protection locked="0"/>
    </xf>
    <xf numFmtId="194" fontId="10" fillId="0" borderId="0">
      <alignment horizontal="center"/>
    </xf>
    <xf numFmtId="195" fontId="40" fillId="0" borderId="0" applyFill="0" applyBorder="0" applyProtection="0"/>
    <xf numFmtId="196" fontId="41" fillId="0" borderId="0" applyFont="0" applyFill="0" applyBorder="0" applyAlignment="0" applyProtection="0"/>
    <xf numFmtId="197" fontId="42" fillId="0" borderId="19">
      <protection hidden="1"/>
    </xf>
    <xf numFmtId="181" fontId="10" fillId="0" borderId="0" applyFont="0" applyFill="0" applyBorder="0" applyAlignment="0" applyProtection="0"/>
    <xf numFmtId="164" fontId="10" fillId="0" borderId="0" applyFont="0" applyFill="0" applyBorder="0" applyAlignment="0" applyProtection="0"/>
    <xf numFmtId="8" fontId="1" fillId="0" borderId="0" applyFont="0" applyFill="0" applyBorder="0" applyAlignment="0" applyProtection="0"/>
    <xf numFmtId="44" fontId="10" fillId="0" borderId="0" applyFont="0" applyFill="0" applyBorder="0" applyAlignment="0" applyProtection="0"/>
    <xf numFmtId="0" fontId="38" fillId="0" borderId="0" applyNumberFormat="0" applyFill="0" applyBorder="0" applyAlignment="0" applyProtection="0"/>
    <xf numFmtId="1" fontId="30" fillId="0" borderId="0"/>
    <xf numFmtId="14" fontId="43" fillId="0" borderId="0">
      <alignment horizontal="center"/>
    </xf>
    <xf numFmtId="14" fontId="34" fillId="0" borderId="0" applyFill="0" applyBorder="0" applyAlignment="0"/>
    <xf numFmtId="15" fontId="44" fillId="5" borderId="0" applyNumberFormat="0" applyFont="0" applyFill="0" applyBorder="0" applyAlignment="0">
      <alignment horizontal="center" wrapText="1"/>
    </xf>
    <xf numFmtId="0" fontId="34" fillId="0" borderId="16" applyNumberFormat="0" applyFill="0" applyBorder="0" applyAlignment="0" applyProtection="0"/>
    <xf numFmtId="198" fontId="36" fillId="0" borderId="0" applyFont="0" applyFill="0" applyBorder="0" applyAlignment="0" applyProtection="0"/>
    <xf numFmtId="199" fontId="41" fillId="0" borderId="0" applyFont="0" applyFill="0" applyBorder="0" applyAlignment="0" applyProtection="0"/>
    <xf numFmtId="179" fontId="45" fillId="0" borderId="0" applyFill="0" applyBorder="0" applyAlignment="0"/>
    <xf numFmtId="188" fontId="10" fillId="0" borderId="0" applyFill="0" applyBorder="0" applyAlignment="0"/>
    <xf numFmtId="181" fontId="10" fillId="0" borderId="0" applyFill="0" applyBorder="0" applyAlignment="0"/>
    <xf numFmtId="164" fontId="10" fillId="0" borderId="0" applyFill="0" applyBorder="0" applyAlignment="0"/>
    <xf numFmtId="179" fontId="45" fillId="0" borderId="0" applyFill="0" applyBorder="0" applyAlignment="0"/>
    <xf numFmtId="188" fontId="10" fillId="0" borderId="0" applyFill="0" applyBorder="0" applyAlignment="0"/>
    <xf numFmtId="189" fontId="10" fillId="0" borderId="0" applyFill="0" applyBorder="0" applyAlignment="0"/>
    <xf numFmtId="190" fontId="10" fillId="0" borderId="0" applyFill="0" applyBorder="0" applyAlignment="0"/>
    <xf numFmtId="181" fontId="10" fillId="0" borderId="0" applyFill="0" applyBorder="0" applyAlignment="0"/>
    <xf numFmtId="164" fontId="10" fillId="0" borderId="0" applyFill="0" applyBorder="0" applyAlignment="0"/>
    <xf numFmtId="197" fontId="42" fillId="0" borderId="19">
      <protection hidden="1"/>
    </xf>
    <xf numFmtId="200" fontId="10" fillId="0" borderId="0" applyFont="0" applyFill="0" applyBorder="0" applyAlignment="0" applyProtection="0"/>
    <xf numFmtId="38" fontId="46" fillId="5" borderId="0" applyNumberFormat="0" applyBorder="0" applyAlignment="0" applyProtection="0"/>
    <xf numFmtId="0" fontId="47" fillId="0" borderId="20" applyNumberFormat="0" applyAlignment="0" applyProtection="0">
      <alignment horizontal="left" vertical="center"/>
    </xf>
    <xf numFmtId="0" fontId="47"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7"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7"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7"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47" fillId="0" borderId="9">
      <alignment horizontal="left" vertical="center"/>
    </xf>
    <xf numFmtId="0" fontId="1" fillId="0" borderId="0">
      <alignment horizontal="left" vertical="center"/>
    </xf>
    <xf numFmtId="14" fontId="48" fillId="6" borderId="19">
      <alignment horizontal="center" vertical="center" wrapText="1"/>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5" fillId="0" borderId="0" applyFill="0" applyAlignment="0" applyProtection="0">
      <protection locked="0"/>
    </xf>
    <xf numFmtId="0" fontId="35" fillId="0" borderId="7" applyFill="0" applyAlignment="0" applyProtection="0">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10" fontId="46" fillId="7" borderId="16" applyNumberFormat="0" applyBorder="0" applyAlignment="0" applyProtection="0"/>
    <xf numFmtId="179" fontId="52" fillId="0" borderId="0" applyFill="0" applyBorder="0" applyAlignment="0"/>
    <xf numFmtId="188" fontId="10" fillId="0" borderId="0" applyFill="0" applyBorder="0" applyAlignment="0"/>
    <xf numFmtId="181" fontId="10" fillId="0" borderId="0" applyFill="0" applyBorder="0" applyAlignment="0"/>
    <xf numFmtId="164" fontId="10" fillId="0" borderId="0" applyFill="0" applyBorder="0" applyAlignment="0"/>
    <xf numFmtId="179" fontId="52" fillId="0" borderId="0" applyFill="0" applyBorder="0" applyAlignment="0"/>
    <xf numFmtId="188" fontId="10" fillId="0" borderId="0" applyFill="0" applyBorder="0" applyAlignment="0"/>
    <xf numFmtId="189" fontId="10" fillId="0" borderId="0" applyFill="0" applyBorder="0" applyAlignment="0"/>
    <xf numFmtId="190" fontId="10" fillId="0" borderId="0" applyFill="0" applyBorder="0" applyAlignment="0"/>
    <xf numFmtId="181" fontId="10" fillId="0" borderId="0" applyFill="0" applyBorder="0" applyAlignment="0"/>
    <xf numFmtId="164" fontId="10" fillId="0" borderId="0" applyFill="0" applyBorder="0" applyAlignment="0"/>
    <xf numFmtId="201" fontId="10" fillId="0" borderId="0" applyFont="0" applyFill="0" applyBorder="0" applyAlignment="0" applyProtection="0"/>
    <xf numFmtId="202" fontId="10" fillId="0" borderId="0" applyFont="0" applyFill="0" applyBorder="0" applyAlignment="0" applyProtection="0"/>
    <xf numFmtId="38" fontId="53" fillId="0" borderId="0" applyFont="0" applyFill="0" applyBorder="0" applyAlignment="0" applyProtection="0"/>
    <xf numFmtId="40" fontId="53" fillId="0" borderId="0" applyFont="0" applyFill="0" applyBorder="0" applyAlignment="0" applyProtection="0"/>
    <xf numFmtId="203" fontId="10" fillId="0" borderId="0" applyFont="0" applyFill="0" applyBorder="0" applyAlignment="0" applyProtection="0"/>
    <xf numFmtId="204" fontId="10" fillId="0" borderId="0" applyFont="0" applyFill="0" applyBorder="0" applyAlignment="0" applyProtection="0"/>
    <xf numFmtId="6" fontId="53" fillId="0" borderId="0" applyFont="0" applyFill="0" applyBorder="0" applyAlignment="0" applyProtection="0"/>
    <xf numFmtId="8" fontId="53" fillId="0" borderId="0" applyFont="0" applyFill="0" applyBorder="0" applyAlignment="0" applyProtection="0"/>
    <xf numFmtId="205" fontId="30" fillId="0" borderId="7"/>
    <xf numFmtId="37" fontId="54" fillId="0" borderId="0"/>
    <xf numFmtId="206" fontId="36" fillId="0" borderId="0"/>
    <xf numFmtId="206" fontId="1" fillId="0" borderId="0"/>
    <xf numFmtId="207" fontId="10" fillId="0" borderId="0"/>
    <xf numFmtId="208" fontId="10" fillId="0" borderId="0"/>
    <xf numFmtId="0" fontId="55" fillId="0" borderId="0"/>
    <xf numFmtId="0" fontId="55" fillId="0" borderId="0"/>
    <xf numFmtId="0" fontId="55" fillId="0" borderId="0"/>
    <xf numFmtId="0" fontId="55" fillId="0" borderId="0"/>
    <xf numFmtId="0" fontId="10" fillId="0" borderId="0"/>
    <xf numFmtId="0" fontId="10" fillId="0" borderId="0"/>
    <xf numFmtId="0" fontId="1" fillId="0" borderId="0"/>
    <xf numFmtId="0" fontId="10" fillId="0" borderId="0"/>
    <xf numFmtId="0" fontId="10" fillId="0" borderId="0">
      <alignment wrapText="1"/>
    </xf>
    <xf numFmtId="0" fontId="10" fillId="0" borderId="0"/>
    <xf numFmtId="0" fontId="56" fillId="0" borderId="0"/>
    <xf numFmtId="0" fontId="10" fillId="0" borderId="0"/>
    <xf numFmtId="0" fontId="10" fillId="0" borderId="0"/>
    <xf numFmtId="37" fontId="57" fillId="0" borderId="0"/>
    <xf numFmtId="0" fontId="1" fillId="0" borderId="0"/>
    <xf numFmtId="0" fontId="1" fillId="0" borderId="0"/>
    <xf numFmtId="0" fontId="10" fillId="0" borderId="0">
      <alignment wrapText="1"/>
    </xf>
    <xf numFmtId="0" fontId="10" fillId="0" borderId="0"/>
    <xf numFmtId="37" fontId="57" fillId="0" borderId="0"/>
    <xf numFmtId="0" fontId="10" fillId="0" borderId="0"/>
    <xf numFmtId="37" fontId="57" fillId="0" borderId="0"/>
    <xf numFmtId="0" fontId="1" fillId="0" borderId="0"/>
    <xf numFmtId="0" fontId="37" fillId="0" borderId="0"/>
    <xf numFmtId="37" fontId="1" fillId="0" borderId="0"/>
    <xf numFmtId="0" fontId="1" fillId="0" borderId="0"/>
    <xf numFmtId="37" fontId="1" fillId="0" borderId="0"/>
    <xf numFmtId="0" fontId="10" fillId="0" borderId="0">
      <alignment wrapText="1"/>
    </xf>
    <xf numFmtId="37" fontId="58" fillId="0" borderId="0"/>
    <xf numFmtId="0" fontId="10" fillId="0" borderId="0"/>
    <xf numFmtId="37" fontId="10" fillId="0" borderId="0"/>
    <xf numFmtId="37" fontId="10" fillId="0" borderId="0"/>
    <xf numFmtId="209" fontId="10" fillId="0" borderId="0"/>
    <xf numFmtId="210" fontId="10" fillId="0" borderId="0"/>
    <xf numFmtId="39" fontId="10" fillId="0" borderId="0"/>
    <xf numFmtId="39" fontId="10" fillId="0" borderId="0"/>
    <xf numFmtId="211" fontId="10" fillId="0" borderId="0"/>
    <xf numFmtId="212" fontId="10" fillId="0" borderId="0"/>
    <xf numFmtId="213" fontId="10" fillId="0" borderId="0"/>
    <xf numFmtId="214" fontId="10" fillId="0" borderId="0"/>
    <xf numFmtId="215" fontId="10" fillId="0" borderId="0"/>
    <xf numFmtId="216" fontId="10" fillId="0" borderId="0"/>
    <xf numFmtId="217" fontId="10" fillId="0" borderId="0"/>
    <xf numFmtId="218" fontId="53" fillId="0" borderId="0"/>
    <xf numFmtId="219" fontId="42" fillId="0" borderId="0">
      <protection hidden="1"/>
    </xf>
    <xf numFmtId="186" fontId="10" fillId="0" borderId="0" applyFont="0" applyFill="0" applyBorder="0" applyAlignment="0" applyProtection="0"/>
    <xf numFmtId="187" fontId="10" fillId="0" borderId="0" applyFont="0" applyFill="0" applyBorder="0" applyAlignment="0" applyProtection="0"/>
    <xf numFmtId="207" fontId="10" fillId="0" borderId="0" applyFont="0" applyFill="0" applyBorder="0" applyAlignment="0" applyProtection="0"/>
    <xf numFmtId="208" fontId="10" fillId="0" borderId="0" applyFont="0" applyFill="0" applyBorder="0" applyAlignment="0" applyProtection="0"/>
    <xf numFmtId="10" fontId="10" fillId="0" borderId="0" applyFont="0" applyFill="0" applyBorder="0" applyAlignment="0" applyProtection="0"/>
    <xf numFmtId="9" fontId="59" fillId="0" borderId="0" applyFont="0" applyFill="0" applyBorder="0" applyAlignment="0" applyProtection="0"/>
    <xf numFmtId="9" fontId="3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3" fillId="0" borderId="21" applyNumberFormat="0" applyBorder="0"/>
    <xf numFmtId="205" fontId="30" fillId="0" borderId="0"/>
    <xf numFmtId="0" fontId="60" fillId="8" borderId="22" applyNumberFormat="0" applyFont="0" applyFill="0" applyAlignment="0">
      <alignment horizontal="center" vertical="center"/>
    </xf>
    <xf numFmtId="179" fontId="61" fillId="0" borderId="0" applyFill="0" applyBorder="0" applyAlignment="0"/>
    <xf numFmtId="188" fontId="10" fillId="0" borderId="0" applyFill="0" applyBorder="0" applyAlignment="0"/>
    <xf numFmtId="181" fontId="10" fillId="0" borderId="0" applyFill="0" applyBorder="0" applyAlignment="0"/>
    <xf numFmtId="164" fontId="10" fillId="0" borderId="0" applyFill="0" applyBorder="0" applyAlignment="0"/>
    <xf numFmtId="179" fontId="61" fillId="0" borderId="0" applyFill="0" applyBorder="0" applyAlignment="0"/>
    <xf numFmtId="188" fontId="10" fillId="0" borderId="0" applyFill="0" applyBorder="0" applyAlignment="0"/>
    <xf numFmtId="189" fontId="10" fillId="0" borderId="0" applyFill="0" applyBorder="0" applyAlignment="0"/>
    <xf numFmtId="190" fontId="10" fillId="0" borderId="0" applyFill="0" applyBorder="0" applyAlignment="0"/>
    <xf numFmtId="181" fontId="10" fillId="0" borderId="0" applyFill="0" applyBorder="0" applyAlignment="0"/>
    <xf numFmtId="164" fontId="10" fillId="0" borderId="0" applyFill="0" applyBorder="0" applyAlignment="0"/>
    <xf numFmtId="37" fontId="57" fillId="0" borderId="23"/>
    <xf numFmtId="0" fontId="62" fillId="0" borderId="0"/>
    <xf numFmtId="0" fontId="36" fillId="0" borderId="0"/>
    <xf numFmtId="0" fontId="53" fillId="0" borderId="0"/>
    <xf numFmtId="37" fontId="63" fillId="0" borderId="19">
      <alignment horizontal="right"/>
      <protection locked="0"/>
    </xf>
    <xf numFmtId="37" fontId="64" fillId="0" borderId="19">
      <alignment horizontal="right"/>
      <protection locked="0"/>
    </xf>
    <xf numFmtId="49" fontId="34" fillId="0" borderId="0" applyFill="0" applyBorder="0" applyAlignment="0"/>
    <xf numFmtId="220" fontId="10" fillId="0" borderId="0" applyFill="0" applyBorder="0" applyAlignment="0"/>
    <xf numFmtId="221" fontId="10" fillId="0" borderId="0" applyFill="0" applyBorder="0" applyAlignment="0"/>
    <xf numFmtId="222" fontId="10" fillId="0" borderId="0" applyFill="0" applyBorder="0" applyAlignment="0"/>
    <xf numFmtId="223" fontId="10" fillId="0" borderId="0" applyFill="0" applyBorder="0" applyAlignment="0"/>
    <xf numFmtId="49" fontId="10" fillId="0" borderId="0"/>
    <xf numFmtId="0" fontId="65" fillId="0" borderId="0" applyFill="0" applyBorder="0" applyProtection="0">
      <alignment horizontal="left" vertical="top"/>
    </xf>
    <xf numFmtId="40" fontId="66"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7" fontId="57" fillId="0" borderId="7"/>
    <xf numFmtId="37" fontId="57" fillId="0" borderId="24"/>
    <xf numFmtId="224" fontId="10" fillId="0" borderId="0" applyFont="0" applyFill="0" applyBorder="0" applyAlignment="0" applyProtection="0"/>
    <xf numFmtId="225" fontId="10" fillId="0" borderId="0" applyFont="0" applyFill="0" applyBorder="0" applyAlignment="0" applyProtection="0"/>
    <xf numFmtId="0" fontId="10" fillId="0" borderId="0"/>
    <xf numFmtId="0" fontId="10" fillId="0" borderId="0"/>
    <xf numFmtId="0" fontId="71" fillId="0" borderId="0" applyNumberFormat="0" applyFill="0" applyBorder="0" applyAlignment="0" applyProtection="0"/>
  </cellStyleXfs>
  <cellXfs count="785">
    <xf numFmtId="0" fontId="0" fillId="0" borderId="0" xfId="0"/>
    <xf numFmtId="164" fontId="0" fillId="0" borderId="0" xfId="1" applyNumberFormat="1" applyFont="1" applyAlignment="1">
      <alignment horizontal="right"/>
    </xf>
    <xf numFmtId="164" fontId="3" fillId="0" borderId="0" xfId="1" quotePrefix="1" applyNumberFormat="1" applyFont="1" applyBorder="1" applyAlignment="1">
      <alignment horizontal="right"/>
    </xf>
    <xf numFmtId="164" fontId="3" fillId="0" borderId="0" xfId="1" quotePrefix="1" applyNumberFormat="1" applyFont="1" applyFill="1" applyBorder="1" applyAlignment="1">
      <alignment horizontal="right"/>
    </xf>
    <xf numFmtId="165" fontId="0" fillId="0" borderId="5" xfId="1" applyNumberFormat="1" applyFont="1" applyBorder="1" applyAlignment="1">
      <alignment horizontal="right"/>
    </xf>
    <xf numFmtId="165" fontId="0" fillId="0" borderId="0" xfId="1" applyNumberFormat="1" applyFont="1" applyBorder="1" applyAlignment="1">
      <alignment horizontal="right"/>
    </xf>
    <xf numFmtId="0" fontId="0" fillId="0" borderId="0" xfId="0" applyAlignment="1">
      <alignment horizontal="right"/>
    </xf>
    <xf numFmtId="165" fontId="4" fillId="0" borderId="5" xfId="1" applyNumberFormat="1" applyFont="1" applyBorder="1" applyAlignment="1">
      <alignment horizontal="right"/>
    </xf>
    <xf numFmtId="165" fontId="4" fillId="0" borderId="0" xfId="1" applyNumberFormat="1" applyFont="1" applyBorder="1" applyAlignment="1">
      <alignment horizontal="right"/>
    </xf>
    <xf numFmtId="165" fontId="2" fillId="0" borderId="5" xfId="1" applyNumberFormat="1" applyFont="1" applyBorder="1" applyAlignment="1">
      <alignment horizontal="right"/>
    </xf>
    <xf numFmtId="165" fontId="2" fillId="0" borderId="0" xfId="1" applyNumberFormat="1" applyFont="1" applyBorder="1" applyAlignment="1">
      <alignment horizontal="right"/>
    </xf>
    <xf numFmtId="0" fontId="0" fillId="0" borderId="3" xfId="0" applyFont="1" applyBorder="1"/>
    <xf numFmtId="165" fontId="1" fillId="0" borderId="5" xfId="1" applyNumberFormat="1" applyFont="1" applyBorder="1" applyAlignment="1">
      <alignment horizontal="right"/>
    </xf>
    <xf numFmtId="165" fontId="1" fillId="0" borderId="0" xfId="1" applyNumberFormat="1" applyFont="1" applyBorder="1" applyAlignment="1">
      <alignment horizontal="right"/>
    </xf>
    <xf numFmtId="165" fontId="2" fillId="0" borderId="3" xfId="1" applyNumberFormat="1" applyFont="1" applyBorder="1" applyAlignment="1">
      <alignment horizontal="right"/>
    </xf>
    <xf numFmtId="165" fontId="2" fillId="0" borderId="4" xfId="1" applyNumberFormat="1" applyFont="1" applyBorder="1" applyAlignment="1">
      <alignment horizontal="right"/>
    </xf>
    <xf numFmtId="9" fontId="0" fillId="0" borderId="5" xfId="2" applyFont="1" applyBorder="1" applyAlignment="1">
      <alignment horizontal="right"/>
    </xf>
    <xf numFmtId="0" fontId="0" fillId="0" borderId="3" xfId="0" applyFont="1" applyFill="1" applyBorder="1"/>
    <xf numFmtId="165" fontId="1" fillId="0" borderId="5" xfId="1" applyNumberFormat="1" applyFont="1" applyFill="1" applyBorder="1" applyAlignment="1">
      <alignment horizontal="right"/>
    </xf>
    <xf numFmtId="43" fontId="2" fillId="0" borderId="0" xfId="1" applyNumberFormat="1" applyFont="1" applyFill="1" applyBorder="1" applyAlignment="1">
      <alignment horizontal="right"/>
    </xf>
    <xf numFmtId="165" fontId="6" fillId="0" borderId="0" xfId="1" applyNumberFormat="1" applyFont="1" applyBorder="1" applyAlignment="1">
      <alignment horizontal="right"/>
    </xf>
    <xf numFmtId="165" fontId="5" fillId="0" borderId="0" xfId="1" applyNumberFormat="1" applyFont="1" applyBorder="1" applyAlignment="1">
      <alignment horizontal="right"/>
    </xf>
    <xf numFmtId="165" fontId="5" fillId="0" borderId="3" xfId="1" applyNumberFormat="1" applyFont="1" applyBorder="1" applyAlignment="1">
      <alignment horizontal="right"/>
    </xf>
    <xf numFmtId="9" fontId="6" fillId="0" borderId="0" xfId="2" applyFont="1" applyBorder="1" applyAlignment="1">
      <alignment horizontal="right"/>
    </xf>
    <xf numFmtId="165" fontId="8" fillId="0" borderId="0" xfId="1" applyNumberFormat="1" applyFont="1" applyBorder="1" applyAlignment="1">
      <alignment horizontal="right"/>
    </xf>
    <xf numFmtId="165" fontId="8" fillId="0" borderId="5" xfId="1" applyNumberFormat="1" applyFont="1" applyBorder="1" applyAlignment="1">
      <alignment horizontal="right"/>
    </xf>
    <xf numFmtId="9" fontId="0" fillId="0" borderId="0" xfId="2" applyFont="1" applyBorder="1" applyAlignment="1">
      <alignment horizontal="right"/>
    </xf>
    <xf numFmtId="0" fontId="9" fillId="0" borderId="3" xfId="0" applyFont="1" applyBorder="1"/>
    <xf numFmtId="165" fontId="2" fillId="0" borderId="8" xfId="1" applyNumberFormat="1" applyFont="1" applyBorder="1" applyAlignment="1">
      <alignment horizontal="right"/>
    </xf>
    <xf numFmtId="165" fontId="2" fillId="0" borderId="7" xfId="1" applyNumberFormat="1" applyFont="1" applyBorder="1" applyAlignment="1">
      <alignment horizontal="right"/>
    </xf>
    <xf numFmtId="9" fontId="5" fillId="0" borderId="0" xfId="2" applyFont="1" applyBorder="1" applyAlignment="1">
      <alignment horizontal="right"/>
    </xf>
    <xf numFmtId="9" fontId="8" fillId="0" borderId="0" xfId="2" applyFont="1" applyBorder="1" applyAlignment="1">
      <alignment horizontal="right"/>
    </xf>
    <xf numFmtId="9" fontId="8" fillId="0" borderId="5" xfId="2" applyFont="1" applyBorder="1" applyAlignment="1">
      <alignment horizontal="right"/>
    </xf>
    <xf numFmtId="0" fontId="0" fillId="0" borderId="0" xfId="0" applyBorder="1" applyAlignment="1">
      <alignment vertical="top" wrapText="1"/>
    </xf>
    <xf numFmtId="165" fontId="4" fillId="0" borderId="3" xfId="1" applyNumberFormat="1" applyFont="1" applyBorder="1" applyAlignment="1">
      <alignment horizontal="right"/>
    </xf>
    <xf numFmtId="165" fontId="4" fillId="0" borderId="4" xfId="1" applyNumberFormat="1" applyFont="1" applyBorder="1" applyAlignment="1">
      <alignment horizontal="right"/>
    </xf>
    <xf numFmtId="165" fontId="0" fillId="0" borderId="3" xfId="1" applyNumberFormat="1" applyFont="1" applyBorder="1" applyAlignment="1">
      <alignment horizontal="right"/>
    </xf>
    <xf numFmtId="165" fontId="0" fillId="0" borderId="4" xfId="1" applyNumberFormat="1" applyFont="1" applyBorder="1" applyAlignment="1">
      <alignment horizontal="right"/>
    </xf>
    <xf numFmtId="165" fontId="1" fillId="0" borderId="3" xfId="1" applyNumberFormat="1" applyFont="1" applyBorder="1" applyAlignment="1">
      <alignment horizontal="right"/>
    </xf>
    <xf numFmtId="165" fontId="1" fillId="0" borderId="4" xfId="1" applyNumberFormat="1" applyFont="1" applyBorder="1" applyAlignment="1">
      <alignment horizontal="right"/>
    </xf>
    <xf numFmtId="165" fontId="2" fillId="0" borderId="6" xfId="1" applyNumberFormat="1" applyFont="1" applyBorder="1" applyAlignment="1">
      <alignment horizontal="right"/>
    </xf>
    <xf numFmtId="165" fontId="2" fillId="0" borderId="10" xfId="1" applyNumberFormat="1" applyFont="1" applyBorder="1" applyAlignment="1">
      <alignment horizontal="right"/>
    </xf>
    <xf numFmtId="9" fontId="0" fillId="0" borderId="4" xfId="2" applyFont="1" applyBorder="1" applyAlignment="1">
      <alignment horizontal="right"/>
    </xf>
    <xf numFmtId="164" fontId="0" fillId="0" borderId="0" xfId="1" applyNumberFormat="1" applyFont="1" applyFill="1" applyAlignment="1">
      <alignment horizontal="right"/>
    </xf>
    <xf numFmtId="165" fontId="11" fillId="0" borderId="0" xfId="1" applyNumberFormat="1" applyFont="1" applyBorder="1" applyAlignment="1">
      <alignment horizontal="right"/>
    </xf>
    <xf numFmtId="165" fontId="11" fillId="0" borderId="5" xfId="1" applyNumberFormat="1" applyFont="1" applyBorder="1" applyAlignment="1">
      <alignment horizontal="right"/>
    </xf>
    <xf numFmtId="165" fontId="12" fillId="0" borderId="5" xfId="1" applyNumberFormat="1" applyFont="1" applyBorder="1" applyAlignment="1">
      <alignment horizontal="right"/>
    </xf>
    <xf numFmtId="165" fontId="13" fillId="0" borderId="0" xfId="1" applyNumberFormat="1" applyFont="1" applyBorder="1" applyAlignment="1">
      <alignment horizontal="right"/>
    </xf>
    <xf numFmtId="165" fontId="13" fillId="0" borderId="5" xfId="1" applyNumberFormat="1" applyFont="1" applyBorder="1" applyAlignment="1">
      <alignment horizontal="right"/>
    </xf>
    <xf numFmtId="165" fontId="13" fillId="0" borderId="0" xfId="1" applyNumberFormat="1" applyFont="1" applyFill="1" applyBorder="1" applyAlignment="1">
      <alignment horizontal="right"/>
    </xf>
    <xf numFmtId="165" fontId="11" fillId="0" borderId="0" xfId="1" applyNumberFormat="1" applyFont="1" applyFill="1" applyBorder="1" applyAlignment="1">
      <alignment horizontal="right"/>
    </xf>
    <xf numFmtId="165" fontId="11" fillId="0" borderId="5" xfId="1" applyNumberFormat="1" applyFont="1" applyFill="1" applyBorder="1" applyAlignment="1">
      <alignment horizontal="right"/>
    </xf>
    <xf numFmtId="43" fontId="13" fillId="0" borderId="0" xfId="1" applyNumberFormat="1" applyFont="1" applyFill="1" applyBorder="1" applyAlignment="1">
      <alignment horizontal="right"/>
    </xf>
    <xf numFmtId="43" fontId="13" fillId="0" borderId="5" xfId="1" applyNumberFormat="1" applyFont="1" applyFill="1" applyBorder="1" applyAlignment="1">
      <alignment horizontal="right"/>
    </xf>
    <xf numFmtId="164" fontId="3" fillId="0" borderId="5" xfId="1" quotePrefix="1" applyNumberFormat="1" applyFont="1" applyBorder="1" applyAlignment="1">
      <alignment horizontal="right"/>
    </xf>
    <xf numFmtId="164" fontId="3" fillId="0" borderId="5" xfId="1" quotePrefix="1" applyNumberFormat="1" applyFont="1" applyFill="1" applyBorder="1" applyAlignment="1">
      <alignment horizontal="right"/>
    </xf>
    <xf numFmtId="166" fontId="0" fillId="0" borderId="0" xfId="2" applyNumberFormat="1" applyFont="1" applyFill="1" applyBorder="1" applyAlignment="1">
      <alignment horizontal="right"/>
    </xf>
    <xf numFmtId="166" fontId="0" fillId="0" borderId="0" xfId="2" applyNumberFormat="1" applyFont="1" applyBorder="1" applyAlignment="1">
      <alignment horizontal="right"/>
    </xf>
    <xf numFmtId="9" fontId="1" fillId="0" borderId="5" xfId="2" applyFont="1" applyBorder="1" applyAlignment="1">
      <alignment horizontal="right"/>
    </xf>
    <xf numFmtId="164" fontId="1" fillId="0" borderId="5" xfId="1" quotePrefix="1" applyNumberFormat="1" applyFont="1" applyBorder="1" applyAlignment="1">
      <alignment horizontal="right"/>
    </xf>
    <xf numFmtId="164" fontId="1" fillId="0" borderId="5" xfId="1" quotePrefix="1" applyNumberFormat="1" applyFont="1" applyFill="1" applyBorder="1" applyAlignment="1">
      <alignment horizontal="right"/>
    </xf>
    <xf numFmtId="43" fontId="1" fillId="0" borderId="0" xfId="1" quotePrefix="1" applyNumberFormat="1" applyFont="1" applyBorder="1" applyAlignment="1">
      <alignment horizontal="right"/>
    </xf>
    <xf numFmtId="0" fontId="0" fillId="0" borderId="0" xfId="0" applyFont="1"/>
    <xf numFmtId="165" fontId="1" fillId="0" borderId="0" xfId="1" quotePrefix="1" applyNumberFormat="1" applyFont="1" applyBorder="1" applyAlignment="1">
      <alignment horizontal="right"/>
    </xf>
    <xf numFmtId="165" fontId="0" fillId="0" borderId="0" xfId="1" quotePrefix="1" applyNumberFormat="1" applyFont="1" applyBorder="1" applyAlignment="1">
      <alignment horizontal="right"/>
    </xf>
    <xf numFmtId="9" fontId="1" fillId="0" borderId="5" xfId="2" quotePrefix="1" applyFont="1" applyBorder="1" applyAlignment="1">
      <alignment horizontal="right"/>
    </xf>
    <xf numFmtId="9" fontId="1" fillId="0" borderId="0" xfId="2" quotePrefix="1" applyFont="1" applyBorder="1" applyAlignment="1">
      <alignment horizontal="right"/>
    </xf>
    <xf numFmtId="9" fontId="1" fillId="0" borderId="5" xfId="2" quotePrefix="1" applyFont="1" applyFill="1" applyBorder="1" applyAlignment="1">
      <alignment horizontal="right"/>
    </xf>
    <xf numFmtId="43" fontId="0" fillId="0" borderId="0" xfId="1" quotePrefix="1" applyNumberFormat="1" applyFont="1" applyBorder="1" applyAlignment="1">
      <alignment horizontal="right"/>
    </xf>
    <xf numFmtId="9" fontId="1" fillId="0" borderId="7" xfId="2" applyFont="1" applyBorder="1" applyAlignment="1">
      <alignment horizontal="right"/>
    </xf>
    <xf numFmtId="43" fontId="2" fillId="0" borderId="0" xfId="1" quotePrefix="1" applyNumberFormat="1" applyFont="1" applyBorder="1" applyAlignment="1">
      <alignment horizontal="right"/>
    </xf>
    <xf numFmtId="165" fontId="0" fillId="0" borderId="3" xfId="1" applyNumberFormat="1" applyFont="1" applyFill="1" applyBorder="1" applyAlignment="1">
      <alignment horizontal="right"/>
    </xf>
    <xf numFmtId="165" fontId="0" fillId="0" borderId="0" xfId="1" applyNumberFormat="1" applyFont="1" applyFill="1" applyBorder="1" applyAlignment="1">
      <alignment horizontal="right"/>
    </xf>
    <xf numFmtId="164" fontId="3" fillId="0" borderId="2" xfId="1" quotePrefix="1" applyNumberFormat="1" applyFont="1" applyFill="1" applyBorder="1" applyAlignment="1">
      <alignment horizontal="right"/>
    </xf>
    <xf numFmtId="43" fontId="0" fillId="0" borderId="0" xfId="1" applyFont="1"/>
    <xf numFmtId="43" fontId="0" fillId="0" borderId="0" xfId="1" applyFont="1" applyAlignment="1">
      <alignment horizontal="right"/>
    </xf>
    <xf numFmtId="165" fontId="12" fillId="0" borderId="0" xfId="1" applyNumberFormat="1" applyFont="1" applyFill="1" applyBorder="1" applyAlignment="1">
      <alignment horizontal="right"/>
    </xf>
    <xf numFmtId="166" fontId="0" fillId="0" borderId="5" xfId="2" applyNumberFormat="1" applyFont="1" applyBorder="1" applyAlignment="1">
      <alignment horizontal="right"/>
    </xf>
    <xf numFmtId="165" fontId="11" fillId="0" borderId="3" xfId="1" applyNumberFormat="1" applyFont="1" applyFill="1" applyBorder="1" applyAlignment="1">
      <alignment horizontal="right"/>
    </xf>
    <xf numFmtId="165" fontId="11" fillId="0" borderId="4" xfId="1" applyNumberFormat="1" applyFont="1" applyFill="1" applyBorder="1" applyAlignment="1">
      <alignment horizontal="right"/>
    </xf>
    <xf numFmtId="165" fontId="12" fillId="0" borderId="3" xfId="1" applyNumberFormat="1" applyFont="1" applyFill="1" applyBorder="1" applyAlignment="1">
      <alignment horizontal="right"/>
    </xf>
    <xf numFmtId="165" fontId="12" fillId="0" borderId="4" xfId="1" applyNumberFormat="1" applyFont="1" applyFill="1" applyBorder="1" applyAlignment="1">
      <alignment horizontal="right"/>
    </xf>
    <xf numFmtId="165" fontId="13" fillId="0" borderId="3" xfId="1" applyNumberFormat="1" applyFont="1" applyFill="1" applyBorder="1" applyAlignment="1">
      <alignment horizontal="right"/>
    </xf>
    <xf numFmtId="165" fontId="13" fillId="0" borderId="4" xfId="1" applyNumberFormat="1" applyFont="1" applyFill="1" applyBorder="1" applyAlignment="1">
      <alignment horizontal="right"/>
    </xf>
    <xf numFmtId="0" fontId="0" fillId="0" borderId="0" xfId="0" applyFont="1" applyFill="1"/>
    <xf numFmtId="43" fontId="14" fillId="0" borderId="9" xfId="1" applyNumberFormat="1" applyFont="1" applyFill="1" applyBorder="1" applyAlignment="1">
      <alignment horizontal="right"/>
    </xf>
    <xf numFmtId="43" fontId="2" fillId="0" borderId="0" xfId="1" quotePrefix="1" applyNumberFormat="1" applyFont="1" applyFill="1" applyBorder="1" applyAlignment="1">
      <alignment horizontal="right"/>
    </xf>
    <xf numFmtId="164" fontId="2" fillId="0" borderId="0" xfId="1" quotePrefix="1" applyNumberFormat="1" applyFont="1" applyFill="1" applyBorder="1" applyAlignment="1">
      <alignment horizontal="right"/>
    </xf>
    <xf numFmtId="0" fontId="2" fillId="0" borderId="3" xfId="0" applyFont="1" applyFill="1" applyBorder="1"/>
    <xf numFmtId="168" fontId="0" fillId="0" borderId="0" xfId="2" applyNumberFormat="1" applyFont="1" applyBorder="1" applyAlignment="1">
      <alignment horizontal="right"/>
    </xf>
    <xf numFmtId="168" fontId="0" fillId="0" borderId="0" xfId="1" applyNumberFormat="1" applyFont="1" applyBorder="1" applyAlignment="1">
      <alignment horizontal="right"/>
    </xf>
    <xf numFmtId="164" fontId="2" fillId="0" borderId="3" xfId="1" quotePrefix="1" applyNumberFormat="1" applyFont="1" applyFill="1" applyBorder="1" applyAlignment="1">
      <alignment horizontal="right"/>
    </xf>
    <xf numFmtId="43" fontId="1" fillId="0" borderId="3" xfId="1" quotePrefix="1" applyNumberFormat="1" applyFont="1" applyBorder="1" applyAlignment="1">
      <alignment horizontal="right"/>
    </xf>
    <xf numFmtId="7" fontId="2" fillId="0" borderId="3" xfId="1" applyNumberFormat="1" applyFont="1" applyBorder="1" applyAlignment="1">
      <alignment horizontal="right"/>
    </xf>
    <xf numFmtId="7" fontId="2" fillId="0" borderId="0" xfId="1" applyNumberFormat="1" applyFont="1" applyBorder="1" applyAlignment="1">
      <alignment horizontal="right"/>
    </xf>
    <xf numFmtId="164" fontId="0" fillId="0" borderId="4" xfId="1" applyNumberFormat="1" applyFont="1" applyBorder="1" applyAlignment="1">
      <alignment horizontal="right"/>
    </xf>
    <xf numFmtId="164" fontId="0" fillId="0" borderId="0" xfId="1" applyNumberFormat="1" applyFont="1" applyAlignment="1">
      <alignment horizontal="left"/>
    </xf>
    <xf numFmtId="165" fontId="0" fillId="0" borderId="0" xfId="1" applyNumberFormat="1" applyFont="1"/>
    <xf numFmtId="0" fontId="0" fillId="0" borderId="0" xfId="0" applyFill="1"/>
    <xf numFmtId="43" fontId="0" fillId="0" borderId="4" xfId="1" applyNumberFormat="1" applyFont="1" applyBorder="1" applyAlignment="1">
      <alignment horizontal="right"/>
    </xf>
    <xf numFmtId="166" fontId="0" fillId="0" borderId="4" xfId="2" applyNumberFormat="1" applyFont="1" applyBorder="1" applyAlignment="1">
      <alignment horizontal="right"/>
    </xf>
    <xf numFmtId="166" fontId="2" fillId="0" borderId="4" xfId="2" applyNumberFormat="1" applyFont="1" applyBorder="1" applyAlignment="1">
      <alignment horizontal="right"/>
    </xf>
    <xf numFmtId="43" fontId="0" fillId="0" borderId="0" xfId="1" applyFont="1" applyFill="1"/>
    <xf numFmtId="165" fontId="0" fillId="0" borderId="0" xfId="0" applyNumberFormat="1" applyFill="1"/>
    <xf numFmtId="43" fontId="0" fillId="0" borderId="0" xfId="1" applyFont="1" applyFill="1" applyAlignment="1">
      <alignment horizontal="right"/>
    </xf>
    <xf numFmtId="165" fontId="15" fillId="0" borderId="5" xfId="1" applyNumberFormat="1" applyFont="1" applyBorder="1" applyAlignment="1">
      <alignment horizontal="right"/>
    </xf>
    <xf numFmtId="165" fontId="15" fillId="0" borderId="3" xfId="1" applyNumberFormat="1" applyFont="1" applyBorder="1" applyAlignment="1">
      <alignment horizontal="right"/>
    </xf>
    <xf numFmtId="165" fontId="15" fillId="0" borderId="0" xfId="1" applyNumberFormat="1" applyFont="1" applyBorder="1" applyAlignment="1">
      <alignment horizontal="right"/>
    </xf>
    <xf numFmtId="165" fontId="15" fillId="0" borderId="4" xfId="1" applyNumberFormat="1" applyFont="1" applyBorder="1" applyAlignment="1">
      <alignment horizontal="right"/>
    </xf>
    <xf numFmtId="165" fontId="1" fillId="0" borderId="5" xfId="1" quotePrefix="1" applyNumberFormat="1" applyFont="1" applyBorder="1" applyAlignment="1">
      <alignment horizontal="right"/>
    </xf>
    <xf numFmtId="165" fontId="2" fillId="0" borderId="5" xfId="1" quotePrefix="1" applyNumberFormat="1" applyFont="1" applyBorder="1" applyAlignment="1">
      <alignment horizontal="right"/>
    </xf>
    <xf numFmtId="165" fontId="2" fillId="0" borderId="0" xfId="1" quotePrefix="1" applyNumberFormat="1" applyFont="1" applyBorder="1" applyAlignment="1">
      <alignment horizontal="right"/>
    </xf>
    <xf numFmtId="165" fontId="0" fillId="0" borderId="5" xfId="1" quotePrefix="1" applyNumberFormat="1" applyFont="1" applyBorder="1" applyAlignment="1">
      <alignment horizontal="right"/>
    </xf>
    <xf numFmtId="0" fontId="2" fillId="0" borderId="0" xfId="0" applyFont="1"/>
    <xf numFmtId="165" fontId="15" fillId="0" borderId="0" xfId="1" applyNumberFormat="1" applyFont="1" applyFill="1" applyBorder="1" applyAlignment="1">
      <alignment horizontal="right"/>
    </xf>
    <xf numFmtId="165" fontId="2" fillId="0" borderId="0" xfId="1" applyNumberFormat="1" applyFont="1" applyFill="1" applyBorder="1" applyAlignment="1">
      <alignment horizontal="right"/>
    </xf>
    <xf numFmtId="165" fontId="2" fillId="0" borderId="7" xfId="1" applyNumberFormat="1" applyFont="1" applyFill="1" applyBorder="1" applyAlignment="1">
      <alignment horizontal="right"/>
    </xf>
    <xf numFmtId="165" fontId="2" fillId="0" borderId="3" xfId="1" applyNumberFormat="1" applyFont="1" applyFill="1" applyBorder="1" applyAlignment="1">
      <alignment horizontal="right"/>
    </xf>
    <xf numFmtId="165" fontId="2" fillId="0" borderId="6" xfId="1" applyNumberFormat="1" applyFont="1" applyFill="1" applyBorder="1" applyAlignment="1">
      <alignment horizontal="right"/>
    </xf>
    <xf numFmtId="166" fontId="0" fillId="0" borderId="0" xfId="2" quotePrefix="1" applyNumberFormat="1" applyFont="1" applyBorder="1" applyAlignment="1">
      <alignment horizontal="right"/>
    </xf>
    <xf numFmtId="166" fontId="0" fillId="0" borderId="5" xfId="2" quotePrefix="1" applyNumberFormat="1" applyFont="1" applyBorder="1" applyAlignment="1">
      <alignment horizontal="right"/>
    </xf>
    <xf numFmtId="166" fontId="0" fillId="0" borderId="5" xfId="2" quotePrefix="1" applyNumberFormat="1" applyFont="1" applyFill="1" applyBorder="1" applyAlignment="1">
      <alignment horizontal="right"/>
    </xf>
    <xf numFmtId="166" fontId="0" fillId="0" borderId="0" xfId="2" applyNumberFormat="1" applyFont="1"/>
    <xf numFmtId="164" fontId="15" fillId="0" borderId="0" xfId="1" applyNumberFormat="1" applyFont="1" applyAlignment="1">
      <alignment horizontal="right"/>
    </xf>
    <xf numFmtId="165" fontId="0" fillId="0" borderId="0" xfId="1" quotePrefix="1" applyNumberFormat="1" applyFont="1" applyFill="1" applyBorder="1" applyAlignment="1">
      <alignment horizontal="right"/>
    </xf>
    <xf numFmtId="43" fontId="11" fillId="0" borderId="0" xfId="1" applyNumberFormat="1" applyFont="1" applyFill="1" applyBorder="1" applyAlignment="1">
      <alignment horizontal="right"/>
    </xf>
    <xf numFmtId="165" fontId="5" fillId="0" borderId="7" xfId="1" applyNumberFormat="1" applyFont="1" applyFill="1" applyBorder="1" applyAlignment="1">
      <alignment horizontal="right"/>
    </xf>
    <xf numFmtId="165" fontId="8" fillId="0" borderId="7" xfId="1" applyNumberFormat="1" applyFont="1" applyFill="1" applyBorder="1" applyAlignment="1">
      <alignment horizontal="right"/>
    </xf>
    <xf numFmtId="165" fontId="6" fillId="0" borderId="7" xfId="1" applyNumberFormat="1" applyFont="1" applyFill="1" applyBorder="1" applyAlignment="1">
      <alignment horizontal="right"/>
    </xf>
    <xf numFmtId="9" fontId="8" fillId="0" borderId="8" xfId="2" applyFont="1" applyFill="1" applyBorder="1" applyAlignment="1">
      <alignment horizontal="right"/>
    </xf>
    <xf numFmtId="0" fontId="15" fillId="0" borderId="0" xfId="0" applyFont="1"/>
    <xf numFmtId="43" fontId="0" fillId="0" borderId="0" xfId="1" applyFont="1" applyBorder="1" applyAlignment="1">
      <alignment horizontal="right"/>
    </xf>
    <xf numFmtId="165" fontId="0" fillId="0" borderId="4" xfId="1" applyNumberFormat="1" applyFont="1" applyFill="1" applyBorder="1" applyAlignment="1">
      <alignment horizontal="right"/>
    </xf>
    <xf numFmtId="165" fontId="0" fillId="0" borderId="5" xfId="1" applyNumberFormat="1" applyFont="1" applyFill="1" applyBorder="1" applyAlignment="1">
      <alignment horizontal="right"/>
    </xf>
    <xf numFmtId="165" fontId="2" fillId="0" borderId="4" xfId="1" applyNumberFormat="1" applyFont="1" applyFill="1" applyBorder="1" applyAlignment="1">
      <alignment horizontal="right"/>
    </xf>
    <xf numFmtId="165" fontId="2" fillId="0" borderId="5" xfId="1" applyNumberFormat="1" applyFont="1" applyFill="1" applyBorder="1" applyAlignment="1">
      <alignment horizontal="right"/>
    </xf>
    <xf numFmtId="0" fontId="0" fillId="0" borderId="0" xfId="0" applyAlignment="1">
      <alignment horizontal="left"/>
    </xf>
    <xf numFmtId="0" fontId="0" fillId="0" borderId="0" xfId="0" applyFont="1" applyAlignment="1">
      <alignment horizontal="left"/>
    </xf>
    <xf numFmtId="164"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0" fontId="0" fillId="0" borderId="0" xfId="0" applyFont="1" applyBorder="1"/>
    <xf numFmtId="164" fontId="1" fillId="0" borderId="3" xfId="1" quotePrefix="1" applyNumberFormat="1" applyFont="1" applyBorder="1" applyAlignment="1">
      <alignment horizontal="right"/>
    </xf>
    <xf numFmtId="9" fontId="1" fillId="0" borderId="3" xfId="2" applyFont="1" applyBorder="1" applyAlignment="1">
      <alignment horizontal="right"/>
    </xf>
    <xf numFmtId="9" fontId="1" fillId="0" borderId="6" xfId="2" applyFont="1" applyBorder="1" applyAlignment="1">
      <alignment horizontal="right"/>
    </xf>
    <xf numFmtId="165" fontId="1" fillId="0" borderId="2" xfId="1" applyNumberFormat="1" applyFont="1" applyBorder="1" applyAlignment="1">
      <alignment horizontal="right"/>
    </xf>
    <xf numFmtId="165" fontId="1" fillId="0" borderId="3" xfId="1" applyNumberFormat="1" applyFont="1" applyFill="1" applyBorder="1" applyAlignment="1">
      <alignment horizontal="right"/>
    </xf>
    <xf numFmtId="165" fontId="1" fillId="0" borderId="0" xfId="1" applyNumberFormat="1" applyFont="1" applyFill="1" applyBorder="1" applyAlignment="1">
      <alignment horizontal="right"/>
    </xf>
    <xf numFmtId="165" fontId="1" fillId="0" borderId="4" xfId="1" applyNumberFormat="1" applyFont="1" applyFill="1" applyBorder="1" applyAlignment="1">
      <alignment horizontal="right"/>
    </xf>
    <xf numFmtId="43" fontId="2" fillId="0" borderId="4" xfId="1" applyNumberFormat="1" applyFont="1" applyFill="1" applyBorder="1" applyAlignment="1">
      <alignment horizontal="right"/>
    </xf>
    <xf numFmtId="43" fontId="2" fillId="0" borderId="5" xfId="1" applyNumberFormat="1" applyFont="1" applyFill="1" applyBorder="1" applyAlignment="1">
      <alignment horizontal="right"/>
    </xf>
    <xf numFmtId="43" fontId="2" fillId="0" borderId="6" xfId="1" applyNumberFormat="1" applyFont="1" applyFill="1" applyBorder="1" applyAlignment="1">
      <alignment horizontal="right"/>
    </xf>
    <xf numFmtId="43" fontId="1" fillId="0" borderId="0" xfId="1" applyNumberFormat="1" applyFont="1" applyFill="1" applyBorder="1" applyAlignment="1">
      <alignment horizontal="right"/>
    </xf>
    <xf numFmtId="43" fontId="1" fillId="0" borderId="4" xfId="1" quotePrefix="1" applyNumberFormat="1" applyFont="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37" fontId="11" fillId="0" borderId="0" xfId="3" applyNumberFormat="1" applyFont="1" applyFill="1">
      <alignment vertical="top"/>
    </xf>
    <xf numFmtId="37" fontId="11" fillId="0" borderId="0" xfId="3" applyNumberFormat="1" applyFont="1">
      <alignment vertical="top"/>
    </xf>
    <xf numFmtId="9" fontId="0" fillId="0" borderId="4" xfId="2" applyNumberFormat="1" applyFont="1" applyBorder="1" applyAlignment="1">
      <alignment horizontal="right"/>
    </xf>
    <xf numFmtId="166" fontId="0" fillId="0" borderId="0" xfId="2" applyNumberFormat="1" applyFont="1" applyAlignment="1">
      <alignment horizontal="right"/>
    </xf>
    <xf numFmtId="0" fontId="0" fillId="0" borderId="0" xfId="0"/>
    <xf numFmtId="0" fontId="0" fillId="0" borderId="3" xfId="0" applyFont="1" applyFill="1" applyBorder="1"/>
    <xf numFmtId="165" fontId="1" fillId="0" borderId="0" xfId="1" quotePrefix="1" applyNumberFormat="1" applyFont="1" applyFill="1" applyBorder="1" applyAlignment="1">
      <alignment horizontal="right"/>
    </xf>
    <xf numFmtId="9" fontId="1" fillId="0" borderId="0" xfId="2" quotePrefix="1" applyFont="1" applyFill="1" applyBorder="1" applyAlignment="1">
      <alignment horizontal="right"/>
    </xf>
    <xf numFmtId="165" fontId="1" fillId="0" borderId="2" xfId="1" applyNumberFormat="1" applyFont="1" applyFill="1" applyBorder="1" applyAlignment="1">
      <alignment horizontal="right"/>
    </xf>
    <xf numFmtId="165" fontId="12" fillId="0" borderId="5" xfId="1" applyNumberFormat="1" applyFont="1" applyFill="1" applyBorder="1" applyAlignment="1">
      <alignment horizontal="right"/>
    </xf>
    <xf numFmtId="9" fontId="0" fillId="0" borderId="7" xfId="2" applyFont="1" applyBorder="1" applyAlignment="1">
      <alignment horizontal="right"/>
    </xf>
    <xf numFmtId="167" fontId="0" fillId="0" borderId="7" xfId="1" quotePrefix="1" applyNumberFormat="1" applyFont="1" applyBorder="1" applyAlignment="1">
      <alignment horizontal="right"/>
    </xf>
    <xf numFmtId="9" fontId="0" fillId="0" borderId="8" xfId="2" applyFont="1" applyBorder="1" applyAlignment="1">
      <alignment horizontal="right"/>
    </xf>
    <xf numFmtId="165" fontId="13" fillId="0" borderId="5" xfId="1" applyNumberFormat="1" applyFont="1" applyFill="1" applyBorder="1" applyAlignment="1">
      <alignment horizontal="right"/>
    </xf>
    <xf numFmtId="164" fontId="18" fillId="2" borderId="2" xfId="1" quotePrefix="1" applyNumberFormat="1" applyFont="1" applyFill="1" applyBorder="1" applyAlignment="1">
      <alignment horizontal="right"/>
    </xf>
    <xf numFmtId="164" fontId="20" fillId="2" borderId="0" xfId="1" quotePrefix="1" applyNumberFormat="1" applyFont="1" applyFill="1" applyBorder="1" applyAlignment="1">
      <alignment horizontal="right"/>
    </xf>
    <xf numFmtId="165" fontId="0" fillId="0" borderId="5" xfId="1" quotePrefix="1" applyNumberFormat="1" applyFont="1" applyFill="1" applyBorder="1" applyAlignment="1">
      <alignment horizontal="right"/>
    </xf>
    <xf numFmtId="166" fontId="0" fillId="0" borderId="0" xfId="2" quotePrefix="1" applyNumberFormat="1" applyFont="1" applyFill="1" applyBorder="1" applyAlignment="1">
      <alignment horizontal="right"/>
    </xf>
    <xf numFmtId="166" fontId="0" fillId="0" borderId="5" xfId="2" applyNumberFormat="1" applyFont="1" applyFill="1" applyBorder="1" applyAlignment="1">
      <alignment horizontal="right"/>
    </xf>
    <xf numFmtId="9" fontId="0" fillId="0" borderId="5" xfId="2" applyFont="1" applyFill="1" applyBorder="1" applyAlignment="1">
      <alignment horizontal="right"/>
    </xf>
    <xf numFmtId="9" fontId="8" fillId="0" borderId="5" xfId="2" applyFont="1" applyFill="1" applyBorder="1" applyAlignment="1">
      <alignment horizontal="right"/>
    </xf>
    <xf numFmtId="0" fontId="0" fillId="0" borderId="0" xfId="0" applyFill="1" applyAlignment="1">
      <alignment horizontal="right"/>
    </xf>
    <xf numFmtId="0" fontId="0" fillId="0" borderId="0" xfId="0" applyBorder="1"/>
    <xf numFmtId="10" fontId="0" fillId="0" borderId="5" xfId="2" applyNumberFormat="1" applyFont="1" applyFill="1" applyBorder="1" applyAlignment="1">
      <alignment horizontal="right"/>
    </xf>
    <xf numFmtId="9" fontId="0" fillId="0" borderId="0" xfId="2" applyFont="1" applyFill="1" applyBorder="1" applyAlignment="1">
      <alignment horizontal="right"/>
    </xf>
    <xf numFmtId="0" fontId="0" fillId="0" borderId="0" xfId="0" applyFont="1" applyFill="1" applyBorder="1" applyAlignment="1">
      <alignment horizontal="left"/>
    </xf>
    <xf numFmtId="0" fontId="2" fillId="0" borderId="14" xfId="0" applyFont="1" applyFill="1" applyBorder="1"/>
    <xf numFmtId="0" fontId="0" fillId="0" borderId="3" xfId="0" applyFont="1" applyFill="1" applyBorder="1" applyAlignment="1">
      <alignment horizontal="left"/>
    </xf>
    <xf numFmtId="165" fontId="1" fillId="0" borderId="5" xfId="1" applyNumberFormat="1" applyFont="1" applyFill="1" applyBorder="1" applyAlignment="1">
      <alignment horizontal="right"/>
    </xf>
    <xf numFmtId="0" fontId="0" fillId="0" borderId="0" xfId="0"/>
    <xf numFmtId="165" fontId="1" fillId="0" borderId="0" xfId="1" applyNumberFormat="1" applyFont="1" applyBorder="1" applyAlignment="1">
      <alignment horizontal="right"/>
    </xf>
    <xf numFmtId="9" fontId="8" fillId="0" borderId="0" xfId="2" applyFont="1" applyBorder="1" applyAlignment="1">
      <alignment horizontal="right"/>
    </xf>
    <xf numFmtId="165" fontId="11" fillId="0" borderId="0" xfId="1" applyNumberFormat="1" applyFont="1" applyBorder="1" applyAlignment="1">
      <alignment horizontal="right"/>
    </xf>
    <xf numFmtId="165" fontId="11" fillId="0" borderId="0" xfId="1" applyNumberFormat="1" applyFont="1" applyFill="1" applyBorder="1" applyAlignment="1">
      <alignment horizontal="right"/>
    </xf>
    <xf numFmtId="9" fontId="1" fillId="0" borderId="0" xfId="2" applyFont="1" applyBorder="1" applyAlignment="1">
      <alignment horizontal="right"/>
    </xf>
    <xf numFmtId="0" fontId="0" fillId="0" borderId="0" xfId="0"/>
    <xf numFmtId="164" fontId="3" fillId="0" borderId="0" xfId="1" quotePrefix="1" applyNumberFormat="1" applyFont="1" applyBorder="1" applyAlignment="1">
      <alignment horizontal="right"/>
    </xf>
    <xf numFmtId="164" fontId="3" fillId="0" borderId="0" xfId="1" quotePrefix="1" applyNumberFormat="1" applyFont="1" applyFill="1" applyBorder="1" applyAlignment="1">
      <alignment horizontal="right"/>
    </xf>
    <xf numFmtId="0" fontId="0" fillId="0" borderId="0" xfId="0" applyFont="1" applyBorder="1" applyAlignment="1">
      <alignment horizontal="left"/>
    </xf>
    <xf numFmtId="9" fontId="2" fillId="0" borderId="2" xfId="2" quotePrefix="1" applyFont="1" applyFill="1" applyBorder="1" applyAlignment="1">
      <alignment horizontal="right"/>
    </xf>
    <xf numFmtId="0" fontId="0" fillId="0" borderId="0" xfId="0" applyAlignment="1">
      <alignment wrapText="1"/>
    </xf>
    <xf numFmtId="43" fontId="2" fillId="0" borderId="2" xfId="1" quotePrefix="1" applyNumberFormat="1" applyFont="1" applyBorder="1" applyAlignment="1">
      <alignment horizontal="right"/>
    </xf>
    <xf numFmtId="9" fontId="2" fillId="0" borderId="2" xfId="2" quotePrefix="1" applyFont="1" applyBorder="1" applyAlignment="1">
      <alignment horizontal="right"/>
    </xf>
    <xf numFmtId="0" fontId="0" fillId="0" borderId="0" xfId="0"/>
    <xf numFmtId="0" fontId="2" fillId="0" borderId="0" xfId="0" applyFont="1"/>
    <xf numFmtId="165" fontId="5" fillId="0" borderId="6" xfId="1" applyNumberFormat="1" applyFont="1" applyFill="1" applyBorder="1" applyAlignment="1">
      <alignment horizontal="right"/>
    </xf>
    <xf numFmtId="164" fontId="67" fillId="3" borderId="2" xfId="1" quotePrefix="1" applyNumberFormat="1" applyFont="1" applyFill="1" applyBorder="1" applyAlignment="1">
      <alignment horizontal="right"/>
    </xf>
    <xf numFmtId="164" fontId="67" fillId="3" borderId="11" xfId="1" quotePrefix="1" applyNumberFormat="1" applyFont="1" applyFill="1" applyBorder="1" applyAlignment="1">
      <alignment horizontal="right"/>
    </xf>
    <xf numFmtId="164" fontId="68" fillId="3" borderId="0" xfId="1" quotePrefix="1" applyNumberFormat="1" applyFont="1" applyFill="1" applyBorder="1" applyAlignment="1">
      <alignment horizontal="right"/>
    </xf>
    <xf numFmtId="164" fontId="68" fillId="3" borderId="4" xfId="1" quotePrefix="1" applyNumberFormat="1" applyFont="1" applyFill="1" applyBorder="1" applyAlignment="1">
      <alignment horizontal="right"/>
    </xf>
    <xf numFmtId="164" fontId="3" fillId="0" borderId="3" xfId="1" quotePrefix="1" applyNumberFormat="1" applyFont="1" applyBorder="1" applyAlignment="1">
      <alignment horizontal="right"/>
    </xf>
    <xf numFmtId="164" fontId="11" fillId="0" borderId="0" xfId="1" applyNumberFormat="1" applyFont="1" applyAlignment="1">
      <alignment horizontal="right"/>
    </xf>
    <xf numFmtId="165" fontId="0" fillId="10" borderId="0" xfId="1" quotePrefix="1" applyNumberFormat="1" applyFont="1" applyFill="1" applyBorder="1" applyAlignment="1">
      <alignment horizontal="right"/>
    </xf>
    <xf numFmtId="166" fontId="0" fillId="10" borderId="0" xfId="2" applyNumberFormat="1" applyFont="1" applyFill="1" applyBorder="1" applyAlignment="1">
      <alignment horizontal="right"/>
    </xf>
    <xf numFmtId="9" fontId="0" fillId="10" borderId="0" xfId="2" applyNumberFormat="1" applyFont="1" applyFill="1" applyBorder="1" applyAlignment="1">
      <alignment horizontal="right"/>
    </xf>
    <xf numFmtId="9" fontId="1" fillId="10" borderId="0" xfId="2" quotePrefix="1" applyFont="1" applyFill="1" applyBorder="1" applyAlignment="1">
      <alignment horizontal="right"/>
    </xf>
    <xf numFmtId="166" fontId="0" fillId="10" borderId="4" xfId="2" applyNumberFormat="1" applyFont="1" applyFill="1" applyBorder="1" applyAlignment="1">
      <alignment horizontal="right"/>
    </xf>
    <xf numFmtId="10" fontId="0" fillId="0" borderId="0" xfId="2" applyNumberFormat="1" applyFont="1" applyAlignment="1">
      <alignment horizontal="right"/>
    </xf>
    <xf numFmtId="10" fontId="0" fillId="0" borderId="0" xfId="1" applyNumberFormat="1" applyFont="1" applyAlignment="1">
      <alignment horizontal="right"/>
    </xf>
    <xf numFmtId="43" fontId="0" fillId="10" borderId="4" xfId="1" applyNumberFormat="1" applyFont="1" applyFill="1" applyBorder="1" applyAlignment="1">
      <alignment horizontal="right"/>
    </xf>
    <xf numFmtId="166" fontId="0" fillId="10" borderId="4" xfId="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164" fontId="0" fillId="0" borderId="0" xfId="1" applyNumberFormat="1" applyFont="1" applyFill="1" applyBorder="1" applyAlignment="1">
      <alignment horizontal="right"/>
    </xf>
    <xf numFmtId="165" fontId="0" fillId="10" borderId="0" xfId="1" applyNumberFormat="1" applyFont="1" applyFill="1" applyBorder="1" applyAlignment="1">
      <alignment horizontal="right"/>
    </xf>
    <xf numFmtId="43" fontId="0" fillId="0" borderId="0" xfId="1" applyFont="1" applyFill="1" applyAlignment="1">
      <alignment horizontal="left"/>
    </xf>
    <xf numFmtId="165" fontId="0" fillId="0" borderId="0" xfId="1" applyNumberFormat="1" applyFont="1" applyAlignment="1">
      <alignment horizontal="right"/>
    </xf>
    <xf numFmtId="165" fontId="0" fillId="0" borderId="0" xfId="1" applyNumberFormat="1" applyFont="1" applyFill="1" applyAlignment="1">
      <alignment horizontal="right"/>
    </xf>
    <xf numFmtId="7" fontId="2" fillId="0" borderId="15" xfId="1" applyNumberFormat="1" applyFont="1" applyBorder="1" applyAlignment="1">
      <alignment horizontal="right"/>
    </xf>
    <xf numFmtId="7" fontId="2" fillId="0" borderId="4" xfId="1" applyNumberFormat="1" applyFont="1" applyBorder="1" applyAlignment="1">
      <alignment horizontal="right"/>
    </xf>
    <xf numFmtId="0" fontId="2" fillId="0" borderId="0" xfId="0" applyFont="1" applyAlignment="1">
      <alignment horizontal="left"/>
    </xf>
    <xf numFmtId="0" fontId="0" fillId="0" borderId="0" xfId="0" applyFill="1" applyBorder="1"/>
    <xf numFmtId="0" fontId="0" fillId="0" borderId="0" xfId="0" applyAlignment="1"/>
    <xf numFmtId="226" fontId="0" fillId="0" borderId="4" xfId="2" applyNumberFormat="1" applyFont="1" applyFill="1" applyBorder="1" applyAlignment="1">
      <alignment horizontal="right"/>
    </xf>
    <xf numFmtId="226" fontId="0" fillId="0" borderId="4" xfId="1" applyNumberFormat="1" applyFont="1" applyFill="1" applyBorder="1" applyAlignment="1">
      <alignment horizontal="right"/>
    </xf>
    <xf numFmtId="226" fontId="0" fillId="10" borderId="4" xfId="1" applyNumberFormat="1" applyFont="1" applyFill="1" applyBorder="1" applyAlignment="1">
      <alignment horizontal="right"/>
    </xf>
    <xf numFmtId="9" fontId="0" fillId="0" borderId="0" xfId="2" applyNumberFormat="1" applyFont="1" applyAlignment="1">
      <alignment horizontal="right"/>
    </xf>
    <xf numFmtId="0" fontId="70" fillId="0" borderId="0" xfId="0" applyFont="1"/>
    <xf numFmtId="0" fontId="71" fillId="0" borderId="0" xfId="329"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Fill="1" applyBorder="1" applyAlignment="1">
      <alignment horizontal="left"/>
    </xf>
    <xf numFmtId="0" fontId="0" fillId="0" borderId="0" xfId="0" applyFont="1" applyFill="1" applyBorder="1" applyAlignment="1">
      <alignment horizontal="left"/>
    </xf>
    <xf numFmtId="0" fontId="9" fillId="0" borderId="3" xfId="0" applyFont="1" applyBorder="1" applyAlignment="1">
      <alignment horizontal="left"/>
    </xf>
    <xf numFmtId="10" fontId="0" fillId="0" borderId="0" xfId="2" applyNumberFormat="1" applyFont="1" applyFill="1" applyBorder="1" applyAlignment="1">
      <alignment horizontal="right"/>
    </xf>
    <xf numFmtId="165" fontId="8" fillId="0" borderId="0" xfId="1" applyNumberFormat="1" applyFont="1" applyFill="1" applyBorder="1" applyAlignment="1">
      <alignment horizontal="right"/>
    </xf>
    <xf numFmtId="166" fontId="1" fillId="0" borderId="0" xfId="2" quotePrefix="1" applyNumberFormat="1" applyFont="1" applyFill="1" applyBorder="1" applyAlignment="1">
      <alignment horizontal="right"/>
    </xf>
    <xf numFmtId="166" fontId="1" fillId="0" borderId="5" xfId="2" quotePrefix="1" applyNumberFormat="1" applyFont="1" applyBorder="1" applyAlignment="1">
      <alignment horizontal="right"/>
    </xf>
    <xf numFmtId="166" fontId="1" fillId="10" borderId="0" xfId="2" quotePrefix="1" applyNumberFormat="1" applyFont="1" applyFill="1" applyBorder="1" applyAlignment="1">
      <alignment horizontal="right"/>
    </xf>
    <xf numFmtId="164" fontId="4" fillId="0" borderId="5" xfId="1" quotePrefix="1" applyNumberFormat="1" applyFont="1" applyBorder="1" applyAlignment="1">
      <alignment horizontal="right"/>
    </xf>
    <xf numFmtId="164" fontId="4" fillId="0" borderId="5" xfId="1" quotePrefix="1" applyNumberFormat="1" applyFont="1" applyFill="1" applyBorder="1" applyAlignment="1">
      <alignment horizontal="right"/>
    </xf>
    <xf numFmtId="165" fontId="4" fillId="0" borderId="3"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4" xfId="1" applyNumberFormat="1" applyFont="1" applyFill="1" applyBorder="1" applyAlignment="1">
      <alignment horizontal="right"/>
    </xf>
    <xf numFmtId="165" fontId="4" fillId="0" borderId="5" xfId="1" applyNumberFormat="1" applyFont="1" applyFill="1" applyBorder="1" applyAlignment="1">
      <alignment horizontal="right"/>
    </xf>
    <xf numFmtId="37" fontId="12" fillId="0" borderId="0" xfId="3" applyNumberFormat="1" applyFont="1">
      <alignment vertical="top"/>
    </xf>
    <xf numFmtId="165" fontId="12" fillId="0" borderId="0" xfId="1" applyNumberFormat="1" applyFont="1" applyBorder="1" applyAlignment="1">
      <alignment horizontal="right"/>
    </xf>
    <xf numFmtId="165" fontId="2" fillId="0" borderId="32" xfId="1" quotePrefix="1" applyNumberFormat="1" applyFont="1" applyBorder="1" applyAlignment="1">
      <alignment horizontal="right"/>
    </xf>
    <xf numFmtId="165" fontId="2" fillId="0" borderId="31" xfId="1" quotePrefix="1" applyNumberFormat="1" applyFont="1" applyBorder="1" applyAlignment="1">
      <alignment horizontal="right"/>
    </xf>
    <xf numFmtId="165" fontId="4" fillId="0" borderId="0" xfId="1" quotePrefix="1" applyNumberFormat="1" applyFont="1" applyBorder="1" applyAlignment="1">
      <alignment horizontal="right"/>
    </xf>
    <xf numFmtId="165" fontId="4" fillId="0" borderId="5" xfId="1" quotePrefix="1" applyNumberFormat="1" applyFont="1" applyBorder="1" applyAlignment="1">
      <alignment horizontal="right"/>
    </xf>
    <xf numFmtId="165" fontId="4" fillId="0" borderId="0" xfId="1" quotePrefix="1" applyNumberFormat="1" applyFont="1" applyFill="1" applyBorder="1" applyAlignment="1">
      <alignment horizontal="right"/>
    </xf>
    <xf numFmtId="165" fontId="0" fillId="0" borderId="32" xfId="1" quotePrefix="1" applyNumberFormat="1" applyFont="1" applyBorder="1" applyAlignment="1">
      <alignment horizontal="right"/>
    </xf>
    <xf numFmtId="165" fontId="0" fillId="0" borderId="31" xfId="1" quotePrefix="1" applyNumberFormat="1" applyFont="1" applyBorder="1" applyAlignment="1">
      <alignment horizontal="right"/>
    </xf>
    <xf numFmtId="165" fontId="0" fillId="0" borderId="32" xfId="1" quotePrefix="1" applyNumberFormat="1" applyFont="1" applyFill="1" applyBorder="1" applyAlignment="1">
      <alignment horizontal="right"/>
    </xf>
    <xf numFmtId="165" fontId="0" fillId="10" borderId="32" xfId="1" quotePrefix="1" applyNumberFormat="1" applyFont="1" applyFill="1" applyBorder="1" applyAlignment="1">
      <alignment horizontal="right"/>
    </xf>
    <xf numFmtId="165" fontId="0" fillId="0" borderId="31" xfId="1" quotePrefix="1" applyNumberFormat="1" applyFont="1" applyFill="1" applyBorder="1" applyAlignment="1">
      <alignment horizontal="right"/>
    </xf>
    <xf numFmtId="165" fontId="0" fillId="0" borderId="33" xfId="1" quotePrefix="1" applyNumberFormat="1" applyFont="1" applyBorder="1" applyAlignment="1">
      <alignment horizontal="right"/>
    </xf>
    <xf numFmtId="165" fontId="0" fillId="0" borderId="34" xfId="1" quotePrefix="1" applyNumberFormat="1" applyFont="1" applyBorder="1" applyAlignment="1">
      <alignment horizontal="right"/>
    </xf>
    <xf numFmtId="165" fontId="0" fillId="0" borderId="33" xfId="1" quotePrefix="1" applyNumberFormat="1" applyFont="1" applyFill="1" applyBorder="1" applyAlignment="1">
      <alignment horizontal="right"/>
    </xf>
    <xf numFmtId="165" fontId="0" fillId="0" borderId="34" xfId="1" quotePrefix="1" applyNumberFormat="1" applyFont="1" applyFill="1" applyBorder="1" applyAlignment="1">
      <alignment horizontal="right"/>
    </xf>
    <xf numFmtId="9" fontId="1" fillId="0" borderId="0" xfId="1" quotePrefix="1" applyNumberFormat="1" applyFont="1" applyBorder="1" applyAlignment="1">
      <alignment horizontal="right"/>
    </xf>
    <xf numFmtId="9" fontId="1" fillId="0" borderId="5" xfId="1" quotePrefix="1" applyNumberFormat="1" applyFont="1" applyBorder="1" applyAlignment="1">
      <alignment horizontal="right"/>
    </xf>
    <xf numFmtId="9" fontId="1" fillId="10" borderId="0" xfId="1" quotePrefix="1" applyNumberFormat="1" applyFont="1" applyFill="1" applyBorder="1" applyAlignment="1">
      <alignment horizontal="right"/>
    </xf>
    <xf numFmtId="164" fontId="3" fillId="0" borderId="33" xfId="1" quotePrefix="1" applyNumberFormat="1" applyFont="1" applyBorder="1" applyAlignment="1">
      <alignment horizontal="right"/>
    </xf>
    <xf numFmtId="164" fontId="3" fillId="0" borderId="34" xfId="1" quotePrefix="1" applyNumberFormat="1" applyFont="1" applyBorder="1" applyAlignment="1">
      <alignment horizontal="right"/>
    </xf>
    <xf numFmtId="164" fontId="3" fillId="0" borderId="33" xfId="1" quotePrefix="1" applyNumberFormat="1" applyFont="1" applyFill="1" applyBorder="1" applyAlignment="1">
      <alignment horizontal="right"/>
    </xf>
    <xf numFmtId="164" fontId="3" fillId="0" borderId="34" xfId="1" quotePrefix="1" applyNumberFormat="1" applyFont="1" applyFill="1" applyBorder="1" applyAlignment="1">
      <alignment horizontal="right"/>
    </xf>
    <xf numFmtId="166" fontId="0" fillId="0" borderId="33" xfId="2" applyNumberFormat="1" applyFont="1" applyFill="1" applyBorder="1" applyAlignment="1">
      <alignment horizontal="right"/>
    </xf>
    <xf numFmtId="9" fontId="0" fillId="0" borderId="34" xfId="2" applyFont="1" applyFill="1" applyBorder="1" applyAlignment="1">
      <alignment horizontal="right"/>
    </xf>
    <xf numFmtId="0" fontId="72" fillId="0" borderId="14" xfId="0" applyFont="1" applyFill="1" applyBorder="1" applyAlignment="1">
      <alignment horizontal="left"/>
    </xf>
    <xf numFmtId="0" fontId="72" fillId="0" borderId="15" xfId="0" applyFont="1" applyFill="1" applyBorder="1" applyAlignment="1">
      <alignment horizontal="left"/>
    </xf>
    <xf numFmtId="165" fontId="72" fillId="0" borderId="32" xfId="1" quotePrefix="1" applyNumberFormat="1" applyFont="1" applyFill="1" applyBorder="1" applyAlignment="1">
      <alignment horizontal="right"/>
    </xf>
    <xf numFmtId="165" fontId="72" fillId="0" borderId="31" xfId="1" quotePrefix="1" applyNumberFormat="1" applyFont="1" applyFill="1" applyBorder="1" applyAlignment="1">
      <alignment horizontal="right"/>
    </xf>
    <xf numFmtId="5" fontId="2" fillId="0" borderId="11" xfId="1" applyNumberFormat="1" applyFont="1" applyBorder="1" applyAlignment="1">
      <alignment horizontal="right"/>
    </xf>
    <xf numFmtId="5" fontId="9" fillId="0" borderId="4" xfId="1" applyNumberFormat="1" applyFont="1" applyBorder="1" applyAlignment="1">
      <alignment horizontal="right"/>
    </xf>
    <xf numFmtId="164" fontId="0" fillId="0" borderId="5" xfId="1" applyNumberFormat="1" applyFont="1" applyFill="1" applyBorder="1" applyAlignment="1">
      <alignment horizontal="right"/>
    </xf>
    <xf numFmtId="20" fontId="0" fillId="0" borderId="0" xfId="1" applyNumberFormat="1" applyFont="1" applyFill="1" applyAlignment="1">
      <alignment horizontal="right"/>
    </xf>
    <xf numFmtId="43" fontId="4" fillId="10" borderId="4" xfId="1" quotePrefix="1" applyNumberFormat="1" applyFont="1" applyFill="1" applyBorder="1" applyAlignment="1">
      <alignment horizontal="right"/>
    </xf>
    <xf numFmtId="43" fontId="4" fillId="0" borderId="4" xfId="1" applyNumberFormat="1" applyFont="1" applyFill="1" applyBorder="1" applyAlignment="1">
      <alignment horizontal="right"/>
    </xf>
    <xf numFmtId="167" fontId="0" fillId="0" borderId="0" xfId="1" applyNumberFormat="1" applyFont="1" applyBorder="1" applyAlignment="1">
      <alignment horizontal="right"/>
    </xf>
    <xf numFmtId="165" fontId="11" fillId="11" borderId="0" xfId="1" applyNumberFormat="1" applyFont="1" applyFill="1" applyBorder="1" applyAlignment="1">
      <alignment horizontal="right"/>
    </xf>
    <xf numFmtId="165" fontId="1" fillId="0" borderId="0" xfId="1" quotePrefix="1" applyNumberFormat="1" applyFont="1" applyBorder="1" applyAlignment="1">
      <alignment horizontal="left"/>
    </xf>
    <xf numFmtId="165" fontId="1" fillId="10" borderId="0" xfId="1" quotePrefix="1" applyNumberFormat="1" applyFont="1" applyFill="1" applyBorder="1" applyAlignment="1">
      <alignment horizontal="left"/>
    </xf>
    <xf numFmtId="165" fontId="0" fillId="0" borderId="0" xfId="1" quotePrefix="1" applyNumberFormat="1" applyFont="1" applyBorder="1" applyAlignment="1">
      <alignment horizontal="left"/>
    </xf>
    <xf numFmtId="165" fontId="0" fillId="13" borderId="0" xfId="1" quotePrefix="1" applyNumberFormat="1" applyFont="1" applyFill="1" applyBorder="1" applyAlignment="1">
      <alignment horizontal="left"/>
    </xf>
    <xf numFmtId="165" fontId="1" fillId="13" borderId="0" xfId="1" quotePrefix="1" applyNumberFormat="1" applyFont="1" applyFill="1" applyBorder="1" applyAlignment="1">
      <alignment horizontal="left"/>
    </xf>
    <xf numFmtId="165" fontId="0" fillId="12" borderId="0" xfId="1" quotePrefix="1" applyNumberFormat="1" applyFont="1" applyFill="1" applyBorder="1" applyAlignment="1">
      <alignment horizontal="left"/>
    </xf>
    <xf numFmtId="165" fontId="0" fillId="10" borderId="0" xfId="1" quotePrefix="1" applyNumberFormat="1" applyFont="1" applyFill="1" applyBorder="1" applyAlignment="1">
      <alignment horizontal="left"/>
    </xf>
    <xf numFmtId="165" fontId="0" fillId="0" borderId="0" xfId="1" quotePrefix="1" applyNumberFormat="1" applyFont="1" applyFill="1" applyBorder="1" applyAlignment="1">
      <alignment horizontal="left"/>
    </xf>
    <xf numFmtId="0" fontId="0" fillId="0" borderId="0" xfId="0" applyFont="1" applyFill="1" applyAlignment="1">
      <alignment horizontal="left"/>
    </xf>
    <xf numFmtId="165" fontId="1" fillId="0" borderId="32" xfId="1" quotePrefix="1" applyNumberFormat="1" applyFont="1" applyBorder="1" applyAlignment="1">
      <alignment horizontal="left"/>
    </xf>
    <xf numFmtId="165" fontId="0" fillId="14" borderId="0" xfId="1" quotePrefix="1" applyNumberFormat="1" applyFont="1" applyFill="1" applyBorder="1" applyAlignment="1">
      <alignment horizontal="left"/>
    </xf>
    <xf numFmtId="165" fontId="1" fillId="14" borderId="0" xfId="1" quotePrefix="1" applyNumberFormat="1" applyFont="1" applyFill="1" applyBorder="1" applyAlignment="1">
      <alignment horizontal="left"/>
    </xf>
    <xf numFmtId="165" fontId="1" fillId="0" borderId="4" xfId="1" quotePrefix="1" applyNumberFormat="1" applyFont="1" applyBorder="1" applyAlignment="1">
      <alignment horizontal="left"/>
    </xf>
    <xf numFmtId="165" fontId="0" fillId="0" borderId="4" xfId="1" quotePrefix="1" applyNumberFormat="1" applyFont="1" applyFill="1" applyBorder="1" applyAlignment="1">
      <alignment horizontal="left"/>
    </xf>
    <xf numFmtId="165" fontId="1" fillId="0" borderId="15" xfId="1" quotePrefix="1" applyNumberFormat="1" applyFont="1" applyBorder="1" applyAlignment="1">
      <alignment horizontal="left"/>
    </xf>
    <xf numFmtId="165" fontId="1" fillId="0" borderId="33" xfId="1" quotePrefix="1" applyNumberFormat="1" applyFont="1" applyBorder="1" applyAlignment="1">
      <alignment horizontal="left"/>
    </xf>
    <xf numFmtId="165" fontId="73" fillId="0" borderId="0" xfId="1" quotePrefix="1" applyNumberFormat="1" applyFont="1" applyFill="1" applyBorder="1" applyAlignment="1">
      <alignment horizontal="left"/>
    </xf>
    <xf numFmtId="165" fontId="71" fillId="0" borderId="0" xfId="329" quotePrefix="1" applyNumberFormat="1" applyBorder="1" applyAlignment="1">
      <alignment horizontal="left"/>
    </xf>
    <xf numFmtId="0" fontId="2" fillId="0" borderId="4" xfId="0" applyFont="1" applyBorder="1" applyAlignment="1">
      <alignment horizontal="left"/>
    </xf>
    <xf numFmtId="0" fontId="0" fillId="0" borderId="3" xfId="0" applyFont="1" applyBorder="1" applyAlignment="1">
      <alignment horizontal="left"/>
    </xf>
    <xf numFmtId="0" fontId="2" fillId="0" borderId="15" xfId="0" applyFont="1" applyBorder="1" applyAlignment="1">
      <alignment horizontal="left"/>
    </xf>
    <xf numFmtId="0" fontId="0" fillId="0" borderId="14" xfId="0" applyFont="1" applyBorder="1" applyAlignment="1">
      <alignment horizontal="left"/>
    </xf>
    <xf numFmtId="165" fontId="1" fillId="0" borderId="0" xfId="1" quotePrefix="1" applyNumberFormat="1" applyFont="1" applyFill="1" applyBorder="1" applyAlignment="1">
      <alignment horizontal="left"/>
    </xf>
    <xf numFmtId="165" fontId="1" fillId="12" borderId="0" xfId="1" quotePrefix="1" applyNumberFormat="1" applyFont="1" applyFill="1" applyBorder="1" applyAlignment="1">
      <alignment horizontal="left"/>
    </xf>
    <xf numFmtId="165" fontId="0" fillId="15" borderId="0" xfId="1" quotePrefix="1" applyNumberFormat="1" applyFont="1" applyFill="1" applyBorder="1" applyAlignment="1">
      <alignment horizontal="left"/>
    </xf>
    <xf numFmtId="165" fontId="1" fillId="15" borderId="0" xfId="1" quotePrefix="1" applyNumberFormat="1" applyFont="1" applyFill="1" applyBorder="1" applyAlignment="1">
      <alignment horizontal="left"/>
    </xf>
    <xf numFmtId="165" fontId="0" fillId="16" borderId="0" xfId="1" quotePrefix="1" applyNumberFormat="1" applyFont="1" applyFill="1" applyBorder="1" applyAlignment="1">
      <alignment horizontal="left"/>
    </xf>
    <xf numFmtId="165" fontId="1" fillId="16" borderId="0" xfId="1" quotePrefix="1" applyNumberFormat="1" applyFont="1" applyFill="1" applyBorder="1" applyAlignment="1">
      <alignment horizontal="left"/>
    </xf>
    <xf numFmtId="165" fontId="0" fillId="17" borderId="0" xfId="1" quotePrefix="1" applyNumberFormat="1" applyFont="1" applyFill="1" applyBorder="1" applyAlignment="1">
      <alignment horizontal="left"/>
    </xf>
    <xf numFmtId="165" fontId="1" fillId="17" borderId="0" xfId="1" quotePrefix="1" applyNumberFormat="1" applyFont="1" applyFill="1" applyBorder="1" applyAlignment="1">
      <alignment horizontal="left"/>
    </xf>
    <xf numFmtId="165" fontId="0" fillId="20" borderId="32" xfId="1" quotePrefix="1" applyNumberFormat="1" applyFont="1" applyFill="1" applyBorder="1" applyAlignment="1">
      <alignment horizontal="left"/>
    </xf>
    <xf numFmtId="165" fontId="1" fillId="20" borderId="32" xfId="1" quotePrefix="1" applyNumberFormat="1" applyFont="1" applyFill="1" applyBorder="1" applyAlignment="1">
      <alignment horizontal="left"/>
    </xf>
    <xf numFmtId="165" fontId="0" fillId="21" borderId="32" xfId="1" quotePrefix="1" applyNumberFormat="1" applyFont="1" applyFill="1" applyBorder="1" applyAlignment="1">
      <alignment horizontal="left"/>
    </xf>
    <xf numFmtId="165" fontId="0" fillId="20" borderId="0" xfId="1" quotePrefix="1" applyNumberFormat="1" applyFont="1" applyFill="1" applyBorder="1" applyAlignment="1">
      <alignment horizontal="left"/>
    </xf>
    <xf numFmtId="165" fontId="1" fillId="20" borderId="0" xfId="1" quotePrefix="1" applyNumberFormat="1" applyFont="1" applyFill="1" applyBorder="1" applyAlignment="1">
      <alignment horizontal="left"/>
    </xf>
    <xf numFmtId="165" fontId="0" fillId="21" borderId="0" xfId="1" quotePrefix="1" applyNumberFormat="1" applyFont="1" applyFill="1" applyBorder="1" applyAlignment="1">
      <alignment horizontal="left"/>
    </xf>
    <xf numFmtId="165" fontId="1" fillId="21" borderId="0" xfId="1" quotePrefix="1" applyNumberFormat="1" applyFont="1" applyFill="1" applyBorder="1" applyAlignment="1">
      <alignment horizontal="left"/>
    </xf>
    <xf numFmtId="165" fontId="0" fillId="22" borderId="0" xfId="1" quotePrefix="1" applyNumberFormat="1" applyFont="1" applyFill="1" applyBorder="1" applyAlignment="1">
      <alignment horizontal="left"/>
    </xf>
    <xf numFmtId="165" fontId="11" fillId="18" borderId="0" xfId="1" quotePrefix="1" applyNumberFormat="1" applyFont="1" applyFill="1" applyBorder="1" applyAlignment="1">
      <alignment horizontal="left"/>
    </xf>
    <xf numFmtId="165" fontId="1" fillId="22" borderId="0" xfId="1" quotePrefix="1" applyNumberFormat="1" applyFont="1" applyFill="1" applyBorder="1" applyAlignment="1">
      <alignment horizontal="left"/>
    </xf>
    <xf numFmtId="0" fontId="0" fillId="0" borderId="3" xfId="0" applyFont="1" applyBorder="1" applyAlignment="1">
      <alignment horizontal="left"/>
    </xf>
    <xf numFmtId="0" fontId="0" fillId="0" borderId="0" xfId="0" applyFont="1" applyBorder="1" applyAlignment="1">
      <alignment horizontal="left"/>
    </xf>
    <xf numFmtId="165" fontId="0" fillId="3" borderId="0" xfId="1" quotePrefix="1" applyNumberFormat="1" applyFont="1" applyFill="1" applyBorder="1" applyAlignment="1">
      <alignment horizontal="left"/>
    </xf>
    <xf numFmtId="165" fontId="1" fillId="3" borderId="0" xfId="1" quotePrefix="1" applyNumberFormat="1" applyFont="1" applyFill="1" applyBorder="1" applyAlignment="1">
      <alignment horizontal="left"/>
    </xf>
    <xf numFmtId="165" fontId="73" fillId="23" borderId="0" xfId="1" quotePrefix="1" applyNumberFormat="1" applyFont="1" applyFill="1" applyBorder="1" applyAlignment="1">
      <alignment horizontal="left"/>
    </xf>
    <xf numFmtId="165" fontId="73" fillId="24" borderId="0" xfId="1" quotePrefix="1" applyNumberFormat="1" applyFont="1" applyFill="1" applyBorder="1" applyAlignment="1">
      <alignment horizontal="left"/>
    </xf>
    <xf numFmtId="165" fontId="73" fillId="25" borderId="0" xfId="1" quotePrefix="1" applyNumberFormat="1" applyFont="1" applyFill="1" applyBorder="1" applyAlignment="1">
      <alignment horizontal="left"/>
    </xf>
    <xf numFmtId="165" fontId="11" fillId="25" borderId="0" xfId="1" quotePrefix="1" applyNumberFormat="1" applyFont="1" applyFill="1" applyBorder="1" applyAlignment="1">
      <alignment horizontal="left"/>
    </xf>
    <xf numFmtId="165" fontId="0" fillId="26" borderId="0" xfId="1" quotePrefix="1" applyNumberFormat="1" applyFont="1" applyFill="1" applyBorder="1" applyAlignment="1">
      <alignment horizontal="left"/>
    </xf>
    <xf numFmtId="165" fontId="1" fillId="26" borderId="0" xfId="1" quotePrefix="1" applyNumberFormat="1" applyFont="1" applyFill="1" applyBorder="1" applyAlignment="1">
      <alignment horizontal="left"/>
    </xf>
    <xf numFmtId="165" fontId="0" fillId="27" borderId="0" xfId="1" quotePrefix="1" applyNumberFormat="1" applyFont="1" applyFill="1" applyBorder="1" applyAlignment="1">
      <alignment horizontal="left"/>
    </xf>
    <xf numFmtId="165" fontId="1" fillId="27" borderId="0" xfId="1" quotePrefix="1" applyNumberFormat="1" applyFont="1" applyFill="1" applyBorder="1" applyAlignment="1">
      <alignment horizontal="left"/>
    </xf>
    <xf numFmtId="165" fontId="11" fillId="19" borderId="0" xfId="1" quotePrefix="1" applyNumberFormat="1" applyFont="1" applyFill="1" applyBorder="1" applyAlignment="1">
      <alignment horizontal="left"/>
    </xf>
    <xf numFmtId="165" fontId="11" fillId="28" borderId="0" xfId="1" quotePrefix="1" applyNumberFormat="1" applyFont="1" applyFill="1" applyBorder="1" applyAlignment="1">
      <alignment horizontal="left"/>
    </xf>
    <xf numFmtId="165" fontId="73" fillId="28" borderId="0" xfId="1" quotePrefix="1" applyNumberFormat="1" applyFont="1" applyFill="1" applyBorder="1" applyAlignment="1">
      <alignment horizontal="left"/>
    </xf>
    <xf numFmtId="165" fontId="11" fillId="23" borderId="0" xfId="1" quotePrefix="1" applyNumberFormat="1" applyFont="1" applyFill="1" applyBorder="1" applyAlignment="1">
      <alignment horizontal="left"/>
    </xf>
    <xf numFmtId="165" fontId="0" fillId="19" borderId="0" xfId="1" quotePrefix="1" applyNumberFormat="1" applyFont="1" applyFill="1" applyBorder="1" applyAlignment="1">
      <alignment horizontal="left"/>
    </xf>
    <xf numFmtId="165" fontId="1" fillId="19" borderId="0" xfId="1" quotePrefix="1" applyNumberFormat="1" applyFont="1" applyFill="1" applyBorder="1" applyAlignment="1">
      <alignment horizontal="left"/>
    </xf>
    <xf numFmtId="165" fontId="0" fillId="11" borderId="0" xfId="1" quotePrefix="1" applyNumberFormat="1" applyFont="1" applyFill="1" applyBorder="1" applyAlignment="1">
      <alignment horizontal="left"/>
    </xf>
    <xf numFmtId="165" fontId="1" fillId="11" borderId="0" xfId="1" quotePrefix="1" applyNumberFormat="1" applyFont="1" applyFill="1" applyBorder="1" applyAlignment="1">
      <alignment horizontal="left"/>
    </xf>
    <xf numFmtId="165" fontId="0" fillId="18" borderId="0" xfId="1" quotePrefix="1" applyNumberFormat="1" applyFont="1" applyFill="1" applyBorder="1" applyAlignment="1">
      <alignment horizontal="left"/>
    </xf>
    <xf numFmtId="165" fontId="1" fillId="18" borderId="0" xfId="1" quotePrefix="1" applyNumberFormat="1" applyFont="1" applyFill="1" applyBorder="1" applyAlignment="1">
      <alignment horizontal="left"/>
    </xf>
    <xf numFmtId="165" fontId="1" fillId="28" borderId="0" xfId="1" quotePrefix="1" applyNumberFormat="1" applyFont="1" applyFill="1" applyBorder="1" applyAlignment="1">
      <alignment horizontal="left"/>
    </xf>
    <xf numFmtId="165" fontId="73" fillId="29" borderId="0" xfId="1" quotePrefix="1" applyNumberFormat="1" applyFont="1" applyFill="1" applyBorder="1" applyAlignment="1">
      <alignment horizontal="left"/>
    </xf>
    <xf numFmtId="165" fontId="0" fillId="28" borderId="0" xfId="1" quotePrefix="1" applyNumberFormat="1" applyFont="1" applyFill="1" applyBorder="1" applyAlignment="1">
      <alignment horizontal="left"/>
    </xf>
    <xf numFmtId="0" fontId="0" fillId="19" borderId="0" xfId="0" applyFill="1" applyBorder="1"/>
    <xf numFmtId="165" fontId="73" fillId="30" borderId="0" xfId="1" quotePrefix="1" applyNumberFormat="1" applyFont="1" applyFill="1" applyBorder="1" applyAlignment="1">
      <alignment horizontal="left"/>
    </xf>
    <xf numFmtId="165" fontId="0" fillId="32" borderId="0" xfId="1" quotePrefix="1" applyNumberFormat="1" applyFont="1" applyFill="1" applyBorder="1" applyAlignment="1">
      <alignment horizontal="left"/>
    </xf>
    <xf numFmtId="165" fontId="0" fillId="33" borderId="0" xfId="1" quotePrefix="1" applyNumberFormat="1" applyFont="1" applyFill="1" applyBorder="1" applyAlignment="1">
      <alignment horizontal="left"/>
    </xf>
    <xf numFmtId="165" fontId="1" fillId="33" borderId="0" xfId="1" quotePrefix="1" applyNumberFormat="1" applyFont="1" applyFill="1" applyBorder="1" applyAlignment="1">
      <alignment horizontal="left"/>
    </xf>
    <xf numFmtId="165" fontId="0" fillId="34" borderId="0" xfId="1" quotePrefix="1" applyNumberFormat="1" applyFont="1" applyFill="1" applyBorder="1" applyAlignment="1">
      <alignment horizontal="left"/>
    </xf>
    <xf numFmtId="165" fontId="1" fillId="34" borderId="0" xfId="1" quotePrefix="1" applyNumberFormat="1" applyFont="1" applyFill="1" applyBorder="1" applyAlignment="1">
      <alignment horizontal="left"/>
    </xf>
    <xf numFmtId="165" fontId="0" fillId="12" borderId="0" xfId="1" quotePrefix="1" applyNumberFormat="1" applyFont="1" applyFill="1" applyBorder="1" applyAlignment="1">
      <alignment horizontal="right"/>
    </xf>
    <xf numFmtId="165" fontId="0" fillId="35" borderId="0" xfId="1" quotePrefix="1" applyNumberFormat="1" applyFont="1" applyFill="1" applyBorder="1" applyAlignment="1">
      <alignment horizontal="left"/>
    </xf>
    <xf numFmtId="165" fontId="73" fillId="36" borderId="0" xfId="1" quotePrefix="1" applyNumberFormat="1" applyFont="1" applyFill="1" applyBorder="1" applyAlignment="1">
      <alignment horizontal="left"/>
    </xf>
    <xf numFmtId="165" fontId="73" fillId="33" borderId="0" xfId="1" quotePrefix="1" applyNumberFormat="1" applyFont="1" applyFill="1" applyBorder="1" applyAlignment="1">
      <alignment horizontal="left"/>
    </xf>
    <xf numFmtId="165" fontId="11" fillId="33" borderId="0" xfId="1" quotePrefix="1" applyNumberFormat="1" applyFont="1" applyFill="1" applyBorder="1" applyAlignment="1">
      <alignment horizontal="left"/>
    </xf>
    <xf numFmtId="165" fontId="0" fillId="9" borderId="0" xfId="1" quotePrefix="1" applyNumberFormat="1" applyFont="1" applyFill="1" applyBorder="1" applyAlignment="1">
      <alignment horizontal="left"/>
    </xf>
    <xf numFmtId="165" fontId="73" fillId="37" borderId="0" xfId="1" quotePrefix="1" applyNumberFormat="1" applyFont="1" applyFill="1" applyBorder="1" applyAlignment="1">
      <alignment horizontal="left"/>
    </xf>
    <xf numFmtId="165" fontId="0" fillId="28" borderId="32" xfId="1" quotePrefix="1" applyNumberFormat="1" applyFont="1" applyFill="1" applyBorder="1" applyAlignment="1">
      <alignment horizontal="left"/>
    </xf>
    <xf numFmtId="165" fontId="1" fillId="28" borderId="32" xfId="1" quotePrefix="1" applyNumberFormat="1" applyFont="1" applyFill="1" applyBorder="1" applyAlignment="1">
      <alignment horizontal="left"/>
    </xf>
    <xf numFmtId="165" fontId="1" fillId="21" borderId="32" xfId="1" quotePrefix="1" applyNumberFormat="1" applyFont="1" applyFill="1" applyBorder="1" applyAlignment="1">
      <alignment horizontal="left"/>
    </xf>
    <xf numFmtId="0" fontId="2" fillId="0" borderId="28" xfId="0" applyFont="1" applyBorder="1" applyAlignment="1">
      <alignment horizontal="left"/>
    </xf>
    <xf numFmtId="165" fontId="71" fillId="0" borderId="33" xfId="329" quotePrefix="1" applyNumberFormat="1" applyBorder="1" applyAlignment="1">
      <alignment horizontal="left"/>
    </xf>
    <xf numFmtId="165" fontId="0" fillId="0" borderId="33" xfId="1" quotePrefix="1" applyNumberFormat="1" applyFont="1" applyBorder="1" applyAlignment="1">
      <alignment horizontal="left"/>
    </xf>
    <xf numFmtId="0" fontId="0" fillId="0" borderId="33" xfId="0" applyBorder="1"/>
    <xf numFmtId="165" fontId="1" fillId="0" borderId="28" xfId="1" quotePrefix="1" applyNumberFormat="1" applyFont="1" applyBorder="1" applyAlignment="1">
      <alignment horizontal="left"/>
    </xf>
    <xf numFmtId="165" fontId="0" fillId="11" borderId="32" xfId="1" quotePrefix="1" applyNumberFormat="1" applyFont="1" applyFill="1" applyBorder="1" applyAlignment="1">
      <alignment horizontal="left"/>
    </xf>
    <xf numFmtId="165" fontId="1" fillId="11" borderId="32" xfId="1" quotePrefix="1" applyNumberFormat="1" applyFont="1" applyFill="1" applyBorder="1" applyAlignment="1">
      <alignment horizontal="left"/>
    </xf>
    <xf numFmtId="165" fontId="73" fillId="0" borderId="33" xfId="1" quotePrefix="1" applyNumberFormat="1" applyFont="1" applyFill="1" applyBorder="1" applyAlignment="1">
      <alignment horizontal="left"/>
    </xf>
    <xf numFmtId="165" fontId="1" fillId="0" borderId="33" xfId="1" quotePrefix="1" applyNumberFormat="1" applyFont="1" applyFill="1" applyBorder="1" applyAlignment="1">
      <alignment horizontal="left"/>
    </xf>
    <xf numFmtId="165" fontId="1" fillId="0" borderId="28" xfId="1" quotePrefix="1" applyNumberFormat="1" applyFont="1" applyFill="1" applyBorder="1" applyAlignment="1">
      <alignment horizontal="left"/>
    </xf>
    <xf numFmtId="165" fontId="0" fillId="0" borderId="33" xfId="1" quotePrefix="1" applyNumberFormat="1" applyFont="1" applyFill="1" applyBorder="1" applyAlignment="1">
      <alignment horizontal="left"/>
    </xf>
    <xf numFmtId="165" fontId="0" fillId="0" borderId="28" xfId="1" quotePrefix="1" applyNumberFormat="1" applyFont="1" applyFill="1" applyBorder="1" applyAlignment="1">
      <alignment horizontal="left"/>
    </xf>
    <xf numFmtId="165" fontId="73" fillId="25" borderId="0" xfId="1" quotePrefix="1" applyNumberFormat="1" applyFont="1" applyFill="1" applyBorder="1" applyAlignment="1">
      <alignment horizontal="right"/>
    </xf>
    <xf numFmtId="0" fontId="9" fillId="0" borderId="27" xfId="0" applyFont="1" applyBorder="1" applyAlignment="1">
      <alignment horizontal="left"/>
    </xf>
    <xf numFmtId="0" fontId="2" fillId="0" borderId="4" xfId="0" applyFont="1" applyBorder="1" applyAlignment="1">
      <alignment horizontal="left"/>
    </xf>
    <xf numFmtId="0" fontId="9" fillId="0" borderId="3" xfId="0" applyFont="1" applyBorder="1" applyAlignment="1">
      <alignment horizontal="left"/>
    </xf>
    <xf numFmtId="165" fontId="2" fillId="0" borderId="33" xfId="1" quotePrefix="1" applyNumberFormat="1" applyFont="1" applyBorder="1" applyAlignment="1">
      <alignment horizontal="right"/>
    </xf>
    <xf numFmtId="165" fontId="2" fillId="0" borderId="34" xfId="1" quotePrefix="1" applyNumberFormat="1" applyFont="1" applyBorder="1" applyAlignment="1">
      <alignment horizontal="right"/>
    </xf>
    <xf numFmtId="9" fontId="2" fillId="0" borderId="33" xfId="2" quotePrefix="1" applyFont="1" applyBorder="1" applyAlignment="1">
      <alignment horizontal="right"/>
    </xf>
    <xf numFmtId="9" fontId="0" fillId="0" borderId="0" xfId="2" applyFont="1" applyAlignment="1">
      <alignment horizontal="right"/>
    </xf>
    <xf numFmtId="0" fontId="2" fillId="0" borderId="0" xfId="0" applyFont="1" applyBorder="1"/>
    <xf numFmtId="227" fontId="0" fillId="0" borderId="0" xfId="0" applyNumberFormat="1" applyFont="1" applyFill="1" applyBorder="1" applyAlignment="1" applyProtection="1"/>
    <xf numFmtId="228" fontId="0" fillId="0" borderId="0" xfId="0" applyNumberFormat="1" applyFont="1" applyFill="1" applyBorder="1" applyAlignment="1" applyProtection="1"/>
    <xf numFmtId="2" fontId="0" fillId="0" borderId="0" xfId="0" applyNumberFormat="1"/>
    <xf numFmtId="9" fontId="0" fillId="0" borderId="0" xfId="2" applyFont="1" applyBorder="1"/>
    <xf numFmtId="0" fontId="0" fillId="0" borderId="3" xfId="0" applyFont="1" applyBorder="1" applyAlignment="1">
      <alignment horizontal="left"/>
    </xf>
    <xf numFmtId="0" fontId="0" fillId="0" borderId="4" xfId="0" applyFont="1" applyBorder="1" applyAlignment="1">
      <alignment horizontal="left"/>
    </xf>
    <xf numFmtId="0" fontId="9" fillId="0" borderId="27" xfId="0" applyFont="1" applyFill="1" applyBorder="1" applyAlignment="1">
      <alignment horizontal="left"/>
    </xf>
    <xf numFmtId="165" fontId="1" fillId="0" borderId="27" xfId="1" applyNumberFormat="1" applyFont="1" applyBorder="1" applyAlignment="1">
      <alignment horizontal="right"/>
    </xf>
    <xf numFmtId="165" fontId="1" fillId="0" borderId="33" xfId="1" applyNumberFormat="1" applyFont="1" applyBorder="1" applyAlignment="1">
      <alignment horizontal="right"/>
    </xf>
    <xf numFmtId="165" fontId="1" fillId="0" borderId="34" xfId="1" applyNumberFormat="1" applyFont="1" applyBorder="1" applyAlignment="1">
      <alignment horizontal="right"/>
    </xf>
    <xf numFmtId="43" fontId="1" fillId="0" borderId="6" xfId="1" applyFont="1" applyBorder="1" applyAlignment="1">
      <alignment horizontal="right"/>
    </xf>
    <xf numFmtId="43" fontId="1" fillId="0" borderId="7" xfId="1" applyFont="1" applyBorder="1" applyAlignment="1">
      <alignment horizontal="right"/>
    </xf>
    <xf numFmtId="43" fontId="1" fillId="0" borderId="10" xfId="1" applyFont="1" applyBorder="1" applyAlignment="1">
      <alignment horizontal="right"/>
    </xf>
    <xf numFmtId="43" fontId="1" fillId="0" borderId="8" xfId="1" applyFont="1" applyBorder="1" applyAlignment="1">
      <alignment horizontal="right"/>
    </xf>
    <xf numFmtId="43" fontId="1" fillId="0" borderId="0" xfId="1" applyNumberFormat="1" applyFont="1" applyBorder="1" applyAlignment="1">
      <alignment horizontal="right"/>
    </xf>
    <xf numFmtId="43" fontId="1" fillId="0" borderId="3" xfId="1" applyNumberFormat="1" applyFont="1" applyBorder="1" applyAlignment="1">
      <alignment horizontal="right"/>
    </xf>
    <xf numFmtId="43" fontId="1" fillId="0" borderId="4" xfId="1" applyNumberFormat="1" applyFont="1" applyBorder="1" applyAlignment="1">
      <alignment horizontal="right"/>
    </xf>
    <xf numFmtId="43" fontId="1" fillId="0" borderId="5" xfId="1" applyNumberFormat="1" applyFont="1" applyBorder="1" applyAlignment="1">
      <alignment horizontal="right"/>
    </xf>
    <xf numFmtId="0" fontId="0" fillId="0" borderId="33" xfId="0" applyFont="1" applyFill="1" applyBorder="1" applyAlignment="1">
      <alignment horizontal="left"/>
    </xf>
    <xf numFmtId="165" fontId="1" fillId="10" borderId="0" xfId="1" applyNumberFormat="1" applyFont="1" applyFill="1" applyBorder="1" applyAlignment="1">
      <alignment horizontal="right"/>
    </xf>
    <xf numFmtId="9" fontId="1" fillId="10" borderId="0" xfId="2" applyFont="1" applyFill="1" applyBorder="1" applyAlignment="1">
      <alignment horizontal="right"/>
    </xf>
    <xf numFmtId="9" fontId="1" fillId="10" borderId="3" xfId="2" applyFont="1" applyFill="1" applyBorder="1" applyAlignment="1">
      <alignment horizontal="right"/>
    </xf>
    <xf numFmtId="165" fontId="1" fillId="10" borderId="3" xfId="1" applyNumberFormat="1" applyFont="1" applyFill="1" applyBorder="1" applyAlignment="1">
      <alignment horizontal="right"/>
    </xf>
    <xf numFmtId="165" fontId="1" fillId="10" borderId="4" xfId="1" applyNumberFormat="1" applyFont="1" applyFill="1" applyBorder="1" applyAlignment="1">
      <alignment horizontal="right"/>
    </xf>
    <xf numFmtId="9" fontId="1" fillId="10" borderId="4" xfId="2" applyFont="1" applyFill="1" applyBorder="1" applyAlignment="1">
      <alignment horizontal="right"/>
    </xf>
    <xf numFmtId="0" fontId="0" fillId="0" borderId="6" xfId="0" applyFont="1" applyFill="1" applyBorder="1" applyAlignment="1">
      <alignment horizontal="left"/>
    </xf>
    <xf numFmtId="0" fontId="0" fillId="0" borderId="7" xfId="0" applyFont="1" applyFill="1" applyBorder="1" applyAlignment="1">
      <alignment horizontal="left"/>
    </xf>
    <xf numFmtId="164" fontId="11" fillId="0" borderId="0" xfId="1" applyNumberFormat="1" applyFont="1" applyFill="1" applyAlignment="1">
      <alignment horizontal="right"/>
    </xf>
    <xf numFmtId="167" fontId="0" fillId="0" borderId="0" xfId="1" applyNumberFormat="1" applyFont="1" applyAlignment="1">
      <alignment horizontal="right"/>
    </xf>
    <xf numFmtId="9" fontId="11" fillId="0" borderId="7" xfId="2" applyFont="1" applyBorder="1" applyAlignment="1">
      <alignment horizontal="right"/>
    </xf>
    <xf numFmtId="164" fontId="74" fillId="0" borderId="0" xfId="1" quotePrefix="1" applyNumberFormat="1" applyFont="1" applyBorder="1" applyAlignment="1">
      <alignment horizontal="right"/>
    </xf>
    <xf numFmtId="164" fontId="74" fillId="0" borderId="5" xfId="1" quotePrefix="1" applyNumberFormat="1" applyFont="1" applyBorder="1" applyAlignment="1">
      <alignment horizontal="right"/>
    </xf>
    <xf numFmtId="164" fontId="74" fillId="0" borderId="5" xfId="1" quotePrefix="1" applyNumberFormat="1" applyFont="1" applyFill="1" applyBorder="1" applyAlignment="1">
      <alignment horizontal="right"/>
    </xf>
    <xf numFmtId="0" fontId="11" fillId="0" borderId="0" xfId="0" applyFont="1"/>
    <xf numFmtId="164" fontId="11" fillId="0" borderId="0" xfId="1" quotePrefix="1" applyNumberFormat="1" applyFont="1" applyBorder="1" applyAlignment="1">
      <alignment horizontal="right"/>
    </xf>
    <xf numFmtId="164" fontId="11" fillId="10" borderId="0" xfId="1" quotePrefix="1" applyNumberFormat="1" applyFont="1" applyFill="1" applyBorder="1" applyAlignment="1">
      <alignment horizontal="right"/>
    </xf>
    <xf numFmtId="43" fontId="11" fillId="0" borderId="0" xfId="1" quotePrefix="1" applyNumberFormat="1" applyFont="1" applyBorder="1" applyAlignment="1">
      <alignment horizontal="right"/>
    </xf>
    <xf numFmtId="164" fontId="11" fillId="0" borderId="5" xfId="1" quotePrefix="1" applyNumberFormat="1" applyFont="1" applyBorder="1" applyAlignment="1">
      <alignment horizontal="right"/>
    </xf>
    <xf numFmtId="164" fontId="11" fillId="0" borderId="0" xfId="1" quotePrefix="1" applyNumberFormat="1" applyFont="1" applyFill="1" applyBorder="1" applyAlignment="1">
      <alignment horizontal="right"/>
    </xf>
    <xf numFmtId="164" fontId="11" fillId="0" borderId="5" xfId="1" quotePrefix="1" applyNumberFormat="1" applyFont="1" applyFill="1" applyBorder="1" applyAlignment="1">
      <alignment horizontal="right"/>
    </xf>
    <xf numFmtId="9" fontId="11" fillId="0" borderId="5" xfId="2" applyFont="1" applyBorder="1" applyAlignment="1">
      <alignment horizontal="right"/>
    </xf>
    <xf numFmtId="9" fontId="11" fillId="0" borderId="0" xfId="2" applyFont="1" applyBorder="1" applyAlignment="1">
      <alignment horizontal="right"/>
    </xf>
    <xf numFmtId="9" fontId="11" fillId="0" borderId="0" xfId="2" applyFont="1" applyFill="1" applyBorder="1" applyAlignment="1">
      <alignment horizontal="right"/>
    </xf>
    <xf numFmtId="9" fontId="11" fillId="0" borderId="6" xfId="2" applyFont="1" applyBorder="1" applyAlignment="1">
      <alignment horizontal="right"/>
    </xf>
    <xf numFmtId="9" fontId="1" fillId="0" borderId="10" xfId="2" applyFont="1" applyBorder="1" applyAlignment="1">
      <alignment horizontal="right"/>
    </xf>
    <xf numFmtId="9" fontId="11" fillId="0" borderId="6" xfId="2" applyFont="1" applyFill="1" applyBorder="1" applyAlignment="1">
      <alignment horizontal="right"/>
    </xf>
    <xf numFmtId="9" fontId="11" fillId="0" borderId="10" xfId="2" applyFont="1" applyBorder="1" applyAlignment="1">
      <alignment horizontal="right"/>
    </xf>
    <xf numFmtId="9" fontId="11" fillId="10" borderId="0" xfId="2" applyFont="1" applyFill="1" applyBorder="1" applyAlignment="1">
      <alignment horizontal="right"/>
    </xf>
    <xf numFmtId="9" fontId="11" fillId="10" borderId="7" xfId="2" applyFont="1" applyFill="1" applyBorder="1" applyAlignment="1">
      <alignment horizontal="right"/>
    </xf>
    <xf numFmtId="9" fontId="11" fillId="10" borderId="10" xfId="2"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19" fillId="2" borderId="3" xfId="0" applyFont="1" applyFill="1" applyBorder="1" applyAlignment="1">
      <alignment horizontal="left"/>
    </xf>
    <xf numFmtId="0" fontId="19" fillId="2" borderId="0" xfId="0" applyFont="1" applyFill="1" applyBorder="1" applyAlignment="1">
      <alignment horizontal="left"/>
    </xf>
    <xf numFmtId="0" fontId="0" fillId="0" borderId="6" xfId="0" applyFont="1" applyFill="1" applyBorder="1" applyAlignment="1">
      <alignment horizontal="left"/>
    </xf>
    <xf numFmtId="0" fontId="0" fillId="0" borderId="7"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4" xfId="0" applyFont="1" applyBorder="1" applyAlignment="1">
      <alignment horizontal="left"/>
    </xf>
    <xf numFmtId="0" fontId="0" fillId="0" borderId="3" xfId="0" applyFont="1" applyFill="1" applyBorder="1" applyAlignment="1">
      <alignment horizontal="left"/>
    </xf>
    <xf numFmtId="0" fontId="0" fillId="0" borderId="0" xfId="0" applyFont="1" applyFill="1" applyBorder="1" applyAlignment="1">
      <alignment horizontal="left"/>
    </xf>
    <xf numFmtId="0" fontId="0" fillId="0" borderId="0"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2" fillId="0" borderId="15" xfId="0" applyFont="1" applyBorder="1" applyAlignment="1">
      <alignment horizontal="left"/>
    </xf>
    <xf numFmtId="43" fontId="2" fillId="0" borderId="7" xfId="1" applyNumberFormat="1" applyFont="1" applyFill="1" applyBorder="1" applyAlignment="1">
      <alignment horizontal="right"/>
    </xf>
    <xf numFmtId="43" fontId="1" fillId="0" borderId="7" xfId="1" applyNumberFormat="1" applyFont="1" applyFill="1" applyBorder="1" applyAlignment="1">
      <alignment horizontal="right"/>
    </xf>
    <xf numFmtId="43" fontId="1" fillId="0" borderId="5" xfId="1" applyNumberFormat="1" applyFont="1" applyFill="1" applyBorder="1" applyAlignment="1">
      <alignment horizontal="right"/>
    </xf>
    <xf numFmtId="43" fontId="11" fillId="0" borderId="5" xfId="1" applyNumberFormat="1" applyFont="1" applyFill="1" applyBorder="1" applyAlignment="1">
      <alignment horizontal="right"/>
    </xf>
    <xf numFmtId="43" fontId="11" fillId="0" borderId="3" xfId="1" applyNumberFormat="1" applyFont="1" applyFill="1" applyBorder="1" applyAlignment="1">
      <alignment horizontal="right"/>
    </xf>
    <xf numFmtId="43" fontId="7" fillId="0" borderId="7" xfId="1" applyNumberFormat="1" applyFont="1" applyFill="1" applyBorder="1" applyAlignment="1">
      <alignment horizontal="right"/>
    </xf>
    <xf numFmtId="43" fontId="2" fillId="0" borderId="10" xfId="1" applyNumberFormat="1" applyFont="1" applyFill="1" applyBorder="1" applyAlignment="1">
      <alignment horizontal="right"/>
    </xf>
    <xf numFmtId="43" fontId="1" fillId="0" borderId="10" xfId="1" applyNumberFormat="1" applyFont="1" applyFill="1" applyBorder="1" applyAlignment="1">
      <alignment horizontal="right"/>
    </xf>
    <xf numFmtId="43" fontId="1" fillId="0" borderId="6" xfId="1" applyNumberFormat="1" applyFont="1" applyFill="1" applyBorder="1" applyAlignment="1">
      <alignment horizontal="right"/>
    </xf>
    <xf numFmtId="9" fontId="1" fillId="0" borderId="6" xfId="2" applyFont="1" applyFill="1" applyBorder="1" applyAlignment="1">
      <alignment horizontal="right"/>
    </xf>
    <xf numFmtId="9" fontId="1" fillId="0" borderId="7" xfId="2" applyFont="1" applyFill="1" applyBorder="1" applyAlignment="1">
      <alignment horizontal="right"/>
    </xf>
    <xf numFmtId="9" fontId="1" fillId="0" borderId="10" xfId="2" applyFont="1" applyFill="1" applyBorder="1" applyAlignment="1">
      <alignment horizontal="right"/>
    </xf>
    <xf numFmtId="9" fontId="1" fillId="10" borderId="7" xfId="2" applyFont="1" applyFill="1" applyBorder="1" applyAlignment="1">
      <alignment horizontal="right"/>
    </xf>
    <xf numFmtId="9" fontId="1" fillId="10" borderId="10" xfId="2" applyFont="1" applyFill="1" applyBorder="1" applyAlignment="1">
      <alignment horizontal="right"/>
    </xf>
    <xf numFmtId="9" fontId="1" fillId="10" borderId="6" xfId="2" applyFont="1" applyFill="1" applyBorder="1" applyAlignment="1">
      <alignment horizontal="right"/>
    </xf>
    <xf numFmtId="9" fontId="1" fillId="0" borderId="8" xfId="2" applyFont="1" applyFill="1" applyBorder="1" applyAlignment="1">
      <alignment horizontal="right"/>
    </xf>
    <xf numFmtId="9" fontId="1" fillId="0" borderId="7" xfId="2" applyNumberFormat="1" applyFont="1" applyFill="1" applyBorder="1" applyAlignment="1">
      <alignment horizontal="right"/>
    </xf>
    <xf numFmtId="9" fontId="11" fillId="10" borderId="6" xfId="2" applyFont="1" applyFill="1" applyBorder="1" applyAlignment="1">
      <alignment horizontal="right"/>
    </xf>
    <xf numFmtId="9" fontId="11" fillId="0" borderId="8" xfId="2" applyFont="1" applyBorder="1" applyAlignment="1">
      <alignment horizontal="right"/>
    </xf>
    <xf numFmtId="164" fontId="0" fillId="0" borderId="0" xfId="1" applyNumberFormat="1" applyFont="1" applyFill="1" applyAlignment="1">
      <alignment horizontal="left"/>
    </xf>
    <xf numFmtId="9" fontId="1" fillId="0" borderId="0" xfId="2" quotePrefix="1" applyNumberFormat="1" applyFont="1" applyFill="1" applyBorder="1" applyAlignment="1">
      <alignment horizontal="right"/>
    </xf>
    <xf numFmtId="9" fontId="1" fillId="0" borderId="0" xfId="2" quotePrefix="1" applyNumberFormat="1" applyFont="1" applyBorder="1" applyAlignment="1">
      <alignment horizontal="right"/>
    </xf>
    <xf numFmtId="9" fontId="1" fillId="0" borderId="5" xfId="2" quotePrefix="1" applyNumberFormat="1" applyFont="1" applyBorder="1" applyAlignment="1">
      <alignment horizontal="right"/>
    </xf>
    <xf numFmtId="165" fontId="0" fillId="10" borderId="3" xfId="1" applyNumberFormat="1" applyFont="1" applyFill="1" applyBorder="1" applyAlignment="1">
      <alignment horizontal="right"/>
    </xf>
    <xf numFmtId="165" fontId="1" fillId="22" borderId="3" xfId="1" applyNumberFormat="1" applyFont="1" applyFill="1" applyBorder="1" applyAlignment="1">
      <alignment horizontal="right"/>
    </xf>
    <xf numFmtId="165" fontId="1" fillId="22" borderId="0" xfId="1" applyNumberFormat="1" applyFont="1" applyFill="1" applyBorder="1" applyAlignment="1">
      <alignment horizontal="right"/>
    </xf>
    <xf numFmtId="165" fontId="1" fillId="22" borderId="4" xfId="1" applyNumberFormat="1" applyFont="1" applyFill="1" applyBorder="1" applyAlignment="1">
      <alignment horizontal="right"/>
    </xf>
    <xf numFmtId="165" fontId="1" fillId="22" borderId="5" xfId="1" applyNumberFormat="1" applyFont="1" applyFill="1" applyBorder="1" applyAlignment="1">
      <alignment horizontal="right"/>
    </xf>
    <xf numFmtId="43" fontId="2" fillId="22" borderId="3" xfId="1" applyNumberFormat="1" applyFont="1" applyFill="1" applyBorder="1" applyAlignment="1">
      <alignment horizontal="right"/>
    </xf>
    <xf numFmtId="43" fontId="2" fillId="22" borderId="0" xfId="1" applyNumberFormat="1" applyFont="1" applyFill="1" applyBorder="1" applyAlignment="1">
      <alignment horizontal="right"/>
    </xf>
    <xf numFmtId="43" fontId="2" fillId="22" borderId="4" xfId="1" applyNumberFormat="1" applyFont="1" applyFill="1" applyBorder="1" applyAlignment="1">
      <alignment horizontal="right"/>
    </xf>
    <xf numFmtId="43" fontId="2" fillId="22" borderId="5" xfId="1" applyNumberFormat="1" applyFont="1" applyFill="1" applyBorder="1" applyAlignment="1">
      <alignment horizontal="right"/>
    </xf>
    <xf numFmtId="43" fontId="1" fillId="22" borderId="0" xfId="1" applyNumberFormat="1" applyFont="1" applyFill="1" applyBorder="1" applyAlignment="1">
      <alignment horizontal="right"/>
    </xf>
    <xf numFmtId="43" fontId="1" fillId="22" borderId="5" xfId="1" applyNumberFormat="1" applyFont="1" applyFill="1" applyBorder="1" applyAlignment="1">
      <alignment horizontal="right"/>
    </xf>
    <xf numFmtId="0" fontId="11" fillId="0" borderId="0" xfId="0" applyFont="1" applyFill="1"/>
    <xf numFmtId="0" fontId="0" fillId="0" borderId="27" xfId="0" applyFont="1" applyFill="1" applyBorder="1" applyAlignment="1">
      <alignment horizontal="left"/>
    </xf>
    <xf numFmtId="165" fontId="1" fillId="0" borderId="33" xfId="1" applyNumberFormat="1" applyFont="1" applyFill="1" applyBorder="1" applyAlignment="1">
      <alignment horizontal="right"/>
    </xf>
    <xf numFmtId="165" fontId="11" fillId="0" borderId="33" xfId="1" applyNumberFormat="1" applyFont="1" applyFill="1" applyBorder="1" applyAlignment="1">
      <alignment horizontal="right"/>
    </xf>
    <xf numFmtId="165" fontId="11" fillId="0" borderId="34" xfId="1" applyNumberFormat="1" applyFont="1" applyFill="1" applyBorder="1" applyAlignment="1">
      <alignment horizontal="right"/>
    </xf>
    <xf numFmtId="9" fontId="11" fillId="0" borderId="33" xfId="2" applyNumberFormat="1" applyFont="1" applyFill="1" applyBorder="1" applyAlignment="1">
      <alignment horizontal="right"/>
    </xf>
    <xf numFmtId="9" fontId="11" fillId="0" borderId="34" xfId="1" applyNumberFormat="1" applyFont="1" applyFill="1" applyBorder="1" applyAlignment="1">
      <alignment horizontal="right"/>
    </xf>
    <xf numFmtId="9" fontId="11" fillId="10" borderId="33" xfId="2" applyNumberFormat="1" applyFont="1" applyFill="1" applyBorder="1" applyAlignment="1">
      <alignment horizontal="right"/>
    </xf>
    <xf numFmtId="9" fontId="11" fillId="0" borderId="34" xfId="2" applyNumberFormat="1" applyFont="1" applyFill="1" applyBorder="1" applyAlignment="1">
      <alignment horizontal="right"/>
    </xf>
    <xf numFmtId="9" fontId="11" fillId="10" borderId="33" xfId="1" applyNumberFormat="1" applyFont="1" applyFill="1" applyBorder="1" applyAlignment="1">
      <alignment horizontal="right"/>
    </xf>
    <xf numFmtId="0" fontId="0" fillId="0" borderId="14" xfId="0" applyFont="1" applyFill="1" applyBorder="1" applyAlignment="1">
      <alignment horizontal="left"/>
    </xf>
    <xf numFmtId="165" fontId="1" fillId="0" borderId="32" xfId="1" applyNumberFormat="1" applyFont="1" applyFill="1" applyBorder="1" applyAlignment="1">
      <alignment horizontal="right"/>
    </xf>
    <xf numFmtId="165" fontId="11" fillId="0" borderId="32" xfId="1" applyNumberFormat="1" applyFont="1" applyFill="1" applyBorder="1" applyAlignment="1">
      <alignment horizontal="right"/>
    </xf>
    <xf numFmtId="165" fontId="11" fillId="0" borderId="31" xfId="1" applyNumberFormat="1" applyFont="1" applyFill="1" applyBorder="1" applyAlignment="1">
      <alignment horizontal="right"/>
    </xf>
    <xf numFmtId="9" fontId="11" fillId="0" borderId="32" xfId="2" applyNumberFormat="1" applyFont="1" applyFill="1" applyBorder="1" applyAlignment="1">
      <alignment horizontal="right"/>
    </xf>
    <xf numFmtId="9" fontId="11" fillId="0" borderId="31" xfId="1" applyNumberFormat="1" applyFont="1" applyFill="1" applyBorder="1" applyAlignment="1">
      <alignment horizontal="right"/>
    </xf>
    <xf numFmtId="9" fontId="11" fillId="10" borderId="32" xfId="2" applyNumberFormat="1" applyFont="1" applyFill="1" applyBorder="1" applyAlignment="1">
      <alignment horizontal="right"/>
    </xf>
    <xf numFmtId="9" fontId="11" fillId="0" borderId="31" xfId="2" applyNumberFormat="1" applyFont="1" applyFill="1" applyBorder="1" applyAlignment="1">
      <alignment horizontal="right"/>
    </xf>
    <xf numFmtId="9" fontId="11" fillId="10" borderId="32" xfId="1" applyNumberFormat="1" applyFont="1" applyFill="1" applyBorder="1" applyAlignment="1">
      <alignment horizontal="right"/>
    </xf>
    <xf numFmtId="164" fontId="2" fillId="0" borderId="3" xfId="1" quotePrefix="1" applyNumberFormat="1" applyFont="1" applyBorder="1" applyAlignment="1">
      <alignment horizontal="right"/>
    </xf>
    <xf numFmtId="164" fontId="13" fillId="0" borderId="0" xfId="1" quotePrefix="1" applyNumberFormat="1" applyFont="1" applyBorder="1" applyAlignment="1">
      <alignment horizontal="right"/>
    </xf>
    <xf numFmtId="164" fontId="13" fillId="0" borderId="5" xfId="1" quotePrefix="1" applyNumberFormat="1" applyFont="1" applyBorder="1" applyAlignment="1">
      <alignment horizontal="right"/>
    </xf>
    <xf numFmtId="164" fontId="13" fillId="0" borderId="5" xfId="1" quotePrefix="1" applyNumberFormat="1" applyFont="1" applyFill="1" applyBorder="1" applyAlignment="1">
      <alignment horizontal="right"/>
    </xf>
    <xf numFmtId="9" fontId="11" fillId="0" borderId="0" xfId="2" quotePrefix="1" applyFont="1" applyBorder="1" applyAlignment="1">
      <alignment horizontal="right"/>
    </xf>
    <xf numFmtId="9" fontId="11" fillId="10" borderId="0" xfId="2" quotePrefix="1" applyFont="1" applyFill="1" applyBorder="1" applyAlignment="1">
      <alignment horizontal="right"/>
    </xf>
    <xf numFmtId="164" fontId="2" fillId="0" borderId="14" xfId="1" quotePrefix="1" applyNumberFormat="1" applyFont="1" applyBorder="1" applyAlignment="1">
      <alignment horizontal="right"/>
    </xf>
    <xf numFmtId="164" fontId="13" fillId="0" borderId="32" xfId="1" quotePrefix="1" applyNumberFormat="1" applyFont="1" applyBorder="1" applyAlignment="1">
      <alignment horizontal="right"/>
    </xf>
    <xf numFmtId="164" fontId="13" fillId="0" borderId="31" xfId="1" quotePrefix="1" applyNumberFormat="1" applyFont="1" applyBorder="1" applyAlignment="1">
      <alignment horizontal="right"/>
    </xf>
    <xf numFmtId="9" fontId="11" fillId="0" borderId="32" xfId="2" quotePrefix="1" applyFont="1" applyBorder="1" applyAlignment="1">
      <alignment horizontal="right"/>
    </xf>
    <xf numFmtId="164" fontId="13" fillId="0" borderId="31" xfId="1" quotePrefix="1" applyNumberFormat="1" applyFont="1" applyFill="1" applyBorder="1" applyAlignment="1">
      <alignment horizontal="right"/>
    </xf>
    <xf numFmtId="9" fontId="11" fillId="10" borderId="32" xfId="2" quotePrefix="1" applyFont="1" applyFill="1" applyBorder="1" applyAlignment="1">
      <alignment horizontal="right"/>
    </xf>
    <xf numFmtId="0" fontId="9" fillId="0" borderId="4" xfId="0" applyFont="1" applyFill="1" applyBorder="1" applyAlignment="1">
      <alignment horizontal="left"/>
    </xf>
    <xf numFmtId="164" fontId="1" fillId="0" borderId="3" xfId="1" quotePrefix="1" applyNumberFormat="1" applyFont="1" applyFill="1" applyBorder="1" applyAlignment="1">
      <alignment horizontal="right"/>
    </xf>
    <xf numFmtId="165" fontId="1" fillId="0" borderId="3" xfId="1" quotePrefix="1" applyNumberFormat="1" applyFont="1" applyFill="1" applyBorder="1" applyAlignment="1">
      <alignment horizontal="right"/>
    </xf>
    <xf numFmtId="165" fontId="11" fillId="0" borderId="0" xfId="1" quotePrefix="1" applyNumberFormat="1" applyFont="1" applyFill="1" applyBorder="1" applyAlignment="1">
      <alignment horizontal="right"/>
    </xf>
    <xf numFmtId="165" fontId="11" fillId="0" borderId="5" xfId="1" quotePrefix="1" applyNumberFormat="1" applyFont="1" applyFill="1" applyBorder="1" applyAlignment="1">
      <alignment horizontal="right"/>
    </xf>
    <xf numFmtId="165" fontId="11" fillId="0" borderId="0" xfId="1" quotePrefix="1" applyNumberFormat="1" applyFont="1" applyBorder="1" applyAlignment="1">
      <alignment horizontal="right"/>
    </xf>
    <xf numFmtId="165" fontId="11" fillId="0" borderId="5" xfId="1" quotePrefix="1" applyNumberFormat="1" applyFont="1" applyBorder="1" applyAlignment="1">
      <alignment horizontal="right"/>
    </xf>
    <xf numFmtId="43" fontId="11" fillId="0" borderId="0" xfId="1" quotePrefix="1" applyNumberFormat="1" applyFont="1" applyFill="1" applyBorder="1" applyAlignment="1">
      <alignment horizontal="right"/>
    </xf>
    <xf numFmtId="9" fontId="1" fillId="0" borderId="3" xfId="2" applyFont="1" applyFill="1" applyBorder="1" applyAlignment="1">
      <alignment horizontal="right"/>
    </xf>
    <xf numFmtId="9" fontId="11" fillId="0" borderId="5" xfId="2" applyFont="1" applyFill="1" applyBorder="1" applyAlignment="1">
      <alignment horizontal="right"/>
    </xf>
    <xf numFmtId="165" fontId="3" fillId="0" borderId="3" xfId="1" applyNumberFormat="1" applyFont="1" applyBorder="1" applyAlignment="1">
      <alignment horizontal="right"/>
    </xf>
    <xf numFmtId="165" fontId="3" fillId="0" borderId="0" xfId="1" applyNumberFormat="1" applyFont="1" applyBorder="1" applyAlignment="1">
      <alignment horizontal="right"/>
    </xf>
    <xf numFmtId="165" fontId="3" fillId="0" borderId="4" xfId="1" applyNumberFormat="1" applyFont="1" applyBorder="1" applyAlignment="1">
      <alignment horizontal="right"/>
    </xf>
    <xf numFmtId="165" fontId="3" fillId="0" borderId="5" xfId="1" applyNumberFormat="1" applyFont="1" applyBorder="1" applyAlignment="1">
      <alignment horizontal="right"/>
    </xf>
    <xf numFmtId="165" fontId="74" fillId="0" borderId="0" xfId="1" applyNumberFormat="1" applyFont="1" applyFill="1" applyBorder="1" applyAlignment="1">
      <alignment horizontal="right"/>
    </xf>
    <xf numFmtId="165" fontId="74" fillId="0" borderId="5" xfId="1" applyNumberFormat="1" applyFont="1" applyFill="1" applyBorder="1" applyAlignment="1">
      <alignment horizontal="right"/>
    </xf>
    <xf numFmtId="0" fontId="0" fillId="0" borderId="27" xfId="0" applyFont="1" applyBorder="1" applyAlignment="1">
      <alignment horizontal="left"/>
    </xf>
    <xf numFmtId="0" fontId="0" fillId="0" borderId="28" xfId="0" applyFont="1" applyBorder="1" applyAlignment="1">
      <alignment horizontal="left"/>
    </xf>
    <xf numFmtId="165" fontId="1" fillId="0" borderId="28" xfId="1" applyNumberFormat="1" applyFont="1" applyBorder="1" applyAlignment="1">
      <alignment horizontal="right"/>
    </xf>
    <xf numFmtId="165" fontId="4" fillId="0" borderId="14" xfId="1" applyNumberFormat="1" applyFont="1" applyBorder="1" applyAlignment="1">
      <alignment horizontal="right"/>
    </xf>
    <xf numFmtId="165" fontId="4" fillId="0" borderId="32" xfId="1" applyNumberFormat="1" applyFont="1" applyBorder="1" applyAlignment="1">
      <alignment horizontal="right"/>
    </xf>
    <xf numFmtId="165" fontId="4" fillId="0" borderId="15" xfId="1" applyNumberFormat="1" applyFont="1" applyBorder="1" applyAlignment="1">
      <alignment horizontal="right"/>
    </xf>
    <xf numFmtId="165" fontId="4" fillId="0" borderId="31" xfId="1" applyNumberFormat="1" applyFont="1" applyBorder="1" applyAlignment="1">
      <alignment horizontal="right"/>
    </xf>
    <xf numFmtId="165" fontId="12" fillId="0" borderId="32" xfId="1" applyNumberFormat="1" applyFont="1" applyFill="1" applyBorder="1" applyAlignment="1">
      <alignment horizontal="right"/>
    </xf>
    <xf numFmtId="165" fontId="12" fillId="0" borderId="31" xfId="1" applyNumberFormat="1" applyFont="1" applyFill="1" applyBorder="1" applyAlignment="1">
      <alignment horizontal="right"/>
    </xf>
    <xf numFmtId="165" fontId="12" fillId="10" borderId="32" xfId="1" applyNumberFormat="1" applyFont="1" applyFill="1" applyBorder="1" applyAlignment="1">
      <alignment horizontal="right"/>
    </xf>
    <xf numFmtId="43" fontId="8" fillId="0" borderId="0" xfId="1" applyNumberFormat="1" applyFont="1" applyFill="1" applyBorder="1" applyAlignment="1">
      <alignment horizontal="right"/>
    </xf>
    <xf numFmtId="165" fontId="6" fillId="0" borderId="0" xfId="1" applyNumberFormat="1" applyFont="1" applyFill="1" applyBorder="1" applyAlignment="1">
      <alignment horizontal="right"/>
    </xf>
    <xf numFmtId="0" fontId="11" fillId="0" borderId="0" xfId="2" applyNumberFormat="1" applyFont="1" applyBorder="1" applyAlignment="1">
      <alignment horizontal="right"/>
    </xf>
    <xf numFmtId="166" fontId="0" fillId="0" borderId="33" xfId="2" applyNumberFormat="1" applyFont="1" applyBorder="1" applyAlignment="1">
      <alignment horizontal="right"/>
    </xf>
    <xf numFmtId="9" fontId="0" fillId="0" borderId="34" xfId="2" applyFont="1" applyBorder="1" applyAlignment="1">
      <alignment horizontal="right"/>
    </xf>
    <xf numFmtId="166" fontId="0" fillId="10" borderId="33" xfId="2"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ill="1" applyAlignment="1">
      <alignment horizontal="center" textRotation="90"/>
    </xf>
    <xf numFmtId="165" fontId="76" fillId="0" borderId="32" xfId="1" quotePrefix="1" applyNumberFormat="1" applyFont="1" applyFill="1" applyBorder="1" applyAlignment="1">
      <alignment horizontal="right"/>
    </xf>
    <xf numFmtId="165" fontId="76" fillId="0" borderId="31" xfId="1" quotePrefix="1" applyNumberFormat="1" applyFont="1" applyFill="1" applyBorder="1" applyAlignment="1">
      <alignment horizontal="right"/>
    </xf>
    <xf numFmtId="167" fontId="0" fillId="0" borderId="0" xfId="1" applyNumberFormat="1" applyFont="1" applyFill="1"/>
    <xf numFmtId="0" fontId="75" fillId="0" borderId="0" xfId="0" applyFont="1" applyFill="1" applyAlignment="1">
      <alignment horizontal="center" vertical="center" wrapText="1"/>
    </xf>
    <xf numFmtId="0" fontId="0" fillId="0" borderId="0" xfId="0" applyAlignment="1">
      <alignment horizontal="center" vertical="center"/>
    </xf>
    <xf numFmtId="165" fontId="0" fillId="0" borderId="0" xfId="1" applyNumberFormat="1" applyFont="1" applyFill="1" applyBorder="1"/>
    <xf numFmtId="164" fontId="18" fillId="0" borderId="0" xfId="1" quotePrefix="1" applyNumberFormat="1" applyFont="1" applyFill="1" applyBorder="1" applyAlignment="1">
      <alignment horizontal="left"/>
    </xf>
    <xf numFmtId="164" fontId="18" fillId="0" borderId="0" xfId="1" quotePrefix="1" applyNumberFormat="1" applyFont="1" applyFill="1" applyBorder="1" applyAlignment="1">
      <alignment horizontal="right"/>
    </xf>
    <xf numFmtId="164" fontId="0" fillId="0" borderId="0" xfId="1" applyNumberFormat="1" applyFont="1" applyFill="1" applyBorder="1"/>
    <xf numFmtId="166" fontId="0" fillId="0" borderId="0" xfId="2" applyNumberFormat="1" applyFont="1" applyFill="1" applyBorder="1"/>
    <xf numFmtId="9" fontId="0" fillId="0" borderId="0" xfId="2" quotePrefix="1" applyNumberFormat="1" applyFont="1" applyBorder="1" applyAlignment="1">
      <alignment horizontal="right"/>
    </xf>
    <xf numFmtId="9" fontId="0" fillId="0" borderId="5" xfId="2" quotePrefix="1" applyNumberFormat="1" applyFont="1" applyBorder="1" applyAlignment="1">
      <alignment horizontal="right"/>
    </xf>
    <xf numFmtId="9" fontId="0" fillId="0" borderId="0" xfId="2" quotePrefix="1" applyNumberFormat="1" applyFont="1" applyFill="1" applyBorder="1" applyAlignment="1">
      <alignment horizontal="right"/>
    </xf>
    <xf numFmtId="9" fontId="0" fillId="0" borderId="5" xfId="2" quotePrefix="1" applyNumberFormat="1" applyFont="1" applyFill="1" applyBorder="1" applyAlignment="1">
      <alignment horizontal="right"/>
    </xf>
    <xf numFmtId="9" fontId="0" fillId="10" borderId="0" xfId="2" quotePrefix="1" applyNumberFormat="1" applyFont="1" applyFill="1" applyBorder="1" applyAlignment="1">
      <alignment horizontal="right"/>
    </xf>
    <xf numFmtId="164" fontId="67" fillId="3" borderId="2" xfId="1" quotePrefix="1" applyNumberFormat="1" applyFont="1" applyFill="1" applyBorder="1" applyAlignment="1">
      <alignment horizontal="center" wrapText="1"/>
    </xf>
    <xf numFmtId="164" fontId="18" fillId="2" borderId="2" xfId="1" quotePrefix="1" applyNumberFormat="1" applyFont="1" applyFill="1" applyBorder="1" applyAlignment="1">
      <alignment horizontal="center" wrapText="1"/>
    </xf>
    <xf numFmtId="164" fontId="18" fillId="2" borderId="1" xfId="1" quotePrefix="1" applyNumberFormat="1" applyFont="1" applyFill="1" applyBorder="1" applyAlignment="1">
      <alignment horizontal="right" wrapText="1"/>
    </xf>
    <xf numFmtId="164" fontId="18" fillId="2" borderId="11" xfId="1" quotePrefix="1" applyNumberFormat="1" applyFont="1" applyFill="1" applyBorder="1" applyAlignment="1">
      <alignment horizontal="center" wrapText="1"/>
    </xf>
    <xf numFmtId="0" fontId="0" fillId="0" borderId="3" xfId="0" applyBorder="1"/>
    <xf numFmtId="14" fontId="0" fillId="0" borderId="0" xfId="0" applyNumberFormat="1" applyBorder="1" applyAlignment="1">
      <alignment horizontal="center" vertical="center"/>
    </xf>
    <xf numFmtId="0" fontId="0" fillId="0" borderId="0" xfId="0" applyBorder="1" applyAlignment="1">
      <alignment horizontal="center" vertical="center"/>
    </xf>
    <xf numFmtId="229" fontId="0" fillId="0" borderId="0" xfId="0" applyNumberFormat="1" applyBorder="1" applyAlignment="1">
      <alignment horizontal="center" vertical="center"/>
    </xf>
    <xf numFmtId="10" fontId="0" fillId="0" borderId="0" xfId="0" applyNumberFormat="1" applyBorder="1" applyAlignment="1">
      <alignment horizontal="center" vertical="center"/>
    </xf>
    <xf numFmtId="8" fontId="0" fillId="0" borderId="0" xfId="0" applyNumberFormat="1" applyBorder="1" applyAlignment="1">
      <alignment horizontal="center" vertical="center"/>
    </xf>
    <xf numFmtId="10" fontId="0" fillId="0" borderId="4" xfId="0" applyNumberFormat="1" applyBorder="1" applyAlignment="1">
      <alignment horizontal="center" vertical="center"/>
    </xf>
    <xf numFmtId="0" fontId="0" fillId="0" borderId="6" xfId="0" applyBorder="1"/>
    <xf numFmtId="14" fontId="0" fillId="0" borderId="7" xfId="0" applyNumberFormat="1" applyBorder="1" applyAlignment="1">
      <alignment horizontal="center" vertical="center"/>
    </xf>
    <xf numFmtId="0" fontId="0" fillId="0" borderId="7" xfId="0" applyBorder="1" applyAlignment="1">
      <alignment horizontal="center" vertical="center"/>
    </xf>
    <xf numFmtId="229" fontId="0" fillId="0" borderId="7" xfId="0" applyNumberFormat="1" applyBorder="1" applyAlignment="1">
      <alignment horizontal="center" vertical="center"/>
    </xf>
    <xf numFmtId="10" fontId="0" fillId="0" borderId="7" xfId="0" applyNumberFormat="1" applyBorder="1" applyAlignment="1">
      <alignment horizontal="center" vertical="center"/>
    </xf>
    <xf numFmtId="8" fontId="0" fillId="0" borderId="7" xfId="0" applyNumberFormat="1" applyBorder="1" applyAlignment="1">
      <alignment horizontal="center" vertical="center"/>
    </xf>
    <xf numFmtId="10" fontId="0" fillId="0" borderId="10" xfId="0" applyNumberFormat="1" applyBorder="1" applyAlignment="1">
      <alignment horizontal="center" vertical="center"/>
    </xf>
    <xf numFmtId="164" fontId="67" fillId="3" borderId="1" xfId="1" quotePrefix="1" applyNumberFormat="1" applyFont="1" applyFill="1" applyBorder="1" applyAlignment="1">
      <alignment horizontal="right" wrapText="1"/>
    </xf>
    <xf numFmtId="164" fontId="67" fillId="3" borderId="11" xfId="1" quotePrefix="1" applyNumberFormat="1" applyFont="1" applyFill="1" applyBorder="1" applyAlignment="1">
      <alignment horizontal="center" wrapText="1"/>
    </xf>
    <xf numFmtId="0" fontId="0" fillId="0" borderId="3" xfId="0" applyBorder="1" applyAlignment="1">
      <alignment horizontal="center" vertical="center"/>
    </xf>
    <xf numFmtId="17" fontId="0" fillId="0" borderId="0" xfId="0" applyNumberFormat="1" applyBorder="1" applyAlignment="1">
      <alignment horizontal="center" vertical="center"/>
    </xf>
    <xf numFmtId="230" fontId="0" fillId="0" borderId="0" xfId="0" applyNumberForma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17" fontId="72" fillId="17" borderId="7" xfId="0" applyNumberFormat="1" applyFont="1" applyFill="1" applyBorder="1" applyAlignment="1">
      <alignment horizontal="left" vertical="center"/>
    </xf>
    <xf numFmtId="17" fontId="72" fillId="17" borderId="10" xfId="0" applyNumberFormat="1" applyFont="1" applyFill="1" applyBorder="1" applyAlignment="1">
      <alignment horizontal="left" vertical="center"/>
    </xf>
    <xf numFmtId="1" fontId="0" fillId="0" borderId="0" xfId="0" applyNumberFormat="1" applyBorder="1" applyAlignment="1">
      <alignment horizontal="center" vertical="center"/>
    </xf>
    <xf numFmtId="1" fontId="0" fillId="0" borderId="7" xfId="0" applyNumberFormat="1" applyBorder="1" applyAlignment="1">
      <alignment horizontal="center" vertical="center"/>
    </xf>
    <xf numFmtId="231" fontId="0" fillId="0" borderId="4" xfId="0" applyNumberFormat="1" applyBorder="1" applyAlignment="1">
      <alignment horizontal="center" vertical="center"/>
    </xf>
    <xf numFmtId="231" fontId="0" fillId="0" borderId="10" xfId="0" applyNumberFormat="1" applyBorder="1" applyAlignment="1">
      <alignment horizontal="center" vertical="center"/>
    </xf>
    <xf numFmtId="166" fontId="0" fillId="0" borderId="4" xfId="0" applyNumberFormat="1" applyBorder="1" applyAlignment="1">
      <alignment horizontal="center" vertical="center"/>
    </xf>
    <xf numFmtId="232" fontId="0" fillId="0" borderId="4" xfId="0" applyNumberFormat="1" applyBorder="1" applyAlignment="1">
      <alignment horizontal="center" vertical="center"/>
    </xf>
    <xf numFmtId="1" fontId="0" fillId="0" borderId="40" xfId="0" applyNumberFormat="1" applyBorder="1" applyAlignment="1">
      <alignment horizontal="center" vertical="center"/>
    </xf>
    <xf numFmtId="231" fontId="0" fillId="0" borderId="41" xfId="0" applyNumberFormat="1" applyBorder="1" applyAlignment="1">
      <alignment horizontal="center" vertical="center"/>
    </xf>
    <xf numFmtId="166" fontId="0" fillId="0" borderId="41" xfId="0" applyNumberFormat="1" applyBorder="1" applyAlignment="1">
      <alignment horizontal="center" vertical="center"/>
    </xf>
    <xf numFmtId="231" fontId="0" fillId="0" borderId="41" xfId="0" applyNumberFormat="1" applyFill="1" applyBorder="1" applyAlignment="1">
      <alignment horizontal="center" vertical="center"/>
    </xf>
    <xf numFmtId="232" fontId="0" fillId="0" borderId="41" xfId="0" applyNumberFormat="1" applyBorder="1" applyAlignment="1">
      <alignment horizontal="center" vertical="center"/>
    </xf>
    <xf numFmtId="1" fontId="0" fillId="0" borderId="42" xfId="0" applyNumberFormat="1" applyBorder="1" applyAlignment="1">
      <alignment horizontal="center" vertical="center"/>
    </xf>
    <xf numFmtId="231" fontId="0" fillId="0" borderId="43" xfId="0" applyNumberFormat="1" applyBorder="1" applyAlignment="1">
      <alignment horizontal="center" vertical="center"/>
    </xf>
    <xf numFmtId="1" fontId="0" fillId="0" borderId="49" xfId="0" applyNumberFormat="1" applyBorder="1" applyAlignment="1">
      <alignment horizontal="center" vertical="center"/>
    </xf>
    <xf numFmtId="231" fontId="0" fillId="0" borderId="50" xfId="0" applyNumberFormat="1" applyBorder="1" applyAlignment="1">
      <alignment horizontal="center" vertical="center"/>
    </xf>
    <xf numFmtId="166" fontId="0" fillId="0" borderId="50" xfId="0" applyNumberFormat="1" applyBorder="1" applyAlignment="1">
      <alignment horizontal="center" vertical="center"/>
    </xf>
    <xf numFmtId="231" fontId="0" fillId="0" borderId="50" xfId="0" applyNumberFormat="1" applyFill="1" applyBorder="1" applyAlignment="1">
      <alignment horizontal="center" vertical="center"/>
    </xf>
    <xf numFmtId="232" fontId="0" fillId="0" borderId="50" xfId="0" applyNumberFormat="1" applyBorder="1" applyAlignment="1">
      <alignment horizontal="center" vertical="center"/>
    </xf>
    <xf numFmtId="1" fontId="0" fillId="0" borderId="51" xfId="0" applyNumberFormat="1" applyBorder="1" applyAlignment="1">
      <alignment horizontal="center" vertical="center"/>
    </xf>
    <xf numFmtId="231" fontId="0" fillId="0" borderId="52" xfId="0" applyNumberFormat="1" applyBorder="1" applyAlignment="1">
      <alignment horizontal="center" vertical="center"/>
    </xf>
    <xf numFmtId="164" fontId="18" fillId="2" borderId="38" xfId="1" quotePrefix="1" applyNumberFormat="1" applyFont="1" applyFill="1" applyBorder="1" applyAlignment="1">
      <alignment horizontal="center" vertical="center" wrapText="1"/>
    </xf>
    <xf numFmtId="164" fontId="18" fillId="2" borderId="39" xfId="1" quotePrefix="1" applyNumberFormat="1" applyFont="1" applyFill="1" applyBorder="1" applyAlignment="1">
      <alignment horizontal="center" vertical="center" wrapText="1"/>
    </xf>
    <xf numFmtId="164" fontId="18" fillId="2" borderId="57" xfId="1" quotePrefix="1" applyNumberFormat="1" applyFont="1" applyFill="1" applyBorder="1" applyAlignment="1">
      <alignment horizontal="center" vertical="center" wrapText="1"/>
    </xf>
    <xf numFmtId="164" fontId="18" fillId="2" borderId="58" xfId="1" quotePrefix="1" applyNumberFormat="1" applyFont="1" applyFill="1" applyBorder="1" applyAlignment="1">
      <alignment horizontal="center" vertical="center" wrapText="1"/>
    </xf>
    <xf numFmtId="164" fontId="18" fillId="2" borderId="40" xfId="1" quotePrefix="1" applyNumberFormat="1" applyFont="1" applyFill="1" applyBorder="1" applyAlignment="1">
      <alignment horizontal="center" vertical="center" wrapText="1"/>
    </xf>
    <xf numFmtId="164" fontId="18" fillId="2" borderId="41" xfId="1" quotePrefix="1" applyNumberFormat="1" applyFont="1" applyFill="1" applyBorder="1" applyAlignment="1">
      <alignment horizontal="center" vertical="center" wrapText="1"/>
    </xf>
    <xf numFmtId="164" fontId="18" fillId="2" borderId="4" xfId="1" quotePrefix="1" applyNumberFormat="1" applyFont="1" applyFill="1" applyBorder="1" applyAlignment="1">
      <alignment horizontal="center" vertical="center" wrapText="1"/>
    </xf>
    <xf numFmtId="164" fontId="77" fillId="38" borderId="47" xfId="1" quotePrefix="1" applyNumberFormat="1" applyFont="1" applyFill="1" applyBorder="1" applyAlignment="1">
      <alignment horizontal="center" vertical="center" wrapText="1"/>
    </xf>
    <xf numFmtId="164" fontId="77" fillId="38" borderId="48" xfId="1" quotePrefix="1" applyNumberFormat="1" applyFont="1" applyFill="1" applyBorder="1" applyAlignment="1">
      <alignment horizontal="center" vertical="center" wrapText="1"/>
    </xf>
    <xf numFmtId="164" fontId="77" fillId="38" borderId="49" xfId="1" quotePrefix="1" applyNumberFormat="1" applyFont="1" applyFill="1" applyBorder="1" applyAlignment="1">
      <alignment horizontal="center" vertical="center" wrapText="1"/>
    </xf>
    <xf numFmtId="164" fontId="77" fillId="38" borderId="50" xfId="1" quotePrefix="1" applyNumberFormat="1" applyFont="1" applyFill="1" applyBorder="1" applyAlignment="1">
      <alignment horizontal="center" vertical="center" wrapText="1"/>
    </xf>
    <xf numFmtId="9" fontId="0" fillId="0" borderId="0" xfId="2" quotePrefix="1" applyFont="1" applyBorder="1" applyAlignment="1">
      <alignment horizontal="right"/>
    </xf>
    <xf numFmtId="9" fontId="0" fillId="0" borderId="5" xfId="2" quotePrefix="1" applyFont="1" applyBorder="1" applyAlignment="1">
      <alignment horizontal="right"/>
    </xf>
    <xf numFmtId="9" fontId="0" fillId="0" borderId="0" xfId="2" quotePrefix="1" applyFont="1" applyFill="1" applyBorder="1" applyAlignment="1">
      <alignment horizontal="right"/>
    </xf>
    <xf numFmtId="9" fontId="0" fillId="10" borderId="0" xfId="2" quotePrefix="1" applyFont="1" applyFill="1" applyBorder="1" applyAlignment="1">
      <alignment horizontal="right"/>
    </xf>
    <xf numFmtId="165" fontId="1" fillId="11" borderId="5" xfId="1" quotePrefix="1" applyNumberFormat="1" applyFont="1" applyFill="1" applyBorder="1" applyAlignment="1">
      <alignment horizontal="right"/>
    </xf>
    <xf numFmtId="0" fontId="11" fillId="0" borderId="0" xfId="0" applyFont="1" applyFill="1" applyAlignment="1">
      <alignment horizontal="left"/>
    </xf>
    <xf numFmtId="165" fontId="11" fillId="9" borderId="0" xfId="1" applyNumberFormat="1" applyFont="1" applyFill="1" applyBorder="1" applyAlignment="1">
      <alignment horizontal="right"/>
    </xf>
    <xf numFmtId="0" fontId="0" fillId="0" borderId="3" xfId="0" applyFont="1" applyBorder="1" applyAlignment="1">
      <alignment horizontal="left"/>
    </xf>
    <xf numFmtId="0" fontId="2" fillId="0" borderId="4" xfId="0" applyFont="1" applyBorder="1" applyAlignment="1">
      <alignment horizontal="left"/>
    </xf>
    <xf numFmtId="0" fontId="0" fillId="0" borderId="3"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166" fontId="0" fillId="0" borderId="3" xfId="2" applyNumberFormat="1" applyFont="1" applyFill="1" applyBorder="1" applyAlignment="1">
      <alignment horizontal="left"/>
    </xf>
    <xf numFmtId="166" fontId="0" fillId="0" borderId="4" xfId="2" applyNumberFormat="1" applyFont="1" applyFill="1" applyBorder="1" applyAlignment="1">
      <alignment horizontal="left"/>
    </xf>
    <xf numFmtId="166" fontId="0" fillId="0" borderId="0" xfId="2" applyNumberFormat="1" applyFont="1" applyFill="1"/>
    <xf numFmtId="166" fontId="2" fillId="0" borderId="0" xfId="2" quotePrefix="1" applyNumberFormat="1" applyFont="1" applyFill="1" applyBorder="1" applyAlignment="1">
      <alignment horizontal="right"/>
    </xf>
    <xf numFmtId="166" fontId="2" fillId="0" borderId="5" xfId="2" quotePrefix="1" applyNumberFormat="1" applyFont="1" applyFill="1" applyBorder="1" applyAlignment="1">
      <alignment horizontal="right"/>
    </xf>
    <xf numFmtId="0" fontId="2" fillId="0" borderId="0" xfId="0" applyFont="1" applyFill="1"/>
    <xf numFmtId="165" fontId="2" fillId="0" borderId="0" xfId="1" quotePrefix="1" applyNumberFormat="1" applyFont="1" applyFill="1" applyBorder="1" applyAlignment="1">
      <alignment horizontal="right"/>
    </xf>
    <xf numFmtId="165" fontId="2" fillId="0" borderId="5" xfId="1" quotePrefix="1" applyNumberFormat="1" applyFont="1" applyFill="1" applyBorder="1" applyAlignment="1">
      <alignment horizontal="right"/>
    </xf>
    <xf numFmtId="0" fontId="2" fillId="0" borderId="15" xfId="0" applyFont="1" applyFill="1" applyBorder="1" applyAlignment="1">
      <alignment horizontal="left"/>
    </xf>
    <xf numFmtId="165" fontId="0" fillId="0" borderId="32" xfId="1" quotePrefix="1" applyNumberFormat="1" applyFont="1" applyFill="1" applyBorder="1" applyAlignment="1">
      <alignment horizontal="left"/>
    </xf>
    <xf numFmtId="165" fontId="0" fillId="3" borderId="32" xfId="1" quotePrefix="1" applyNumberFormat="1" applyFont="1" applyFill="1" applyBorder="1" applyAlignment="1">
      <alignment horizontal="left"/>
    </xf>
    <xf numFmtId="165" fontId="0" fillId="10" borderId="32" xfId="1" quotePrefix="1" applyNumberFormat="1" applyFont="1" applyFill="1" applyBorder="1" applyAlignment="1">
      <alignment horizontal="left"/>
    </xf>
    <xf numFmtId="165" fontId="0" fillId="0" borderId="15" xfId="1" quotePrefix="1" applyNumberFormat="1" applyFont="1" applyFill="1" applyBorder="1" applyAlignment="1">
      <alignment horizontal="left"/>
    </xf>
    <xf numFmtId="165" fontId="1" fillId="0" borderId="32" xfId="1" quotePrefix="1" applyNumberFormat="1" applyFont="1" applyFill="1" applyBorder="1" applyAlignment="1">
      <alignment horizontal="left"/>
    </xf>
    <xf numFmtId="165" fontId="71" fillId="0" borderId="32" xfId="329" quotePrefix="1" applyNumberFormat="1" applyFill="1" applyBorder="1" applyAlignment="1">
      <alignment horizontal="left"/>
    </xf>
    <xf numFmtId="0" fontId="0" fillId="0" borderId="32" xfId="0" applyFill="1" applyBorder="1"/>
    <xf numFmtId="165" fontId="0" fillId="31" borderId="32" xfId="1" quotePrefix="1" applyNumberFormat="1" applyFont="1" applyFill="1" applyBorder="1" applyAlignment="1">
      <alignment horizontal="left"/>
    </xf>
    <xf numFmtId="165" fontId="1" fillId="31" borderId="32" xfId="1" quotePrefix="1" applyNumberFormat="1" applyFont="1" applyFill="1" applyBorder="1" applyAlignment="1">
      <alignment horizontal="left"/>
    </xf>
    <xf numFmtId="165" fontId="1" fillId="0" borderId="15" xfId="1" quotePrefix="1" applyNumberFormat="1" applyFont="1" applyFill="1" applyBorder="1" applyAlignment="1">
      <alignment horizontal="left"/>
    </xf>
    <xf numFmtId="165" fontId="11" fillId="21" borderId="32" xfId="1" quotePrefix="1" applyNumberFormat="1" applyFont="1" applyFill="1" applyBorder="1" applyAlignment="1">
      <alignment horizontal="left"/>
    </xf>
    <xf numFmtId="165" fontId="73" fillId="21" borderId="32" xfId="1" quotePrefix="1" applyNumberFormat="1" applyFont="1" applyFill="1" applyBorder="1" applyAlignment="1">
      <alignment horizontal="left"/>
    </xf>
    <xf numFmtId="165" fontId="11" fillId="11" borderId="32" xfId="1" quotePrefix="1" applyNumberFormat="1" applyFont="1" applyFill="1" applyBorder="1" applyAlignment="1">
      <alignment horizontal="left"/>
    </xf>
    <xf numFmtId="165" fontId="73" fillId="11" borderId="32" xfId="1" quotePrefix="1" applyNumberFormat="1" applyFont="1" applyFill="1" applyBorder="1" applyAlignment="1">
      <alignment horizontal="left"/>
    </xf>
    <xf numFmtId="165" fontId="11" fillId="9" borderId="5" xfId="1" applyNumberFormat="1" applyFont="1" applyFill="1" applyBorder="1" applyAlignment="1">
      <alignment horizontal="right"/>
    </xf>
    <xf numFmtId="166" fontId="0" fillId="9" borderId="0" xfId="2" applyNumberFormat="1" applyFont="1" applyFill="1" applyBorder="1" applyAlignment="1">
      <alignment horizontal="right"/>
    </xf>
    <xf numFmtId="166" fontId="0" fillId="11" borderId="0" xfId="2" applyNumberFormat="1" applyFont="1" applyFill="1" applyBorder="1" applyAlignment="1">
      <alignment horizontal="right"/>
    </xf>
    <xf numFmtId="165" fontId="12" fillId="11" borderId="0" xfId="1" applyNumberFormat="1" applyFont="1" applyFill="1" applyBorder="1" applyAlignment="1">
      <alignment horizontal="right"/>
    </xf>
    <xf numFmtId="165" fontId="79" fillId="0" borderId="0" xfId="1" applyNumberFormat="1" applyFont="1" applyFill="1" applyBorder="1" applyAlignment="1">
      <alignment horizontal="right"/>
    </xf>
    <xf numFmtId="165" fontId="79" fillId="0" borderId="5" xfId="1" applyNumberFormat="1" applyFont="1" applyFill="1" applyBorder="1" applyAlignment="1">
      <alignment horizontal="right"/>
    </xf>
    <xf numFmtId="0" fontId="78" fillId="0" borderId="3" xfId="0" applyFont="1" applyFill="1" applyBorder="1" applyAlignment="1">
      <alignment horizontal="left"/>
    </xf>
    <xf numFmtId="0" fontId="78" fillId="0" borderId="4" xfId="0" applyFont="1" applyFill="1" applyBorder="1" applyAlignment="1">
      <alignment horizontal="left"/>
    </xf>
    <xf numFmtId="165" fontId="78" fillId="0" borderId="3" xfId="1" applyNumberFormat="1" applyFont="1" applyFill="1" applyBorder="1" applyAlignment="1">
      <alignment horizontal="right"/>
    </xf>
    <xf numFmtId="165" fontId="78" fillId="0" borderId="0" xfId="1" applyNumberFormat="1" applyFont="1" applyFill="1" applyBorder="1" applyAlignment="1">
      <alignment horizontal="right"/>
    </xf>
    <xf numFmtId="165" fontId="78" fillId="0" borderId="4" xfId="1" applyNumberFormat="1" applyFont="1" applyFill="1" applyBorder="1" applyAlignment="1">
      <alignment horizontal="right"/>
    </xf>
    <xf numFmtId="165" fontId="78" fillId="0" borderId="5" xfId="1" applyNumberFormat="1" applyFont="1" applyFill="1" applyBorder="1" applyAlignment="1">
      <alignment horizontal="right"/>
    </xf>
    <xf numFmtId="0" fontId="72" fillId="0" borderId="0" xfId="0" applyFont="1" applyFill="1"/>
    <xf numFmtId="165" fontId="11" fillId="10" borderId="0" xfId="1" applyNumberFormat="1" applyFont="1" applyFill="1" applyBorder="1" applyAlignment="1">
      <alignment horizontal="right"/>
    </xf>
    <xf numFmtId="165" fontId="74" fillId="11" borderId="0" xfId="1" applyNumberFormat="1" applyFont="1" applyFill="1" applyBorder="1" applyAlignment="1">
      <alignment horizontal="right"/>
    </xf>
    <xf numFmtId="43" fontId="13" fillId="9" borderId="0" xfId="1" applyNumberFormat="1" applyFont="1" applyFill="1" applyBorder="1" applyAlignment="1">
      <alignment horizontal="right"/>
    </xf>
    <xf numFmtId="43" fontId="13" fillId="9" borderId="5" xfId="1" applyNumberFormat="1" applyFont="1" applyFill="1" applyBorder="1" applyAlignment="1">
      <alignment horizontal="right"/>
    </xf>
    <xf numFmtId="5" fontId="2" fillId="0" borderId="4" xfId="1" applyNumberFormat="1" applyFont="1" applyBorder="1" applyAlignment="1">
      <alignment horizontal="right"/>
    </xf>
    <xf numFmtId="5" fontId="2" fillId="0" borderId="26" xfId="1" applyNumberFormat="1" applyFont="1" applyBorder="1" applyAlignment="1">
      <alignment horizontal="right"/>
    </xf>
    <xf numFmtId="0" fontId="0" fillId="0" borderId="28" xfId="0" applyFont="1" applyFill="1" applyBorder="1" applyAlignment="1">
      <alignment horizontal="left"/>
    </xf>
    <xf numFmtId="0" fontId="0" fillId="0" borderId="15" xfId="0" applyFont="1" applyFill="1" applyBorder="1" applyAlignment="1">
      <alignment horizontal="left"/>
    </xf>
    <xf numFmtId="0" fontId="0" fillId="0" borderId="1" xfId="0" applyFont="1" applyBorder="1"/>
    <xf numFmtId="5" fontId="0" fillId="0" borderId="4" xfId="1" applyNumberFormat="1" applyFont="1" applyFill="1" applyBorder="1" applyAlignment="1">
      <alignment horizontal="right"/>
    </xf>
    <xf numFmtId="0" fontId="0" fillId="0" borderId="14" xfId="0" applyFont="1" applyFill="1" applyBorder="1"/>
    <xf numFmtId="6" fontId="0" fillId="0" borderId="15" xfId="0" applyNumberFormat="1" applyFont="1" applyBorder="1"/>
    <xf numFmtId="0" fontId="2" fillId="0" borderId="1" xfId="0" applyFont="1" applyFill="1" applyBorder="1" applyAlignment="1">
      <alignment horizontal="left"/>
    </xf>
    <xf numFmtId="0" fontId="2" fillId="0" borderId="25" xfId="0" applyFont="1" applyFill="1" applyBorder="1" applyAlignment="1">
      <alignment horizontal="left"/>
    </xf>
    <xf numFmtId="166" fontId="2" fillId="0" borderId="15" xfId="2" applyNumberFormat="1" applyFont="1" applyBorder="1" applyAlignment="1">
      <alignment horizontal="right"/>
    </xf>
    <xf numFmtId="165" fontId="2" fillId="0" borderId="15" xfId="1" applyNumberFormat="1" applyFont="1" applyBorder="1" applyAlignment="1">
      <alignment horizontal="right"/>
    </xf>
    <xf numFmtId="10" fontId="0" fillId="10" borderId="4" xfId="2" applyNumberFormat="1" applyFont="1" applyFill="1" applyBorder="1" applyAlignment="1">
      <alignment horizontal="right"/>
    </xf>
    <xf numFmtId="164" fontId="0" fillId="0" borderId="0" xfId="1" applyNumberFormat="1" applyFont="1" applyFill="1" applyAlignment="1"/>
    <xf numFmtId="5" fontId="1" fillId="0" borderId="4" xfId="1" applyNumberFormat="1" applyFont="1" applyFill="1" applyBorder="1" applyAlignment="1">
      <alignment horizontal="right"/>
    </xf>
    <xf numFmtId="168" fontId="0" fillId="0" borderId="3" xfId="2" applyNumberFormat="1" applyFont="1" applyFill="1" applyBorder="1" applyAlignment="1">
      <alignment horizontal="right"/>
    </xf>
    <xf numFmtId="168" fontId="0" fillId="0" borderId="3" xfId="1" applyNumberFormat="1" applyFont="1" applyFill="1" applyBorder="1" applyAlignment="1">
      <alignment horizontal="right"/>
    </xf>
    <xf numFmtId="43" fontId="1" fillId="0" borderId="3" xfId="1" quotePrefix="1" applyNumberFormat="1" applyFont="1" applyFill="1" applyBorder="1" applyAlignment="1">
      <alignment horizontal="right"/>
    </xf>
    <xf numFmtId="166" fontId="1" fillId="0" borderId="3" xfId="2" quotePrefix="1" applyNumberFormat="1" applyFont="1" applyFill="1" applyBorder="1" applyAlignment="1">
      <alignment horizontal="right"/>
    </xf>
    <xf numFmtId="9" fontId="1" fillId="0" borderId="3" xfId="2" quotePrefix="1" applyFont="1" applyFill="1" applyBorder="1" applyAlignment="1">
      <alignment horizontal="right"/>
    </xf>
    <xf numFmtId="43" fontId="1" fillId="0" borderId="6" xfId="1" quotePrefix="1" applyNumberFormat="1" applyFont="1" applyBorder="1" applyAlignment="1">
      <alignment horizontal="right"/>
    </xf>
    <xf numFmtId="10" fontId="0" fillId="10" borderId="11" xfId="1" applyNumberFormat="1" applyFont="1" applyFill="1" applyBorder="1" applyAlignment="1">
      <alignment horizontal="right"/>
    </xf>
    <xf numFmtId="43" fontId="0" fillId="0" borderId="0" xfId="1" applyNumberFormat="1" applyFont="1" applyAlignment="1">
      <alignment horizontal="right"/>
    </xf>
    <xf numFmtId="0" fontId="17" fillId="2" borderId="29" xfId="0" applyFont="1" applyFill="1" applyBorder="1" applyAlignment="1">
      <alignment horizontal="left"/>
    </xf>
    <xf numFmtId="0" fontId="17" fillId="2" borderId="30" xfId="0" applyFont="1" applyFill="1" applyBorder="1" applyAlignment="1">
      <alignment horizontal="left"/>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3" xfId="0" applyFont="1" applyBorder="1" applyAlignment="1">
      <alignment horizontal="left"/>
    </xf>
    <xf numFmtId="0" fontId="0" fillId="0" borderId="4" xfId="0" applyFont="1" applyBorder="1" applyAlignment="1">
      <alignment horizontal="left"/>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2" fillId="0" borderId="3" xfId="0" applyFont="1" applyBorder="1" applyAlignment="1">
      <alignment horizontal="left"/>
    </xf>
    <xf numFmtId="0" fontId="2" fillId="0" borderId="4" xfId="0" applyFont="1" applyBorder="1" applyAlignment="1">
      <alignment horizontal="left"/>
    </xf>
    <xf numFmtId="0" fontId="0" fillId="0" borderId="6" xfId="0" applyFont="1" applyBorder="1" applyAlignment="1">
      <alignment horizontal="left"/>
    </xf>
    <xf numFmtId="0" fontId="0" fillId="0" borderId="7" xfId="0" applyFont="1" applyBorder="1" applyAlignment="1">
      <alignment horizontal="left"/>
    </xf>
    <xf numFmtId="0" fontId="0" fillId="0" borderId="3" xfId="0" applyFont="1" applyFill="1" applyBorder="1" applyAlignment="1">
      <alignment horizontal="left"/>
    </xf>
    <xf numFmtId="0" fontId="0" fillId="0" borderId="0" xfId="0" applyFont="1" applyFill="1" applyBorder="1" applyAlignment="1">
      <alignment horizontal="left"/>
    </xf>
    <xf numFmtId="0" fontId="0" fillId="0" borderId="4" xfId="0" applyFont="1" applyFill="1" applyBorder="1" applyAlignment="1">
      <alignment horizontal="left"/>
    </xf>
    <xf numFmtId="0" fontId="9" fillId="0" borderId="3" xfId="0" applyFont="1" applyBorder="1" applyAlignment="1">
      <alignment horizontal="left"/>
    </xf>
    <xf numFmtId="0" fontId="9" fillId="0" borderId="0" xfId="0" applyFont="1" applyBorder="1" applyAlignment="1">
      <alignment horizontal="left"/>
    </xf>
    <xf numFmtId="0" fontId="19" fillId="2" borderId="3" xfId="0" applyFont="1" applyFill="1" applyBorder="1" applyAlignment="1">
      <alignment horizontal="left"/>
    </xf>
    <xf numFmtId="0" fontId="19" fillId="2" borderId="0" xfId="0" applyFont="1" applyFill="1" applyBorder="1" applyAlignment="1">
      <alignment horizontal="left"/>
    </xf>
    <xf numFmtId="0" fontId="17" fillId="2" borderId="1" xfId="0" applyFont="1" applyFill="1" applyBorder="1" applyAlignment="1">
      <alignment horizontal="left"/>
    </xf>
    <xf numFmtId="0" fontId="17" fillId="2" borderId="2" xfId="0" applyFont="1" applyFill="1" applyBorder="1" applyAlignment="1">
      <alignment horizontal="left"/>
    </xf>
    <xf numFmtId="0" fontId="0" fillId="0" borderId="2" xfId="0" applyFont="1" applyFill="1" applyBorder="1" applyAlignment="1">
      <alignment horizontal="left"/>
    </xf>
    <xf numFmtId="0" fontId="0" fillId="0" borderId="10" xfId="0" applyFont="1" applyBorder="1" applyAlignment="1">
      <alignment horizontal="left"/>
    </xf>
    <xf numFmtId="0" fontId="17" fillId="2" borderId="11" xfId="0" applyFont="1" applyFill="1" applyBorder="1" applyAlignment="1">
      <alignment horizontal="left"/>
    </xf>
    <xf numFmtId="0" fontId="9" fillId="0" borderId="4"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0" fillId="0" borderId="0" xfId="0" applyFont="1" applyBorder="1" applyAlignment="1">
      <alignment horizontal="left"/>
    </xf>
    <xf numFmtId="0" fontId="2" fillId="0" borderId="6" xfId="0" applyFont="1" applyBorder="1" applyAlignment="1">
      <alignment horizontal="left"/>
    </xf>
    <xf numFmtId="0" fontId="2" fillId="0" borderId="10" xfId="0" applyFont="1" applyBorder="1" applyAlignment="1">
      <alignment horizontal="left"/>
    </xf>
    <xf numFmtId="0" fontId="11" fillId="0" borderId="3" xfId="3" applyFont="1" applyBorder="1" applyAlignment="1">
      <alignment horizontal="left" vertical="top"/>
    </xf>
    <xf numFmtId="0" fontId="11" fillId="0" borderId="4" xfId="3" applyFont="1" applyBorder="1" applyAlignment="1">
      <alignment horizontal="left" vertical="top"/>
    </xf>
    <xf numFmtId="0" fontId="11" fillId="0" borderId="3" xfId="3" applyFont="1" applyFill="1" applyBorder="1" applyAlignment="1">
      <alignment horizontal="left" vertical="top"/>
    </xf>
    <xf numFmtId="0" fontId="11" fillId="0" borderId="4" xfId="3" applyFont="1" applyFill="1" applyBorder="1" applyAlignment="1">
      <alignment horizontal="left" vertical="top"/>
    </xf>
    <xf numFmtId="0" fontId="0" fillId="0" borderId="6" xfId="0" applyFont="1" applyFill="1" applyBorder="1" applyAlignment="1">
      <alignment horizontal="left"/>
    </xf>
    <xf numFmtId="0" fontId="0" fillId="0" borderId="10" xfId="0" applyFont="1" applyFill="1" applyBorder="1" applyAlignment="1">
      <alignment horizontal="left"/>
    </xf>
    <xf numFmtId="0" fontId="0" fillId="0" borderId="27" xfId="0" applyFont="1" applyBorder="1" applyAlignment="1">
      <alignment horizontal="left"/>
    </xf>
    <xf numFmtId="0" fontId="0" fillId="0" borderId="28" xfId="0" applyFont="1" applyBorder="1" applyAlignment="1">
      <alignment horizontal="left"/>
    </xf>
    <xf numFmtId="0" fontId="9" fillId="0" borderId="27" xfId="0" applyFont="1" applyFill="1" applyBorder="1" applyAlignment="1">
      <alignment horizontal="left"/>
    </xf>
    <xf numFmtId="0" fontId="9" fillId="0" borderId="28" xfId="0" applyFont="1" applyFill="1" applyBorder="1" applyAlignment="1">
      <alignment horizontal="left"/>
    </xf>
    <xf numFmtId="166" fontId="0" fillId="0" borderId="3" xfId="2" applyNumberFormat="1" applyFont="1" applyBorder="1" applyAlignment="1">
      <alignment horizontal="left"/>
    </xf>
    <xf numFmtId="166" fontId="0" fillId="0" borderId="4" xfId="2" applyNumberFormat="1"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9" fillId="0" borderId="27" xfId="0" applyFont="1" applyBorder="1" applyAlignment="1">
      <alignment horizontal="left"/>
    </xf>
    <xf numFmtId="0" fontId="9" fillId="0" borderId="28" xfId="0" applyFont="1" applyBorder="1" applyAlignment="1">
      <alignment horizontal="left"/>
    </xf>
    <xf numFmtId="166" fontId="0" fillId="0" borderId="3" xfId="2" applyNumberFormat="1" applyFont="1" applyFill="1" applyBorder="1" applyAlignment="1">
      <alignment horizontal="left"/>
    </xf>
    <xf numFmtId="166" fontId="0" fillId="0" borderId="4" xfId="2" applyNumberFormat="1" applyFont="1" applyFill="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0" fillId="0" borderId="6" xfId="0" applyFill="1" applyBorder="1" applyAlignment="1">
      <alignment horizontal="left" vertical="top" wrapText="1"/>
    </xf>
    <xf numFmtId="0" fontId="0" fillId="0" borderId="10" xfId="0" applyFill="1" applyBorder="1" applyAlignment="1">
      <alignment horizontal="left" vertical="top" wrapText="1"/>
    </xf>
    <xf numFmtId="0" fontId="0" fillId="10" borderId="1" xfId="0" applyFont="1" applyFill="1" applyBorder="1" applyAlignment="1">
      <alignment horizontal="left"/>
    </xf>
    <xf numFmtId="0" fontId="0" fillId="10" borderId="11" xfId="0" applyFont="1" applyFill="1" applyBorder="1" applyAlignment="1">
      <alignment horizontal="left"/>
    </xf>
    <xf numFmtId="0" fontId="0" fillId="11" borderId="3" xfId="0" applyFont="1" applyFill="1" applyBorder="1" applyAlignment="1">
      <alignment horizontal="left"/>
    </xf>
    <xf numFmtId="0" fontId="0" fillId="11" borderId="4" xfId="0" applyFont="1" applyFill="1" applyBorder="1" applyAlignment="1">
      <alignment horizontal="left"/>
    </xf>
    <xf numFmtId="0" fontId="0" fillId="9" borderId="6" xfId="0" applyFont="1" applyFill="1" applyBorder="1" applyAlignment="1">
      <alignment horizontal="left"/>
    </xf>
    <xf numFmtId="0" fontId="0" fillId="9" borderId="10" xfId="0" applyFont="1" applyFill="1" applyBorder="1" applyAlignment="1">
      <alignment horizontal="left"/>
    </xf>
    <xf numFmtId="0" fontId="2" fillId="0" borderId="0" xfId="0" applyFont="1" applyAlignment="1">
      <alignment horizontal="center" vertical="top" wrapText="1"/>
    </xf>
    <xf numFmtId="164" fontId="18" fillId="2" borderId="35" xfId="1" quotePrefix="1" applyNumberFormat="1" applyFont="1" applyFill="1" applyBorder="1" applyAlignment="1">
      <alignment horizontal="center" vertical="center" wrapText="1"/>
    </xf>
    <xf numFmtId="164" fontId="18" fillId="2" borderId="36" xfId="1" quotePrefix="1" applyNumberFormat="1" applyFont="1" applyFill="1" applyBorder="1" applyAlignment="1">
      <alignment horizontal="center" vertical="center" wrapText="1"/>
    </xf>
    <xf numFmtId="164" fontId="18" fillId="2" borderId="37" xfId="1" quotePrefix="1" applyNumberFormat="1" applyFont="1" applyFill="1" applyBorder="1" applyAlignment="1">
      <alignment horizontal="center" vertical="center" wrapText="1"/>
    </xf>
    <xf numFmtId="164" fontId="77" fillId="38" borderId="44" xfId="1" quotePrefix="1" applyNumberFormat="1" applyFont="1" applyFill="1" applyBorder="1" applyAlignment="1">
      <alignment horizontal="center" vertical="center" wrapText="1"/>
    </xf>
    <xf numFmtId="164" fontId="77" fillId="38" borderId="45" xfId="1" quotePrefix="1" applyNumberFormat="1" applyFont="1" applyFill="1" applyBorder="1" applyAlignment="1">
      <alignment horizontal="center" vertical="center" wrapText="1"/>
    </xf>
    <xf numFmtId="164" fontId="77" fillId="38" borderId="46" xfId="1" quotePrefix="1" applyNumberFormat="1" applyFont="1" applyFill="1" applyBorder="1" applyAlignment="1">
      <alignment horizontal="center" vertical="center" wrapText="1"/>
    </xf>
    <xf numFmtId="164" fontId="18" fillId="2" borderId="53" xfId="1" quotePrefix="1" applyNumberFormat="1" applyFont="1" applyFill="1" applyBorder="1" applyAlignment="1">
      <alignment horizontal="left" vertical="center" wrapText="1"/>
    </xf>
    <xf numFmtId="164" fontId="18" fillId="2" borderId="54" xfId="1" quotePrefix="1" applyNumberFormat="1" applyFont="1" applyFill="1" applyBorder="1" applyAlignment="1">
      <alignment horizontal="left" vertical="center" wrapText="1"/>
    </xf>
    <xf numFmtId="164" fontId="77" fillId="38" borderId="55" xfId="1" quotePrefix="1" applyNumberFormat="1" applyFont="1" applyFill="1" applyBorder="1" applyAlignment="1">
      <alignment horizontal="left" vertical="center" wrapText="1"/>
    </xf>
    <xf numFmtId="164" fontId="77" fillId="38" borderId="56" xfId="1" quotePrefix="1" applyNumberFormat="1" applyFont="1" applyFill="1" applyBorder="1" applyAlignment="1">
      <alignment horizontal="left" vertical="center" wrapText="1"/>
    </xf>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iPhone Unit Sales (thousands)</c:v>
          </c:tx>
          <c:spPr>
            <a:solidFill>
              <a:schemeClr val="tx1">
                <a:lumMod val="65000"/>
                <a:lumOff val="35000"/>
              </a:schemeClr>
            </a:solidFill>
          </c:spPr>
          <c:invertIfNegative val="0"/>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('AAPL Earnings Model (Tier 1)'!$AH$12,'AAPL Earnings Model (Tier 1)'!$AI$12,'AAPL Earnings Model (Tier 1)'!$AJ$12,'AAPL Earnings Model (Tier 1)'!$AK$12,'AAPL Earnings Model (Tier 1)'!$AM$12,'AAPL Earnings Model (Tier 1)'!$AN$12,'AAPL Earnings Model (Tier 1)'!$AO$12,'AAPL Earnings Model (Tier 1)'!$AP$12)</c:f>
              <c:strCache>
                <c:ptCount val="8"/>
                <c:pt idx="0">
                  <c:v> F1Q16 </c:v>
                </c:pt>
                <c:pt idx="1">
                  <c:v> F2Q16 </c:v>
                </c:pt>
                <c:pt idx="2">
                  <c:v> F3Q16 </c:v>
                </c:pt>
                <c:pt idx="3">
                  <c:v> F4Q16 </c:v>
                </c:pt>
                <c:pt idx="4">
                  <c:v> F1Q17 </c:v>
                </c:pt>
                <c:pt idx="5">
                  <c:v> F2Q17 </c:v>
                </c:pt>
                <c:pt idx="6">
                  <c:v> F3Q17E </c:v>
                </c:pt>
                <c:pt idx="7">
                  <c:v> F4Q17E </c:v>
                </c:pt>
              </c:strCache>
            </c:strRef>
          </c:cat>
          <c:val>
            <c:numRef>
              <c:f>('AAPL Earnings Model (Tier 1)'!$AH$48,'AAPL Earnings Model (Tier 1)'!$AI$48,'AAPL Earnings Model (Tier 1)'!$AJ$48,'AAPL Earnings Model (Tier 1)'!$AK$48,'AAPL Earnings Model (Tier 1)'!$AM$48,'AAPL Earnings Model (Tier 1)'!$AN$48,'AAPL Earnings Model (Tier 1)'!$AO$48,'AAPL Earnings Model (Tier 1)'!$AP$48)</c:f>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iPhone Unit Sales Growth (YoY)</c:v>
          </c:tx>
          <c:spPr>
            <a:ln>
              <a:solidFill>
                <a:schemeClr val="accent1">
                  <a:lumMod val="60000"/>
                  <a:lumOff val="40000"/>
                </a:schemeClr>
              </a:solidFill>
            </a:ln>
          </c:spPr>
          <c:marker>
            <c:symbol val="none"/>
          </c:marker>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('AAPL Earnings Model (Tier 1)'!$AH$12,'AAPL Earnings Model (Tier 1)'!$AI$12,'AAPL Earnings Model (Tier 1)'!$AJ$12,'AAPL Earnings Model (Tier 1)'!$AK$12,'AAPL Earnings Model (Tier 1)'!$AM$12,'AAPL Earnings Model (Tier 1)'!$AN$12,'AAPL Earnings Model (Tier 1)'!$AO$12,'AAPL Earnings Model (Tier 1)'!$AP$12)</c:f>
              <c:strCache>
                <c:ptCount val="8"/>
                <c:pt idx="0">
                  <c:v> F1Q16 </c:v>
                </c:pt>
                <c:pt idx="1">
                  <c:v> F2Q16 </c:v>
                </c:pt>
                <c:pt idx="2">
                  <c:v> F3Q16 </c:v>
                </c:pt>
                <c:pt idx="3">
                  <c:v> F4Q16 </c:v>
                </c:pt>
                <c:pt idx="4">
                  <c:v> F1Q17 </c:v>
                </c:pt>
                <c:pt idx="5">
                  <c:v> F2Q17 </c:v>
                </c:pt>
                <c:pt idx="6">
                  <c:v> F3Q17E </c:v>
                </c:pt>
                <c:pt idx="7">
                  <c:v> F4Q17E </c:v>
                </c:pt>
              </c:strCache>
            </c:strRef>
          </c:cat>
          <c:val>
            <c:numRef>
              <c:f>('AAPL Earnings Model (Tier 1)'!$AH$50,'AAPL Earnings Model (Tier 1)'!$AI$50,'AAPL Earnings Model (Tier 1)'!$AJ$50,'AAPL Earnings Model (Tier 1)'!$AK$50,'AAPL Earnings Model (Tier 1)'!$AM$50,'AAPL Earnings Model (Tier 1)'!$AN$50,'AAPL Earnings Model (Tier 1)'!$AO$50,'AAPL Earnings Model (Tier 1)'!$AP$50)</c:f>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iPhone Unit Sales (thousands)</c:v>
          </c:tx>
          <c:spPr>
            <a:solidFill>
              <a:schemeClr val="tx1">
                <a:lumMod val="65000"/>
                <a:lumOff val="35000"/>
              </a:schemeClr>
            </a:solidFill>
          </c:spPr>
          <c:invertIfNegative val="0"/>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990-415C-A3D7-2BA49EE7B6B0}"/>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6-4990-415C-A3D7-2BA49EE7B6B0}"/>
              </c:ext>
            </c:extLst>
          </c:dPt>
          <c:dPt>
            <c:idx val="9"/>
            <c:invertIfNegative val="0"/>
            <c:bubble3D val="0"/>
            <c:extLst>
              <c:ext xmlns:c16="http://schemas.microsoft.com/office/drawing/2014/chart" uri="{C3380CC4-5D6E-409C-BE32-E72D297353CC}">
                <c16:uniqueId val="{00000000-4990-415C-A3D7-2BA49EE7B6B0}"/>
              </c:ext>
            </c:extLst>
          </c:dPt>
          <c:cat>
            <c:strRef>
              <c:f>('AAPL Earnings Model (Tier 1)'!$AH$12,'AAPL Earnings Model (Tier 1)'!$AI$12,'AAPL Earnings Model (Tier 1)'!$AJ$12,'AAPL Earnings Model (Tier 1)'!$AK$12,'AAPL Earnings Model (Tier 1)'!$AM$12,'AAPL Earnings Model (Tier 1)'!$AN$12,'AAPL Earnings Model (Tier 1)'!$AO$12,'AAPL Earnings Model (Tier 1)'!$AP$12)</c:f>
              <c:strCache>
                <c:ptCount val="8"/>
                <c:pt idx="0">
                  <c:v> F1Q16 </c:v>
                </c:pt>
                <c:pt idx="1">
                  <c:v> F2Q16 </c:v>
                </c:pt>
                <c:pt idx="2">
                  <c:v> F3Q16 </c:v>
                </c:pt>
                <c:pt idx="3">
                  <c:v> F4Q16 </c:v>
                </c:pt>
                <c:pt idx="4">
                  <c:v> F1Q17 </c:v>
                </c:pt>
                <c:pt idx="5">
                  <c:v> F2Q17 </c:v>
                </c:pt>
                <c:pt idx="6">
                  <c:v> F3Q17E </c:v>
                </c:pt>
                <c:pt idx="7">
                  <c:v> F4Q17E </c:v>
                </c:pt>
              </c:strCache>
            </c:strRef>
          </c:cat>
          <c:val>
            <c:numRef>
              <c:f>('AAPL Earnings Model (Tier 1)'!$AH$48,'AAPL Earnings Model (Tier 1)'!$AI$48,'AAPL Earnings Model (Tier 1)'!$AJ$48,'AAPL Earnings Model (Tier 1)'!$AK$48,'AAPL Earnings Model (Tier 1)'!$AM$48,'AAPL Earnings Model (Tier 1)'!$AN$48,'AAPL Earnings Model (Tier 1)'!$AO$48,'AAPL Earnings Model (Tier 1)'!$AP$48)</c:f>
            </c:numRef>
          </c:val>
          <c:extLst>
            <c:ext xmlns:c16="http://schemas.microsoft.com/office/drawing/2014/chart" uri="{C3380CC4-5D6E-409C-BE32-E72D297353CC}">
              <c16:uniqueId val="{00000001-4990-415C-A3D7-2BA49EE7B6B0}"/>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iPhone Average Selling Price</c:v>
          </c:tx>
          <c:spPr>
            <a:ln>
              <a:solidFill>
                <a:schemeClr val="accent1">
                  <a:lumMod val="60000"/>
                  <a:lumOff val="40000"/>
                </a:schemeClr>
              </a:solidFill>
            </a:ln>
          </c:spPr>
          <c:marker>
            <c:symbol val="none"/>
          </c:marker>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3-4990-415C-A3D7-2BA49EE7B6B0}"/>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04-4990-415C-A3D7-2BA49EE7B6B0}"/>
              </c:ext>
            </c:extLst>
          </c:dPt>
          <c:cat>
            <c:strRef>
              <c:f>('AAPL Earnings Model (Tier 1)'!$AH$12,'AAPL Earnings Model (Tier 1)'!$AI$12,'AAPL Earnings Model (Tier 1)'!$AJ$12,'AAPL Earnings Model (Tier 1)'!$AK$12,'AAPL Earnings Model (Tier 1)'!$AM$12,'AAPL Earnings Model (Tier 1)'!$AN$12,'AAPL Earnings Model (Tier 1)'!$AO$12,'AAPL Earnings Model (Tier 1)'!$AP$12)</c:f>
              <c:strCache>
                <c:ptCount val="8"/>
                <c:pt idx="0">
                  <c:v> F1Q16 </c:v>
                </c:pt>
                <c:pt idx="1">
                  <c:v> F2Q16 </c:v>
                </c:pt>
                <c:pt idx="2">
                  <c:v> F3Q16 </c:v>
                </c:pt>
                <c:pt idx="3">
                  <c:v> F4Q16 </c:v>
                </c:pt>
                <c:pt idx="4">
                  <c:v> F1Q17 </c:v>
                </c:pt>
                <c:pt idx="5">
                  <c:v> F2Q17 </c:v>
                </c:pt>
                <c:pt idx="6">
                  <c:v> F3Q17E </c:v>
                </c:pt>
                <c:pt idx="7">
                  <c:v> F4Q17E </c:v>
                </c:pt>
              </c:strCache>
            </c:strRef>
          </c:cat>
          <c:val>
            <c:numRef>
              <c:f>('AAPL Earnings Model (Tier 1)'!$AH$51,'AAPL Earnings Model (Tier 1)'!$AI$51,'AAPL Earnings Model (Tier 1)'!$AJ$51,'AAPL Earnings Model (Tier 1)'!$AK$51,'AAPL Earnings Model (Tier 1)'!$AM$51,'AAPL Earnings Model (Tier 1)'!$AN$51,'AAPL Earnings Model (Tier 1)'!$AO$51,'AAPL Earnings Model (Tier 1)'!$AP$51)</c:f>
            </c:numRef>
          </c:val>
          <c:smooth val="0"/>
          <c:extLst>
            <c:ext xmlns:c16="http://schemas.microsoft.com/office/drawing/2014/chart" uri="{C3380CC4-5D6E-409C-BE32-E72D297353CC}">
              <c16:uniqueId val="{00000002-4990-415C-A3D7-2BA49EE7B6B0}"/>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iPad Unit Sales (thousands)</c:v>
          </c:tx>
          <c:spPr>
            <a:solidFill>
              <a:schemeClr val="tx1">
                <a:lumMod val="65000"/>
                <a:lumOff val="35000"/>
              </a:schemeClr>
            </a:solidFill>
          </c:spPr>
          <c:invertIfNegative val="0"/>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B001-4B69-BC64-82ECEAEC1A45}"/>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B001-4B69-BC64-82ECEAEC1A45}"/>
              </c:ext>
            </c:extLst>
          </c:dPt>
          <c:dPt>
            <c:idx val="9"/>
            <c:invertIfNegative val="0"/>
            <c:bubble3D val="0"/>
            <c:extLst>
              <c:ext xmlns:c16="http://schemas.microsoft.com/office/drawing/2014/chart" uri="{C3380CC4-5D6E-409C-BE32-E72D297353CC}">
                <c16:uniqueId val="{00000004-B001-4B69-BC64-82ECEAEC1A45}"/>
              </c:ext>
            </c:extLst>
          </c:dPt>
          <c:cat>
            <c:strRef>
              <c:f>('AAPL Earnings Model (Tier 1)'!$AH$12,'AAPL Earnings Model (Tier 1)'!$AI$12,'AAPL Earnings Model (Tier 1)'!$AJ$12,'AAPL Earnings Model (Tier 1)'!$AK$12,'AAPL Earnings Model (Tier 1)'!$AM$12,'AAPL Earnings Model (Tier 1)'!$AN$12,'AAPL Earnings Model (Tier 1)'!$AO$12,'AAPL Earnings Model (Tier 1)'!$AP$12)</c:f>
              <c:strCache>
                <c:ptCount val="8"/>
                <c:pt idx="0">
                  <c:v> F1Q16 </c:v>
                </c:pt>
                <c:pt idx="1">
                  <c:v> F2Q16 </c:v>
                </c:pt>
                <c:pt idx="2">
                  <c:v> F3Q16 </c:v>
                </c:pt>
                <c:pt idx="3">
                  <c:v> F4Q16 </c:v>
                </c:pt>
                <c:pt idx="4">
                  <c:v> F1Q17 </c:v>
                </c:pt>
                <c:pt idx="5">
                  <c:v> F2Q17 </c:v>
                </c:pt>
                <c:pt idx="6">
                  <c:v> F3Q17E </c:v>
                </c:pt>
                <c:pt idx="7">
                  <c:v> F4Q17E </c:v>
                </c:pt>
              </c:strCache>
            </c:strRef>
          </c:cat>
          <c:val>
            <c:numRef>
              <c:f>('AAPL Earnings Model (Tier 1)'!$AH$62,'AAPL Earnings Model (Tier 1)'!$AI$62,'AAPL Earnings Model (Tier 1)'!$AJ$62,'AAPL Earnings Model (Tier 1)'!$AK$62,'AAPL Earnings Model (Tier 1)'!$AM$62,'AAPL Earnings Model (Tier 1)'!$AN$62,'AAPL Earnings Model (Tier 1)'!$AO$62,'AAPL Earnings Model (Tier 1)'!$AP$62)</c:f>
            </c:numRef>
          </c:val>
          <c:extLst>
            <c:ext xmlns:c16="http://schemas.microsoft.com/office/drawing/2014/chart" uri="{C3380CC4-5D6E-409C-BE32-E72D297353CC}">
              <c16:uniqueId val="{00000005-B001-4B69-BC64-82ECEAEC1A45}"/>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iPadUnit Sales Growth (YoY)</c:v>
          </c:tx>
          <c:spPr>
            <a:ln>
              <a:solidFill>
                <a:schemeClr val="accent1">
                  <a:lumMod val="60000"/>
                  <a:lumOff val="40000"/>
                </a:schemeClr>
              </a:solidFill>
            </a:ln>
          </c:spPr>
          <c:marker>
            <c:symbol val="none"/>
          </c:marker>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7-B001-4B69-BC64-82ECEAEC1A45}"/>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09-B001-4B69-BC64-82ECEAEC1A45}"/>
              </c:ext>
            </c:extLst>
          </c:dPt>
          <c:cat>
            <c:strRef>
              <c:f>('AAPL Earnings Model (Tier 1)'!$AH$12,'AAPL Earnings Model (Tier 1)'!$AI$12,'AAPL Earnings Model (Tier 1)'!$AJ$12,'AAPL Earnings Model (Tier 1)'!$AK$12,'AAPL Earnings Model (Tier 1)'!$AM$12,'AAPL Earnings Model (Tier 1)'!$AN$12,'AAPL Earnings Model (Tier 1)'!$AO$12,'AAPL Earnings Model (Tier 1)'!$AP$12)</c:f>
              <c:strCache>
                <c:ptCount val="8"/>
                <c:pt idx="0">
                  <c:v> F1Q16 </c:v>
                </c:pt>
                <c:pt idx="1">
                  <c:v> F2Q16 </c:v>
                </c:pt>
                <c:pt idx="2">
                  <c:v> F3Q16 </c:v>
                </c:pt>
                <c:pt idx="3">
                  <c:v> F4Q16 </c:v>
                </c:pt>
                <c:pt idx="4">
                  <c:v> F1Q17 </c:v>
                </c:pt>
                <c:pt idx="5">
                  <c:v> F2Q17 </c:v>
                </c:pt>
                <c:pt idx="6">
                  <c:v> F3Q17E </c:v>
                </c:pt>
                <c:pt idx="7">
                  <c:v> F4Q17E </c:v>
                </c:pt>
              </c:strCache>
            </c:strRef>
          </c:cat>
          <c:val>
            <c:numRef>
              <c:f>('AAPL Earnings Model (Tier 1)'!$AH$64,'AAPL Earnings Model (Tier 1)'!$AI$64,'AAPL Earnings Model (Tier 1)'!$AJ$64,'AAPL Earnings Model (Tier 1)'!$AK$64,'AAPL Earnings Model (Tier 1)'!$AM$64,'AAPL Earnings Model (Tier 1)'!$AN$64,'AAPL Earnings Model (Tier 1)'!$AO$64,'AAPL Earnings Model (Tier 1)'!$AP$64)</c:f>
            </c:numRef>
          </c:val>
          <c:smooth val="0"/>
          <c:extLst>
            <c:ext xmlns:c16="http://schemas.microsoft.com/office/drawing/2014/chart" uri="{C3380CC4-5D6E-409C-BE32-E72D297353CC}">
              <c16:uniqueId val="{0000000A-B001-4B69-BC64-82ECEAEC1A45}"/>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iPad Unit Sales (thousands)</c:v>
          </c:tx>
          <c:spPr>
            <a:solidFill>
              <a:schemeClr val="tx1">
                <a:lumMod val="65000"/>
                <a:lumOff val="35000"/>
              </a:schemeClr>
            </a:solidFill>
          </c:spPr>
          <c:invertIfNegative val="0"/>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B4EF-40DE-B518-B25A532D5C51}"/>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B4EF-40DE-B518-B25A532D5C51}"/>
              </c:ext>
            </c:extLst>
          </c:dPt>
          <c:dPt>
            <c:idx val="9"/>
            <c:invertIfNegative val="0"/>
            <c:bubble3D val="0"/>
            <c:extLst>
              <c:ext xmlns:c16="http://schemas.microsoft.com/office/drawing/2014/chart" uri="{C3380CC4-5D6E-409C-BE32-E72D297353CC}">
                <c16:uniqueId val="{00000004-B4EF-40DE-B518-B25A532D5C51}"/>
              </c:ext>
            </c:extLst>
          </c:dPt>
          <c:cat>
            <c:strRef>
              <c:f>('AAPL Earnings Model (Tier 1)'!$AH$12,'AAPL Earnings Model (Tier 1)'!$AI$12,'AAPL Earnings Model (Tier 1)'!$AJ$12,'AAPL Earnings Model (Tier 1)'!$AK$12,'AAPL Earnings Model (Tier 1)'!$AM$12,'AAPL Earnings Model (Tier 1)'!$AN$12,'AAPL Earnings Model (Tier 1)'!$AO$12,'AAPL Earnings Model (Tier 1)'!$AP$12)</c:f>
              <c:strCache>
                <c:ptCount val="8"/>
                <c:pt idx="0">
                  <c:v> F1Q16 </c:v>
                </c:pt>
                <c:pt idx="1">
                  <c:v> F2Q16 </c:v>
                </c:pt>
                <c:pt idx="2">
                  <c:v> F3Q16 </c:v>
                </c:pt>
                <c:pt idx="3">
                  <c:v> F4Q16 </c:v>
                </c:pt>
                <c:pt idx="4">
                  <c:v> F1Q17 </c:v>
                </c:pt>
                <c:pt idx="5">
                  <c:v> F2Q17 </c:v>
                </c:pt>
                <c:pt idx="6">
                  <c:v> F3Q17E </c:v>
                </c:pt>
                <c:pt idx="7">
                  <c:v> F4Q17E </c:v>
                </c:pt>
              </c:strCache>
            </c:strRef>
          </c:cat>
          <c:val>
            <c:numRef>
              <c:f>('AAPL Earnings Model (Tier 1)'!$AH$62,'AAPL Earnings Model (Tier 1)'!$AI$62,'AAPL Earnings Model (Tier 1)'!$AJ$62,'AAPL Earnings Model (Tier 1)'!$AK$62,'AAPL Earnings Model (Tier 1)'!$AM$62,'AAPL Earnings Model (Tier 1)'!$AN$62,'AAPL Earnings Model (Tier 1)'!$AO$62,'AAPL Earnings Model (Tier 1)'!$AP$62)</c:f>
            </c:numRef>
          </c:val>
          <c:extLst>
            <c:ext xmlns:c16="http://schemas.microsoft.com/office/drawing/2014/chart" uri="{C3380CC4-5D6E-409C-BE32-E72D297353CC}">
              <c16:uniqueId val="{00000005-B4EF-40DE-B518-B25A532D5C51}"/>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iPad Average Selling Price</c:v>
          </c:tx>
          <c:spPr>
            <a:ln>
              <a:solidFill>
                <a:schemeClr val="accent1">
                  <a:lumMod val="60000"/>
                  <a:lumOff val="40000"/>
                </a:schemeClr>
              </a:solidFill>
            </a:ln>
          </c:spPr>
          <c:marker>
            <c:symbol val="none"/>
          </c:marker>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7-B4EF-40DE-B518-B25A532D5C51}"/>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09-B4EF-40DE-B518-B25A532D5C51}"/>
              </c:ext>
            </c:extLst>
          </c:dPt>
          <c:cat>
            <c:strRef>
              <c:f>('AAPL Earnings Model (Tier 1)'!$AH$12,'AAPL Earnings Model (Tier 1)'!$AI$12,'AAPL Earnings Model (Tier 1)'!$AJ$12,'AAPL Earnings Model (Tier 1)'!$AK$12,'AAPL Earnings Model (Tier 1)'!$AM$12,'AAPL Earnings Model (Tier 1)'!$AN$12,'AAPL Earnings Model (Tier 1)'!$AO$12,'AAPL Earnings Model (Tier 1)'!$AP$12)</c:f>
              <c:strCache>
                <c:ptCount val="8"/>
                <c:pt idx="0">
                  <c:v> F1Q16 </c:v>
                </c:pt>
                <c:pt idx="1">
                  <c:v> F2Q16 </c:v>
                </c:pt>
                <c:pt idx="2">
                  <c:v> F3Q16 </c:v>
                </c:pt>
                <c:pt idx="3">
                  <c:v> F4Q16 </c:v>
                </c:pt>
                <c:pt idx="4">
                  <c:v> F1Q17 </c:v>
                </c:pt>
                <c:pt idx="5">
                  <c:v> F2Q17 </c:v>
                </c:pt>
                <c:pt idx="6">
                  <c:v> F3Q17E </c:v>
                </c:pt>
                <c:pt idx="7">
                  <c:v> F4Q17E </c:v>
                </c:pt>
              </c:strCache>
            </c:strRef>
          </c:cat>
          <c:val>
            <c:numRef>
              <c:f>('AAPL Earnings Model (Tier 1)'!$AH$65,'AAPL Earnings Model (Tier 1)'!$AI$65,'AAPL Earnings Model (Tier 1)'!$AJ$65,'AAPL Earnings Model (Tier 1)'!$AK$65,'AAPL Earnings Model (Tier 1)'!$AM$65,'AAPL Earnings Model (Tier 1)'!$AN$65,'AAPL Earnings Model (Tier 1)'!$AO$65,'AAPL Earnings Model (Tier 1)'!$AP$65)</c:f>
            </c:numRef>
          </c:val>
          <c:smooth val="0"/>
          <c:extLst>
            <c:ext xmlns:c16="http://schemas.microsoft.com/office/drawing/2014/chart" uri="{C3380CC4-5D6E-409C-BE32-E72D297353CC}">
              <c16:uniqueId val="{0000000A-B4EF-40DE-B518-B25A532D5C51}"/>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Mac Unit Sales (thousands)</c:v>
          </c:tx>
          <c:spPr>
            <a:solidFill>
              <a:schemeClr val="tx1">
                <a:lumMod val="65000"/>
                <a:lumOff val="35000"/>
              </a:schemeClr>
            </a:solidFill>
          </c:spPr>
          <c:invertIfNegative val="0"/>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5521-4A7D-BF8D-A8F0A2D78701}"/>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5521-4A7D-BF8D-A8F0A2D78701}"/>
              </c:ext>
            </c:extLst>
          </c:dPt>
          <c:dPt>
            <c:idx val="9"/>
            <c:invertIfNegative val="0"/>
            <c:bubble3D val="0"/>
            <c:extLst>
              <c:ext xmlns:c16="http://schemas.microsoft.com/office/drawing/2014/chart" uri="{C3380CC4-5D6E-409C-BE32-E72D297353CC}">
                <c16:uniqueId val="{00000004-5521-4A7D-BF8D-A8F0A2D78701}"/>
              </c:ext>
            </c:extLst>
          </c:dPt>
          <c:cat>
            <c:strRef>
              <c:f>('AAPL Earnings Model (Tier 1)'!$AH$12,'AAPL Earnings Model (Tier 1)'!$AI$12,'AAPL Earnings Model (Tier 1)'!$AJ$12,'AAPL Earnings Model (Tier 1)'!$AK$12,'AAPL Earnings Model (Tier 1)'!$AM$12,'AAPL Earnings Model (Tier 1)'!$AN$12,'AAPL Earnings Model (Tier 1)'!$AO$12,'AAPL Earnings Model (Tier 1)'!$AP$12)</c:f>
              <c:strCache>
                <c:ptCount val="8"/>
                <c:pt idx="0">
                  <c:v> F1Q16 </c:v>
                </c:pt>
                <c:pt idx="1">
                  <c:v> F2Q16 </c:v>
                </c:pt>
                <c:pt idx="2">
                  <c:v> F3Q16 </c:v>
                </c:pt>
                <c:pt idx="3">
                  <c:v> F4Q16 </c:v>
                </c:pt>
                <c:pt idx="4">
                  <c:v> F1Q17 </c:v>
                </c:pt>
                <c:pt idx="5">
                  <c:v> F2Q17 </c:v>
                </c:pt>
                <c:pt idx="6">
                  <c:v> F3Q17E </c:v>
                </c:pt>
                <c:pt idx="7">
                  <c:v> F4Q17E </c:v>
                </c:pt>
              </c:strCache>
            </c:strRef>
          </c:cat>
          <c:val>
            <c:numRef>
              <c:f>('AAPL Earnings Model (Tier 1)'!$AH$76,'AAPL Earnings Model (Tier 1)'!$AI$76,'AAPL Earnings Model (Tier 1)'!$AJ$76,'AAPL Earnings Model (Tier 1)'!$AK$76,'AAPL Earnings Model (Tier 1)'!$AM$76,'AAPL Earnings Model (Tier 1)'!$AN$76,'AAPL Earnings Model (Tier 1)'!$AO$76,'AAPL Earnings Model (Tier 1)'!$AP$76)</c:f>
            </c:numRef>
          </c:val>
          <c:extLst>
            <c:ext xmlns:c16="http://schemas.microsoft.com/office/drawing/2014/chart" uri="{C3380CC4-5D6E-409C-BE32-E72D297353CC}">
              <c16:uniqueId val="{00000005-5521-4A7D-BF8D-A8F0A2D78701}"/>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Mac Unit Sales Growth (YoY)</c:v>
          </c:tx>
          <c:spPr>
            <a:ln>
              <a:solidFill>
                <a:schemeClr val="accent1">
                  <a:lumMod val="60000"/>
                  <a:lumOff val="40000"/>
                </a:schemeClr>
              </a:solidFill>
            </a:ln>
          </c:spPr>
          <c:marker>
            <c:symbol val="none"/>
          </c:marker>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7-5521-4A7D-BF8D-A8F0A2D78701}"/>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09-5521-4A7D-BF8D-A8F0A2D78701}"/>
              </c:ext>
            </c:extLst>
          </c:dPt>
          <c:cat>
            <c:strRef>
              <c:f>('AAPL Earnings Model (Tier 1)'!$AH$12,'AAPL Earnings Model (Tier 1)'!$AI$12,'AAPL Earnings Model (Tier 1)'!$AJ$12,'AAPL Earnings Model (Tier 1)'!$AK$12,'AAPL Earnings Model (Tier 1)'!$AM$12,'AAPL Earnings Model (Tier 1)'!$AN$12,'AAPL Earnings Model (Tier 1)'!$AO$12,'AAPL Earnings Model (Tier 1)'!$AP$12)</c:f>
              <c:strCache>
                <c:ptCount val="8"/>
                <c:pt idx="0">
                  <c:v> F1Q16 </c:v>
                </c:pt>
                <c:pt idx="1">
                  <c:v> F2Q16 </c:v>
                </c:pt>
                <c:pt idx="2">
                  <c:v> F3Q16 </c:v>
                </c:pt>
                <c:pt idx="3">
                  <c:v> F4Q16 </c:v>
                </c:pt>
                <c:pt idx="4">
                  <c:v> F1Q17 </c:v>
                </c:pt>
                <c:pt idx="5">
                  <c:v> F2Q17 </c:v>
                </c:pt>
                <c:pt idx="6">
                  <c:v> F3Q17E </c:v>
                </c:pt>
                <c:pt idx="7">
                  <c:v> F4Q17E </c:v>
                </c:pt>
              </c:strCache>
            </c:strRef>
          </c:cat>
          <c:val>
            <c:numRef>
              <c:f>('AAPL Earnings Model (Tier 1)'!$AH$78,'AAPL Earnings Model (Tier 1)'!$AI$78,'AAPL Earnings Model (Tier 1)'!$AJ$78,'AAPL Earnings Model (Tier 1)'!$AK$78,'AAPL Earnings Model (Tier 1)'!$AM$78,'AAPL Earnings Model (Tier 1)'!$AN$78,'AAPL Earnings Model (Tier 1)'!$AO$78,'AAPL Earnings Model (Tier 1)'!$AP$78)</c:f>
            </c:numRef>
          </c:val>
          <c:smooth val="0"/>
          <c:extLst>
            <c:ext xmlns:c16="http://schemas.microsoft.com/office/drawing/2014/chart" uri="{C3380CC4-5D6E-409C-BE32-E72D297353CC}">
              <c16:uniqueId val="{0000000A-5521-4A7D-BF8D-A8F0A2D78701}"/>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Mac Unit Sales (thousands)</c:v>
          </c:tx>
          <c:spPr>
            <a:solidFill>
              <a:schemeClr val="tx1">
                <a:lumMod val="65000"/>
                <a:lumOff val="35000"/>
              </a:schemeClr>
            </a:solidFill>
          </c:spPr>
          <c:invertIfNegative val="0"/>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5B46-47F4-9659-8FA7E49C815D}"/>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5B46-47F4-9659-8FA7E49C815D}"/>
              </c:ext>
            </c:extLst>
          </c:dPt>
          <c:dPt>
            <c:idx val="9"/>
            <c:invertIfNegative val="0"/>
            <c:bubble3D val="0"/>
            <c:extLst>
              <c:ext xmlns:c16="http://schemas.microsoft.com/office/drawing/2014/chart" uri="{C3380CC4-5D6E-409C-BE32-E72D297353CC}">
                <c16:uniqueId val="{00000004-5B46-47F4-9659-8FA7E49C815D}"/>
              </c:ext>
            </c:extLst>
          </c:dPt>
          <c:cat>
            <c:strRef>
              <c:f>('AAPL Earnings Model (Tier 1)'!$AH$12,'AAPL Earnings Model (Tier 1)'!$AI$12,'AAPL Earnings Model (Tier 1)'!$AJ$12,'AAPL Earnings Model (Tier 1)'!$AK$12,'AAPL Earnings Model (Tier 1)'!$AM$12,'AAPL Earnings Model (Tier 1)'!$AN$12,'AAPL Earnings Model (Tier 1)'!$AO$12,'AAPL Earnings Model (Tier 1)'!$AP$12)</c:f>
              <c:strCache>
                <c:ptCount val="8"/>
                <c:pt idx="0">
                  <c:v> F1Q16 </c:v>
                </c:pt>
                <c:pt idx="1">
                  <c:v> F2Q16 </c:v>
                </c:pt>
                <c:pt idx="2">
                  <c:v> F3Q16 </c:v>
                </c:pt>
                <c:pt idx="3">
                  <c:v> F4Q16 </c:v>
                </c:pt>
                <c:pt idx="4">
                  <c:v> F1Q17 </c:v>
                </c:pt>
                <c:pt idx="5">
                  <c:v> F2Q17 </c:v>
                </c:pt>
                <c:pt idx="6">
                  <c:v> F3Q17E </c:v>
                </c:pt>
                <c:pt idx="7">
                  <c:v> F4Q17E </c:v>
                </c:pt>
              </c:strCache>
            </c:strRef>
          </c:cat>
          <c:val>
            <c:numRef>
              <c:f>('AAPL Earnings Model (Tier 1)'!$AH$76,'AAPL Earnings Model (Tier 1)'!$AI$76,'AAPL Earnings Model (Tier 1)'!$AJ$76,'AAPL Earnings Model (Tier 1)'!$AK$76,'AAPL Earnings Model (Tier 1)'!$AM$76,'AAPL Earnings Model (Tier 1)'!$AN$76,'AAPL Earnings Model (Tier 1)'!$AO$76,'AAPL Earnings Model (Tier 1)'!$AP$76)</c:f>
            </c:numRef>
          </c:val>
          <c:extLst>
            <c:ext xmlns:c16="http://schemas.microsoft.com/office/drawing/2014/chart" uri="{C3380CC4-5D6E-409C-BE32-E72D297353CC}">
              <c16:uniqueId val="{00000005-5B46-47F4-9659-8FA7E49C815D}"/>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Mac Average Selling Price</c:v>
          </c:tx>
          <c:spPr>
            <a:ln>
              <a:solidFill>
                <a:schemeClr val="accent1">
                  <a:lumMod val="60000"/>
                  <a:lumOff val="40000"/>
                </a:schemeClr>
              </a:solidFill>
            </a:ln>
          </c:spPr>
          <c:marker>
            <c:symbol val="none"/>
          </c:marker>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7-5B46-47F4-9659-8FA7E49C815D}"/>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09-5B46-47F4-9659-8FA7E49C815D}"/>
              </c:ext>
            </c:extLst>
          </c:dPt>
          <c:cat>
            <c:strRef>
              <c:f>('AAPL Earnings Model (Tier 1)'!$AH$12,'AAPL Earnings Model (Tier 1)'!$AI$12,'AAPL Earnings Model (Tier 1)'!$AJ$12,'AAPL Earnings Model (Tier 1)'!$AK$12,'AAPL Earnings Model (Tier 1)'!$AM$12,'AAPL Earnings Model (Tier 1)'!$AN$12,'AAPL Earnings Model (Tier 1)'!$AO$12,'AAPL Earnings Model (Tier 1)'!$AP$12)</c:f>
              <c:strCache>
                <c:ptCount val="8"/>
                <c:pt idx="0">
                  <c:v> F1Q16 </c:v>
                </c:pt>
                <c:pt idx="1">
                  <c:v> F2Q16 </c:v>
                </c:pt>
                <c:pt idx="2">
                  <c:v> F3Q16 </c:v>
                </c:pt>
                <c:pt idx="3">
                  <c:v> F4Q16 </c:v>
                </c:pt>
                <c:pt idx="4">
                  <c:v> F1Q17 </c:v>
                </c:pt>
                <c:pt idx="5">
                  <c:v> F2Q17 </c:v>
                </c:pt>
                <c:pt idx="6">
                  <c:v> F3Q17E </c:v>
                </c:pt>
                <c:pt idx="7">
                  <c:v> F4Q17E </c:v>
                </c:pt>
              </c:strCache>
            </c:strRef>
          </c:cat>
          <c:val>
            <c:numRef>
              <c:f>('AAPL Earnings Model (Tier 1)'!$AH$79,'AAPL Earnings Model (Tier 1)'!$AI$79,'AAPL Earnings Model (Tier 1)'!$AJ$79,'AAPL Earnings Model (Tier 1)'!$AK$79,'AAPL Earnings Model (Tier 1)'!$AM$79,'AAPL Earnings Model (Tier 1)'!$AN$79,'AAPL Earnings Model (Tier 1)'!$AO$79,'AAPL Earnings Model (Tier 1)'!$AP$79)</c:f>
            </c:numRef>
          </c:val>
          <c:smooth val="0"/>
          <c:extLst>
            <c:ext xmlns:c16="http://schemas.microsoft.com/office/drawing/2014/chart" uri="{C3380CC4-5D6E-409C-BE32-E72D297353CC}">
              <c16:uniqueId val="{0000000A-5B46-47F4-9659-8FA7E49C815D}"/>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Revenue Guidance (midpoint)</c:v>
          </c:tx>
          <c:spPr>
            <a:solidFill>
              <a:srgbClr val="404040"/>
            </a:solidFill>
            <a:ln>
              <a:noFill/>
            </a:ln>
          </c:spPr>
          <c:invertIfNegative val="0"/>
          <c:dPt>
            <c:idx val="9"/>
            <c:invertIfNegative val="0"/>
            <c:bubble3D val="0"/>
            <c:extLst>
              <c:ext xmlns:c16="http://schemas.microsoft.com/office/drawing/2014/chart" uri="{C3380CC4-5D6E-409C-BE32-E72D297353CC}">
                <c16:uniqueId val="{00000000-693B-4BED-AEF7-9F5C7C173623}"/>
              </c:ext>
            </c:extLst>
          </c:dPt>
          <c:dPt>
            <c:idx val="10"/>
            <c:invertIfNegative val="0"/>
            <c:bubble3D val="0"/>
            <c:extLst>
              <c:ext xmlns:c16="http://schemas.microsoft.com/office/drawing/2014/chart" uri="{C3380CC4-5D6E-409C-BE32-E72D297353CC}">
                <c16:uniqueId val="{00000001-693B-4BED-AEF7-9F5C7C173623}"/>
              </c:ext>
            </c:extLst>
          </c:dPt>
          <c:cat>
            <c:strRef>
              <c:f>'Guidance Charts'!$A$12:$A$20</c:f>
              <c:strCache>
                <c:ptCount val="9"/>
                <c:pt idx="0">
                  <c:v>F3Q2015</c:v>
                </c:pt>
                <c:pt idx="1">
                  <c:v>F4Q2015</c:v>
                </c:pt>
                <c:pt idx="2">
                  <c:v>F1Q2016</c:v>
                </c:pt>
                <c:pt idx="3">
                  <c:v>F2Q2016</c:v>
                </c:pt>
                <c:pt idx="4">
                  <c:v>F3Q2016</c:v>
                </c:pt>
                <c:pt idx="5">
                  <c:v>F4Q2016</c:v>
                </c:pt>
                <c:pt idx="6">
                  <c:v>F1Q2017</c:v>
                </c:pt>
                <c:pt idx="7">
                  <c:v>F2Q2017</c:v>
                </c:pt>
                <c:pt idx="8">
                  <c:v>F3Q2017E</c:v>
                </c:pt>
              </c:strCache>
            </c:strRef>
          </c:cat>
          <c:val>
            <c:numRef>
              <c:f>'Guidance Charts'!$D$12:$D$20</c:f>
              <c:numCache>
                <c:formatCode>"$"#,##0.0_);[Red]\("$"#,##0.0\)</c:formatCode>
                <c:ptCount val="9"/>
                <c:pt idx="0">
                  <c:v>47</c:v>
                </c:pt>
                <c:pt idx="1">
                  <c:v>50</c:v>
                </c:pt>
                <c:pt idx="2">
                  <c:v>76.5</c:v>
                </c:pt>
                <c:pt idx="3">
                  <c:v>51.5</c:v>
                </c:pt>
                <c:pt idx="4">
                  <c:v>42</c:v>
                </c:pt>
                <c:pt idx="5">
                  <c:v>46.5</c:v>
                </c:pt>
                <c:pt idx="6">
                  <c:v>77</c:v>
                </c:pt>
                <c:pt idx="7">
                  <c:v>52.5</c:v>
                </c:pt>
                <c:pt idx="8">
                  <c:v>44.5</c:v>
                </c:pt>
              </c:numCache>
            </c:numRef>
          </c:val>
          <c:extLst>
            <c:ext xmlns:c16="http://schemas.microsoft.com/office/drawing/2014/chart" uri="{C3380CC4-5D6E-409C-BE32-E72D297353CC}">
              <c16:uniqueId val="{00000002-693B-4BED-AEF7-9F5C7C173623}"/>
            </c:ext>
          </c:extLst>
        </c:ser>
        <c:ser>
          <c:idx val="1"/>
          <c:order val="1"/>
          <c:tx>
            <c:v>Reported Revenue</c:v>
          </c:tx>
          <c:spPr>
            <a:solidFill>
              <a:schemeClr val="accent1">
                <a:lumMod val="60000"/>
                <a:lumOff val="40000"/>
              </a:schemeClr>
            </a:solidFill>
          </c:spPr>
          <c:invertIfNegative val="0"/>
          <c:val>
            <c:numRef>
              <c:f>'Guidance Charts'!$O$12:$O$20</c:f>
              <c:numCache>
                <c:formatCode>"$"#,##0.000_);[Red]\("$"#,##0.000\)</c:formatCode>
                <c:ptCount val="9"/>
                <c:pt idx="0">
                  <c:v>49.604999999999997</c:v>
                </c:pt>
                <c:pt idx="1">
                  <c:v>51.500999999999998</c:v>
                </c:pt>
                <c:pt idx="2">
                  <c:v>75.872</c:v>
                </c:pt>
                <c:pt idx="3">
                  <c:v>50.557000000000002</c:v>
                </c:pt>
                <c:pt idx="4">
                  <c:v>42.357999999999997</c:v>
                </c:pt>
                <c:pt idx="5">
                  <c:v>46.851999999999997</c:v>
                </c:pt>
                <c:pt idx="6">
                  <c:v>78.350999999999999</c:v>
                </c:pt>
                <c:pt idx="7">
                  <c:v>52.896000000000001</c:v>
                </c:pt>
              </c:numCache>
            </c:numRef>
          </c:val>
          <c:extLst>
            <c:ext xmlns:c16="http://schemas.microsoft.com/office/drawing/2014/chart" uri="{C3380CC4-5D6E-409C-BE32-E72D297353CC}">
              <c16:uniqueId val="{00000002-853D-47DE-A833-D06BAC9D7BCC}"/>
            </c:ext>
          </c:extLst>
        </c:ser>
        <c:dLbls>
          <c:showLegendKey val="0"/>
          <c:showVal val="0"/>
          <c:showCatName val="0"/>
          <c:showSerName val="0"/>
          <c:showPercent val="0"/>
          <c:showBubbleSize val="0"/>
        </c:dLbls>
        <c:gapWidth val="150"/>
        <c:axId val="30535680"/>
        <c:axId val="30537216"/>
      </c:barChart>
      <c:catAx>
        <c:axId val="30535680"/>
        <c:scaling>
          <c:orientation val="minMax"/>
        </c:scaling>
        <c:delete val="0"/>
        <c:axPos val="b"/>
        <c:numFmt formatCode="[$-409]mmmm\-yy;@" sourceLinked="0"/>
        <c:majorTickMark val="none"/>
        <c:minorTickMark val="none"/>
        <c:tickLblPos val="low"/>
        <c:txPr>
          <a:bodyPr rot="0" anchor="t" anchorCtr="0"/>
          <a:lstStyle/>
          <a:p>
            <a:pPr>
              <a:defRPr/>
            </a:pPr>
            <a:endParaRPr lang="en-US"/>
          </a:p>
        </c:txPr>
        <c:crossAx val="30537216"/>
        <c:crosses val="autoZero"/>
        <c:auto val="1"/>
        <c:lblAlgn val="ctr"/>
        <c:lblOffset val="100"/>
        <c:noMultiLvlLbl val="0"/>
      </c:catAx>
      <c:valAx>
        <c:axId val="30537216"/>
        <c:scaling>
          <c:orientation val="minMax"/>
          <c:max val="80"/>
          <c:min val="35"/>
        </c:scaling>
        <c:delete val="0"/>
        <c:axPos val="l"/>
        <c:majorGridlines>
          <c:spPr>
            <a:ln>
              <a:prstDash val="dash"/>
            </a:ln>
          </c:spPr>
        </c:majorGridlines>
        <c:numFmt formatCode="&quot;$&quot;#,##0" sourceLinked="0"/>
        <c:majorTickMark val="out"/>
        <c:minorTickMark val="none"/>
        <c:tickLblPos val="nextTo"/>
        <c:spPr>
          <a:ln>
            <a:noFill/>
          </a:ln>
        </c:spPr>
        <c:crossAx val="30535680"/>
        <c:crosses val="autoZero"/>
        <c:crossBetween val="between"/>
        <c:majorUnit val="10"/>
      </c:valAx>
    </c:plotArea>
    <c:legend>
      <c:legendPos val="b"/>
      <c:layout>
        <c:manualLayout>
          <c:xMode val="edge"/>
          <c:yMode val="edge"/>
          <c:x val="3.1521574484255958E-2"/>
          <c:y val="0.84113099498926291"/>
          <c:w val="0.95908346421260282"/>
          <c:h val="7.8281010328254422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Gross Margin Guidance (midpoint)</c:v>
          </c:tx>
          <c:spPr>
            <a:solidFill>
              <a:srgbClr val="404040"/>
            </a:solidFill>
            <a:ln>
              <a:noFill/>
            </a:ln>
          </c:spPr>
          <c:invertIfNegative val="0"/>
          <c:dPt>
            <c:idx val="9"/>
            <c:invertIfNegative val="0"/>
            <c:bubble3D val="0"/>
            <c:extLst>
              <c:ext xmlns:c16="http://schemas.microsoft.com/office/drawing/2014/chart" uri="{C3380CC4-5D6E-409C-BE32-E72D297353CC}">
                <c16:uniqueId val="{00000000-22D1-47B9-8401-7AB4913C7679}"/>
              </c:ext>
            </c:extLst>
          </c:dPt>
          <c:dPt>
            <c:idx val="10"/>
            <c:invertIfNegative val="0"/>
            <c:bubble3D val="0"/>
            <c:extLst>
              <c:ext xmlns:c16="http://schemas.microsoft.com/office/drawing/2014/chart" uri="{C3380CC4-5D6E-409C-BE32-E72D297353CC}">
                <c16:uniqueId val="{00000001-22D1-47B9-8401-7AB4913C7679}"/>
              </c:ext>
            </c:extLst>
          </c:dPt>
          <c:cat>
            <c:strRef>
              <c:f>'Guidance Charts'!$A$12:$A$20</c:f>
              <c:strCache>
                <c:ptCount val="9"/>
                <c:pt idx="0">
                  <c:v>F3Q2015</c:v>
                </c:pt>
                <c:pt idx="1">
                  <c:v>F4Q2015</c:v>
                </c:pt>
                <c:pt idx="2">
                  <c:v>F1Q2016</c:v>
                </c:pt>
                <c:pt idx="3">
                  <c:v>F2Q2016</c:v>
                </c:pt>
                <c:pt idx="4">
                  <c:v>F3Q2016</c:v>
                </c:pt>
                <c:pt idx="5">
                  <c:v>F4Q2016</c:v>
                </c:pt>
                <c:pt idx="6">
                  <c:v>F1Q2017</c:v>
                </c:pt>
                <c:pt idx="7">
                  <c:v>F2Q2017</c:v>
                </c:pt>
                <c:pt idx="8">
                  <c:v>F3Q2017E</c:v>
                </c:pt>
              </c:strCache>
            </c:strRef>
          </c:cat>
          <c:val>
            <c:numRef>
              <c:f>'Guidance Charts'!$F$12:$F$20</c:f>
              <c:numCache>
                <c:formatCode>0.00%</c:formatCode>
                <c:ptCount val="9"/>
                <c:pt idx="0">
                  <c:v>0.39</c:v>
                </c:pt>
                <c:pt idx="1">
                  <c:v>0.39</c:v>
                </c:pt>
                <c:pt idx="2">
                  <c:v>0.39500000000000002</c:v>
                </c:pt>
                <c:pt idx="3">
                  <c:v>0.39250000000000002</c:v>
                </c:pt>
                <c:pt idx="4">
                  <c:v>0.3775</c:v>
                </c:pt>
                <c:pt idx="5">
                  <c:v>0.3775</c:v>
                </c:pt>
                <c:pt idx="6">
                  <c:v>0.38250000000000001</c:v>
                </c:pt>
                <c:pt idx="7">
                  <c:v>0.38500000000000001</c:v>
                </c:pt>
                <c:pt idx="8">
                  <c:v>0.38</c:v>
                </c:pt>
              </c:numCache>
            </c:numRef>
          </c:val>
          <c:extLst>
            <c:ext xmlns:c16="http://schemas.microsoft.com/office/drawing/2014/chart" uri="{C3380CC4-5D6E-409C-BE32-E72D297353CC}">
              <c16:uniqueId val="{00000002-22D1-47B9-8401-7AB4913C7679}"/>
            </c:ext>
          </c:extLst>
        </c:ser>
        <c:ser>
          <c:idx val="1"/>
          <c:order val="1"/>
          <c:tx>
            <c:v>Reported Gross Margin</c:v>
          </c:tx>
          <c:spPr>
            <a:solidFill>
              <a:schemeClr val="accent1">
                <a:lumMod val="60000"/>
                <a:lumOff val="40000"/>
              </a:schemeClr>
            </a:solidFill>
          </c:spPr>
          <c:invertIfNegative val="0"/>
          <c:val>
            <c:numRef>
              <c:f>'Guidance Charts'!$Q$12:$Q$20</c:f>
              <c:numCache>
                <c:formatCode>0.00%</c:formatCode>
                <c:ptCount val="9"/>
                <c:pt idx="0">
                  <c:v>0.39700000000000002</c:v>
                </c:pt>
                <c:pt idx="1">
                  <c:v>0.39900000000000002</c:v>
                </c:pt>
                <c:pt idx="2">
                  <c:v>0.40100000000000002</c:v>
                </c:pt>
                <c:pt idx="3">
                  <c:v>0.39400000000000002</c:v>
                </c:pt>
                <c:pt idx="4">
                  <c:v>0.38</c:v>
                </c:pt>
                <c:pt idx="5">
                  <c:v>0.38</c:v>
                </c:pt>
                <c:pt idx="6">
                  <c:v>0.38500000000000001</c:v>
                </c:pt>
                <c:pt idx="7">
                  <c:v>0.38929999999999998</c:v>
                </c:pt>
              </c:numCache>
            </c:numRef>
          </c:val>
          <c:extLst>
            <c:ext xmlns:c16="http://schemas.microsoft.com/office/drawing/2014/chart" uri="{C3380CC4-5D6E-409C-BE32-E72D297353CC}">
              <c16:uniqueId val="{00000003-22D1-47B9-8401-7AB4913C7679}"/>
            </c:ext>
          </c:extLst>
        </c:ser>
        <c:dLbls>
          <c:showLegendKey val="0"/>
          <c:showVal val="0"/>
          <c:showCatName val="0"/>
          <c:showSerName val="0"/>
          <c:showPercent val="0"/>
          <c:showBubbleSize val="0"/>
        </c:dLbls>
        <c:gapWidth val="150"/>
        <c:axId val="30535680"/>
        <c:axId val="30537216"/>
      </c:barChart>
      <c:catAx>
        <c:axId val="30535680"/>
        <c:scaling>
          <c:orientation val="minMax"/>
        </c:scaling>
        <c:delete val="0"/>
        <c:axPos val="b"/>
        <c:numFmt formatCode="[$-409]mmmm\-yy;@" sourceLinked="0"/>
        <c:majorTickMark val="none"/>
        <c:minorTickMark val="none"/>
        <c:tickLblPos val="low"/>
        <c:txPr>
          <a:bodyPr rot="0" anchor="t" anchorCtr="0"/>
          <a:lstStyle/>
          <a:p>
            <a:pPr>
              <a:defRPr/>
            </a:pPr>
            <a:endParaRPr lang="en-US"/>
          </a:p>
        </c:txPr>
        <c:crossAx val="30537216"/>
        <c:crosses val="autoZero"/>
        <c:auto val="1"/>
        <c:lblAlgn val="ctr"/>
        <c:lblOffset val="100"/>
        <c:noMultiLvlLbl val="0"/>
      </c:catAx>
      <c:valAx>
        <c:axId val="30537216"/>
        <c:scaling>
          <c:orientation val="minMax"/>
        </c:scaling>
        <c:delete val="0"/>
        <c:axPos val="l"/>
        <c:majorGridlines>
          <c:spPr>
            <a:ln>
              <a:prstDash val="dash"/>
            </a:ln>
          </c:spPr>
        </c:majorGridlines>
        <c:numFmt formatCode="0%" sourceLinked="0"/>
        <c:majorTickMark val="out"/>
        <c:minorTickMark val="none"/>
        <c:tickLblPos val="nextTo"/>
        <c:spPr>
          <a:ln>
            <a:noFill/>
          </a:ln>
        </c:spPr>
        <c:crossAx val="30535680"/>
        <c:crosses val="autoZero"/>
        <c:crossBetween val="between"/>
        <c:majorUnit val="1.0000000000000002E-2"/>
      </c:valAx>
    </c:plotArea>
    <c:legend>
      <c:legendPos val="b"/>
      <c:layout>
        <c:manualLayout>
          <c:xMode val="edge"/>
          <c:yMode val="edge"/>
          <c:x val="3.1521574484255958E-2"/>
          <c:y val="0.84113099498926291"/>
          <c:w val="0.95908346421260282"/>
          <c:h val="7.8281010328254422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Consensus Revenue Estimate</c:v>
          </c:tx>
          <c:spPr>
            <a:solidFill>
              <a:schemeClr val="tx1">
                <a:lumMod val="65000"/>
                <a:lumOff val="35000"/>
              </a:schemeClr>
            </a:solidFill>
          </c:spPr>
          <c:invertIfNegative val="0"/>
          <c:dPt>
            <c:idx val="9"/>
            <c:invertIfNegative val="0"/>
            <c:bubble3D val="0"/>
            <c:extLst>
              <c:ext xmlns:c16="http://schemas.microsoft.com/office/drawing/2014/chart" uri="{C3380CC4-5D6E-409C-BE32-E72D297353CC}">
                <c16:uniqueId val="{00000000-6113-4954-B8DA-DB34BF03AE5D}"/>
              </c:ext>
            </c:extLst>
          </c:dPt>
          <c:cat>
            <c:strRef>
              <c:f>('Consensus Estimates'!$D$3,'Consensus Estimates'!$F$3,'Consensus Estimates'!$H$3,'Consensus Estimates'!$J$3)</c:f>
              <c:strCache>
                <c:ptCount val="4"/>
                <c:pt idx="0">
                  <c:v> F3Q2017E </c:v>
                </c:pt>
                <c:pt idx="1">
                  <c:v> F4Q2017E </c:v>
                </c:pt>
                <c:pt idx="2">
                  <c:v> F1Q2018E </c:v>
                </c:pt>
                <c:pt idx="3">
                  <c:v> F2Q2018E </c:v>
                </c:pt>
              </c:strCache>
            </c:strRef>
          </c:cat>
          <c:val>
            <c:numRef>
              <c:f>('Consensus Estimates'!$D$5,'Consensus Estimates'!$F$5,'Consensus Estimates'!$H$5,'Consensus Estimates'!$J$5)</c:f>
              <c:numCache>
                <c:formatCode>"$"#,##0.0</c:formatCode>
                <c:ptCount val="4"/>
                <c:pt idx="0">
                  <c:v>44.97</c:v>
                </c:pt>
                <c:pt idx="1">
                  <c:v>50.75</c:v>
                </c:pt>
                <c:pt idx="2">
                  <c:v>83.94</c:v>
                </c:pt>
                <c:pt idx="3">
                  <c:v>60.26</c:v>
                </c:pt>
              </c:numCache>
            </c:numRef>
          </c:val>
          <c:extLst>
            <c:ext xmlns:c16="http://schemas.microsoft.com/office/drawing/2014/chart" uri="{C3380CC4-5D6E-409C-BE32-E72D297353CC}">
              <c16:uniqueId val="{00000001-6113-4954-B8DA-DB34BF03AE5D}"/>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Consensus Gross Margin Estimate</c:v>
          </c:tx>
          <c:spPr>
            <a:ln>
              <a:solidFill>
                <a:schemeClr val="accent1">
                  <a:lumMod val="60000"/>
                  <a:lumOff val="40000"/>
                </a:schemeClr>
              </a:solidFill>
            </a:ln>
          </c:spPr>
          <c:marker>
            <c:symbol val="none"/>
          </c:marker>
          <c:cat>
            <c:strRef>
              <c:f>('Consensus Estimates'!$D$3,'Consensus Estimates'!$F$3,'Consensus Estimates'!$H$3,'Consensus Estimates'!$J$3)</c:f>
              <c:strCache>
                <c:ptCount val="4"/>
                <c:pt idx="0">
                  <c:v> F3Q2017E </c:v>
                </c:pt>
                <c:pt idx="1">
                  <c:v> F4Q2017E </c:v>
                </c:pt>
                <c:pt idx="2">
                  <c:v> F1Q2018E </c:v>
                </c:pt>
                <c:pt idx="3">
                  <c:v> F2Q2018E </c:v>
                </c:pt>
              </c:strCache>
            </c:strRef>
          </c:cat>
          <c:val>
            <c:numRef>
              <c:f>('Consensus Estimates'!$D$6,'Consensus Estimates'!$F$6,'Consensus Estimates'!$H$6,'Consensus Estimates'!$J$6)</c:f>
              <c:numCache>
                <c:formatCode>0.0%</c:formatCode>
                <c:ptCount val="4"/>
                <c:pt idx="0">
                  <c:v>0.38200000000000001</c:v>
                </c:pt>
                <c:pt idx="1">
                  <c:v>0.38300000000000001</c:v>
                </c:pt>
                <c:pt idx="2">
                  <c:v>0.38500000000000001</c:v>
                </c:pt>
                <c:pt idx="3">
                  <c:v>0.38900000000000001</c:v>
                </c:pt>
              </c:numCache>
            </c:numRef>
          </c:val>
          <c:smooth val="0"/>
          <c:extLst>
            <c:ext xmlns:c16="http://schemas.microsoft.com/office/drawing/2014/chart" uri="{C3380CC4-5D6E-409C-BE32-E72D297353CC}">
              <c16:uniqueId val="{00000002-6113-4954-B8DA-DB34BF03AE5D}"/>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37195410382325E-2"/>
          <c:y val="4.1935862833009895E-2"/>
          <c:w val="0.89635919911924888"/>
          <c:h val="0.63752418702419789"/>
        </c:manualLayout>
      </c:layout>
      <c:barChart>
        <c:barDir val="col"/>
        <c:grouping val="clustered"/>
        <c:varyColors val="0"/>
        <c:ser>
          <c:idx val="0"/>
          <c:order val="0"/>
          <c:tx>
            <c:v>Consensus Revenue Estimate</c:v>
          </c:tx>
          <c:spPr>
            <a:solidFill>
              <a:schemeClr val="tx1">
                <a:lumMod val="65000"/>
                <a:lumOff val="35000"/>
              </a:schemeClr>
            </a:solidFill>
          </c:spPr>
          <c:invertIfNegative val="0"/>
          <c:dPt>
            <c:idx val="9"/>
            <c:invertIfNegative val="0"/>
            <c:bubble3D val="0"/>
            <c:extLst>
              <c:ext xmlns:c16="http://schemas.microsoft.com/office/drawing/2014/chart" uri="{C3380CC4-5D6E-409C-BE32-E72D297353CC}">
                <c16:uniqueId val="{00000000-E0CB-447F-9132-22F0A2009118}"/>
              </c:ext>
            </c:extLst>
          </c:dPt>
          <c:cat>
            <c:strRef>
              <c:f>('Consensus Estimates'!$N$3,'Consensus Estimates'!$P$3,'Consensus Estimates'!$R$3,'Consensus Estimates'!$T$3)</c:f>
              <c:strCache>
                <c:ptCount val="4"/>
                <c:pt idx="0">
                  <c:v> FY2017E </c:v>
                </c:pt>
                <c:pt idx="1">
                  <c:v> FY2018E </c:v>
                </c:pt>
                <c:pt idx="2">
                  <c:v> FY2019E </c:v>
                </c:pt>
                <c:pt idx="3">
                  <c:v> FY2020E </c:v>
                </c:pt>
              </c:strCache>
            </c:strRef>
          </c:cat>
          <c:val>
            <c:numRef>
              <c:f>('Consensus Estimates'!$N$5,'Consensus Estimates'!$P$5,'Consensus Estimates'!$R$5,'Consensus Estimates'!$T$5)</c:f>
              <c:numCache>
                <c:formatCode>"$"#,##0.0</c:formatCode>
                <c:ptCount val="4"/>
                <c:pt idx="0">
                  <c:v>227.52500000000001</c:v>
                </c:pt>
                <c:pt idx="1">
                  <c:v>250.46299999999999</c:v>
                </c:pt>
                <c:pt idx="2">
                  <c:v>256.34300000000002</c:v>
                </c:pt>
                <c:pt idx="3">
                  <c:v>254.852</c:v>
                </c:pt>
              </c:numCache>
            </c:numRef>
          </c:val>
          <c:extLst>
            <c:ext xmlns:c16="http://schemas.microsoft.com/office/drawing/2014/chart" uri="{C3380CC4-5D6E-409C-BE32-E72D297353CC}">
              <c16:uniqueId val="{00000001-E0CB-447F-9132-22F0A2009118}"/>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v>Consensus Gross Margin Estimate</c:v>
          </c:tx>
          <c:spPr>
            <a:ln>
              <a:solidFill>
                <a:schemeClr val="accent1">
                  <a:lumMod val="60000"/>
                  <a:lumOff val="40000"/>
                </a:schemeClr>
              </a:solidFill>
            </a:ln>
          </c:spPr>
          <c:marker>
            <c:symbol val="none"/>
          </c:marker>
          <c:cat>
            <c:strRef>
              <c:f>('Consensus Estimates'!$N$3,'Consensus Estimates'!$P$3,'Consensus Estimates'!$R$3)</c:f>
              <c:strCache>
                <c:ptCount val="3"/>
                <c:pt idx="0">
                  <c:v> FY2017E </c:v>
                </c:pt>
                <c:pt idx="1">
                  <c:v> FY2018E </c:v>
                </c:pt>
                <c:pt idx="2">
                  <c:v> FY2019E </c:v>
                </c:pt>
              </c:strCache>
            </c:strRef>
          </c:cat>
          <c:val>
            <c:numRef>
              <c:f>('Consensus Estimates'!$N$6,'Consensus Estimates'!$P$6,'Consensus Estimates'!$R$6,'Consensus Estimates'!$T$6)</c:f>
              <c:numCache>
                <c:formatCode>0.0%</c:formatCode>
                <c:ptCount val="4"/>
                <c:pt idx="0">
                  <c:v>0.38569999999999999</c:v>
                </c:pt>
                <c:pt idx="1">
                  <c:v>0.38679999999999998</c:v>
                </c:pt>
                <c:pt idx="2">
                  <c:v>0.3891</c:v>
                </c:pt>
                <c:pt idx="3">
                  <c:v>0.38429999999999997</c:v>
                </c:pt>
              </c:numCache>
            </c:numRef>
          </c:val>
          <c:smooth val="0"/>
          <c:extLst>
            <c:ext xmlns:c16="http://schemas.microsoft.com/office/drawing/2014/chart" uri="{C3380CC4-5D6E-409C-BE32-E72D297353CC}">
              <c16:uniqueId val="{00000002-E0CB-447F-9132-22F0A2009118}"/>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plotArea>
    <c:legend>
      <c:legendPos val="b"/>
      <c:layout>
        <c:manualLayout>
          <c:xMode val="edge"/>
          <c:yMode val="edge"/>
          <c:x val="1.3513513513513514E-2"/>
          <c:y val="0.78960189653712642"/>
          <c:w val="0.9707324175718911"/>
          <c:h val="0.11025866041553967"/>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236802</xdr:colOff>
      <xdr:row>141</xdr:row>
      <xdr:rowOff>0</xdr:rowOff>
    </xdr:from>
    <xdr:to>
      <xdr:col>31</xdr:col>
      <xdr:colOff>718343</xdr:colOff>
      <xdr:row>141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198</xdr:row>
      <xdr:rowOff>0</xdr:rowOff>
    </xdr:from>
    <xdr:to>
      <xdr:col>31</xdr:col>
      <xdr:colOff>718343</xdr:colOff>
      <xdr:row>198</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253</xdr:row>
      <xdr:rowOff>0</xdr:rowOff>
    </xdr:from>
    <xdr:to>
      <xdr:col>31</xdr:col>
      <xdr:colOff>718343</xdr:colOff>
      <xdr:row>253</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35</xdr:row>
      <xdr:rowOff>0</xdr:rowOff>
    </xdr:from>
    <xdr:to>
      <xdr:col>31</xdr:col>
      <xdr:colOff>718343</xdr:colOff>
      <xdr:row>35</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178</xdr:row>
      <xdr:rowOff>0</xdr:rowOff>
    </xdr:from>
    <xdr:to>
      <xdr:col>31</xdr:col>
      <xdr:colOff>718343</xdr:colOff>
      <xdr:row>178</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23</xdr:row>
      <xdr:rowOff>120015</xdr:rowOff>
    </xdr:from>
    <xdr:to>
      <xdr:col>6</xdr:col>
      <xdr:colOff>386715</xdr:colOff>
      <xdr:row>34</xdr:row>
      <xdr:rowOff>129540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23</xdr:row>
      <xdr:rowOff>190500</xdr:rowOff>
    </xdr:from>
    <xdr:to>
      <xdr:col>15</xdr:col>
      <xdr:colOff>501015</xdr:colOff>
      <xdr:row>34</xdr:row>
      <xdr:rowOff>200025</xdr:rowOff>
    </xdr:to>
    <xdr:graphicFrame macro="">
      <xdr:nvGraphicFramePr>
        <xdr:cNvPr id="3" name="Chart 2">
          <a:extLst>
            <a:ext uri="{FF2B5EF4-FFF2-40B4-BE49-F238E27FC236}">
              <a16:creationId xmlns:a16="http://schemas.microsoft.com/office/drawing/2014/main" id="{77D88501-5031-4051-BAB6-41CE2BFC9D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15</xdr:row>
      <xdr:rowOff>66675</xdr:rowOff>
    </xdr:from>
    <xdr:to>
      <xdr:col>6</xdr:col>
      <xdr:colOff>790575</xdr:colOff>
      <xdr:row>26</xdr:row>
      <xdr:rowOff>190500</xdr:rowOff>
    </xdr:to>
    <xdr:graphicFrame macro="">
      <xdr:nvGraphicFramePr>
        <xdr:cNvPr id="4" name="Chart 3">
          <a:extLst>
            <a:ext uri="{FF2B5EF4-FFF2-40B4-BE49-F238E27FC236}">
              <a16:creationId xmlns:a16="http://schemas.microsoft.com/office/drawing/2014/main" id="{0C9973F0-A060-4B34-B28E-F5196F619D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60960</xdr:colOff>
      <xdr:row>15</xdr:row>
      <xdr:rowOff>121920</xdr:rowOff>
    </xdr:from>
    <xdr:to>
      <xdr:col>16</xdr:col>
      <xdr:colOff>708660</xdr:colOff>
      <xdr:row>26</xdr:row>
      <xdr:rowOff>245745</xdr:rowOff>
    </xdr:to>
    <xdr:graphicFrame macro="">
      <xdr:nvGraphicFramePr>
        <xdr:cNvPr id="5" name="Chart 4">
          <a:extLst>
            <a:ext uri="{FF2B5EF4-FFF2-40B4-BE49-F238E27FC236}">
              <a16:creationId xmlns:a16="http://schemas.microsoft.com/office/drawing/2014/main" id="{4706F35D-0064-4FA1-BD2F-A5906A17E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2</xdr:row>
      <xdr:rowOff>66675</xdr:rowOff>
    </xdr:from>
    <xdr:to>
      <xdr:col>6</xdr:col>
      <xdr:colOff>790575</xdr:colOff>
      <xdr:row>13</xdr:row>
      <xdr:rowOff>190500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xdr:row>
      <xdr:rowOff>0</xdr:rowOff>
    </xdr:from>
    <xdr:to>
      <xdr:col>14</xdr:col>
      <xdr:colOff>647700</xdr:colOff>
      <xdr:row>13</xdr:row>
      <xdr:rowOff>123825</xdr:rowOff>
    </xdr:to>
    <xdr:graphicFrame macro="">
      <xdr:nvGraphicFramePr>
        <xdr:cNvPr id="4" name="Chart 3">
          <a:extLst>
            <a:ext uri="{FF2B5EF4-FFF2-40B4-BE49-F238E27FC236}">
              <a16:creationId xmlns:a16="http://schemas.microsoft.com/office/drawing/2014/main" id="{35ED87E3-7E0A-420F-9E55-30684A2B3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16</xdr:row>
      <xdr:rowOff>66675</xdr:rowOff>
    </xdr:from>
    <xdr:to>
      <xdr:col>6</xdr:col>
      <xdr:colOff>790575</xdr:colOff>
      <xdr:row>27</xdr:row>
      <xdr:rowOff>190500</xdr:rowOff>
    </xdr:to>
    <xdr:graphicFrame macro="">
      <xdr:nvGraphicFramePr>
        <xdr:cNvPr id="5" name="Chart 4">
          <a:extLst>
            <a:ext uri="{FF2B5EF4-FFF2-40B4-BE49-F238E27FC236}">
              <a16:creationId xmlns:a16="http://schemas.microsoft.com/office/drawing/2014/main" id="{9C4DB678-BAB1-416D-9234-9A9A99EA6F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16</xdr:row>
      <xdr:rowOff>0</xdr:rowOff>
    </xdr:from>
    <xdr:to>
      <xdr:col>14</xdr:col>
      <xdr:colOff>647700</xdr:colOff>
      <xdr:row>27</xdr:row>
      <xdr:rowOff>123825</xdr:rowOff>
    </xdr:to>
    <xdr:graphicFrame macro="">
      <xdr:nvGraphicFramePr>
        <xdr:cNvPr id="6" name="Chart 5">
          <a:extLst>
            <a:ext uri="{FF2B5EF4-FFF2-40B4-BE49-F238E27FC236}">
              <a16:creationId xmlns:a16="http://schemas.microsoft.com/office/drawing/2014/main" id="{5986BF56-00A6-44E5-8C43-8D5D428D6E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66675</xdr:colOff>
      <xdr:row>30</xdr:row>
      <xdr:rowOff>66675</xdr:rowOff>
    </xdr:from>
    <xdr:to>
      <xdr:col>6</xdr:col>
      <xdr:colOff>790575</xdr:colOff>
      <xdr:row>41</xdr:row>
      <xdr:rowOff>190500</xdr:rowOff>
    </xdr:to>
    <xdr:graphicFrame macro="">
      <xdr:nvGraphicFramePr>
        <xdr:cNvPr id="7" name="Chart 6">
          <a:extLst>
            <a:ext uri="{FF2B5EF4-FFF2-40B4-BE49-F238E27FC236}">
              <a16:creationId xmlns:a16="http://schemas.microsoft.com/office/drawing/2014/main" id="{D34B48E1-A06C-464B-9E23-62ECF21C86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30</xdr:row>
      <xdr:rowOff>0</xdr:rowOff>
    </xdr:from>
    <xdr:to>
      <xdr:col>14</xdr:col>
      <xdr:colOff>647700</xdr:colOff>
      <xdr:row>41</xdr:row>
      <xdr:rowOff>123825</xdr:rowOff>
    </xdr:to>
    <xdr:graphicFrame macro="">
      <xdr:nvGraphicFramePr>
        <xdr:cNvPr id="8" name="Chart 7">
          <a:extLst>
            <a:ext uri="{FF2B5EF4-FFF2-40B4-BE49-F238E27FC236}">
              <a16:creationId xmlns:a16="http://schemas.microsoft.com/office/drawing/2014/main" id="{0A43A710-8D59-4D6F-A248-2BD6CC53A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M328"/>
  <sheetViews>
    <sheetView showGridLines="0" tabSelected="1" zoomScaleNormal="100" workbookViewId="0">
      <selection activeCell="B2" sqref="B2:C2"/>
    </sheetView>
  </sheetViews>
  <sheetFormatPr defaultRowHeight="14.4" outlineLevelRow="1" outlineLevelCol="1" x14ac:dyDescent="0.3"/>
  <cols>
    <col min="1" max="1" width="1.6640625" customWidth="1"/>
    <col min="2" max="2" width="32.6640625" customWidth="1"/>
    <col min="3" max="3" width="17.88671875" style="62" customWidth="1"/>
    <col min="4" max="27" width="11.5546875" style="1" hidden="1" customWidth="1" outlineLevel="1"/>
    <col min="28" max="28" width="11.5546875" style="1" customWidth="1" collapsed="1"/>
    <col min="29" max="30" width="11.5546875" style="1" customWidth="1" outlineLevel="1"/>
    <col min="31" max="32" width="11.5546875" style="6" customWidth="1" outlineLevel="1"/>
    <col min="33" max="33" width="11.5546875" style="6" customWidth="1"/>
    <col min="34" max="35" width="11.5546875" style="1" customWidth="1" outlineLevel="1"/>
    <col min="36" max="37" width="11.5546875" style="6" customWidth="1" outlineLevel="1"/>
    <col min="38" max="38" width="11.5546875" style="6" customWidth="1"/>
    <col min="39" max="40" width="11.5546875" style="1" customWidth="1" outlineLevel="1"/>
    <col min="41" max="42" width="11.5546875" style="6" customWidth="1" outlineLevel="1"/>
    <col min="43" max="43" width="11.5546875" style="6" customWidth="1"/>
    <col min="44" max="45" width="11.5546875" style="1" customWidth="1" outlineLevel="1"/>
    <col min="46" max="47" width="11.5546875" style="6" customWidth="1" outlineLevel="1"/>
    <col min="48" max="48" width="11.5546875" style="6" customWidth="1"/>
    <col min="49" max="50" width="11.5546875" style="1" hidden="1" customWidth="1" outlineLevel="1"/>
    <col min="51" max="52" width="11.5546875" style="6" hidden="1" customWidth="1" outlineLevel="1"/>
    <col min="53" max="53" width="11.5546875" style="6" customWidth="1" collapsed="1"/>
    <col min="54" max="55" width="11.5546875" style="1" hidden="1" customWidth="1" outlineLevel="1"/>
    <col min="56" max="57" width="11.5546875" style="6" hidden="1" customWidth="1" outlineLevel="1"/>
    <col min="58" max="58" width="11.5546875" style="6" customWidth="1" collapsed="1"/>
    <col min="59" max="60" width="11.5546875" style="1" hidden="1" customWidth="1" outlineLevel="1"/>
    <col min="61" max="62" width="11.5546875" style="6" hidden="1" customWidth="1" outlineLevel="1"/>
    <col min="63" max="63" width="11.5546875" style="6" customWidth="1" collapsed="1"/>
  </cols>
  <sheetData>
    <row r="1" spans="2:91" s="199" customFormat="1" ht="9" customHeight="1" x14ac:dyDescent="0.3">
      <c r="C1" s="62"/>
      <c r="D1" s="1"/>
      <c r="E1" s="1"/>
      <c r="F1" s="1"/>
      <c r="G1" s="1"/>
      <c r="H1" s="1"/>
      <c r="I1" s="1"/>
      <c r="J1" s="1"/>
      <c r="K1" s="1"/>
      <c r="L1" s="1"/>
      <c r="M1" s="1"/>
      <c r="N1" s="1"/>
      <c r="O1" s="1"/>
      <c r="P1" s="1"/>
      <c r="Q1" s="1"/>
      <c r="R1" s="1"/>
      <c r="S1" s="1"/>
      <c r="T1" s="1"/>
      <c r="U1" s="1"/>
      <c r="V1" s="1"/>
      <c r="W1" s="1"/>
      <c r="X1" s="1"/>
      <c r="Y1" s="1"/>
      <c r="Z1" s="1"/>
      <c r="AA1" s="1"/>
      <c r="AB1" s="1"/>
      <c r="AC1" s="1"/>
      <c r="AD1" s="1"/>
      <c r="AE1" s="6"/>
      <c r="AF1" s="6"/>
      <c r="AG1" s="6"/>
      <c r="AH1" s="1"/>
      <c r="AI1" s="1"/>
      <c r="AJ1" s="6"/>
      <c r="AK1" s="6"/>
      <c r="AL1" s="6"/>
      <c r="AM1" s="1"/>
      <c r="AN1" s="1"/>
      <c r="AO1" s="6"/>
      <c r="AP1" s="6"/>
      <c r="AQ1" s="6"/>
      <c r="AR1" s="1"/>
      <c r="AS1" s="1"/>
      <c r="AT1" s="6"/>
      <c r="AU1" s="6"/>
      <c r="AV1" s="6"/>
      <c r="AW1" s="1"/>
      <c r="AX1" s="1"/>
      <c r="AY1" s="6"/>
      <c r="AZ1" s="6"/>
      <c r="BA1" s="6"/>
      <c r="BB1" s="1"/>
      <c r="BC1" s="1"/>
      <c r="BD1" s="6"/>
      <c r="BE1" s="6"/>
      <c r="BF1" s="6"/>
      <c r="BG1" s="1"/>
      <c r="BH1" s="1"/>
      <c r="BI1" s="6"/>
      <c r="BJ1" s="6"/>
      <c r="BK1" s="6"/>
    </row>
    <row r="2" spans="2:91" ht="45" customHeight="1" x14ac:dyDescent="0.3">
      <c r="B2" s="718" t="s">
        <v>245</v>
      </c>
      <c r="C2" s="719"/>
      <c r="AJ2" s="234"/>
    </row>
    <row r="3" spans="2:91" x14ac:dyDescent="0.3">
      <c r="B3" s="768" t="s">
        <v>610</v>
      </c>
      <c r="C3" s="769"/>
      <c r="AC3" s="75"/>
      <c r="AF3" s="222"/>
      <c r="AG3" s="222"/>
    </row>
    <row r="4" spans="2:91" x14ac:dyDescent="0.3">
      <c r="B4" s="770" t="s">
        <v>439</v>
      </c>
      <c r="C4" s="771"/>
      <c r="H4" s="43"/>
      <c r="AC4" s="75"/>
      <c r="AF4" s="222"/>
      <c r="AG4" s="222"/>
      <c r="CM4" s="233" t="s">
        <v>246</v>
      </c>
    </row>
    <row r="5" spans="2:91" x14ac:dyDescent="0.3">
      <c r="B5" s="772" t="s">
        <v>597</v>
      </c>
      <c r="C5" s="773"/>
      <c r="AC5" s="221"/>
      <c r="AD5" s="75"/>
      <c r="AE5" s="75"/>
      <c r="AF5" s="222"/>
      <c r="AG5" s="222"/>
      <c r="AH5" s="222"/>
      <c r="AI5" s="222"/>
      <c r="AJ5" s="222"/>
      <c r="AK5" s="222"/>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row>
    <row r="6" spans="2:91" ht="14.4" customHeight="1" x14ac:dyDescent="0.3">
      <c r="B6" s="689" t="s">
        <v>226</v>
      </c>
      <c r="C6" s="280">
        <f>C271</f>
        <v>144.99835185160515</v>
      </c>
      <c r="AC6" s="75"/>
      <c r="AD6" s="75"/>
      <c r="AE6" s="75"/>
      <c r="AF6" s="223"/>
      <c r="AG6" s="223"/>
      <c r="AH6" s="75"/>
      <c r="AI6" s="75"/>
      <c r="AJ6" s="75"/>
      <c r="AK6" s="104"/>
      <c r="AL6" s="283"/>
      <c r="AM6" s="75"/>
      <c r="AN6" s="75"/>
      <c r="AO6" s="75"/>
      <c r="AP6" s="75"/>
      <c r="AQ6" s="75"/>
      <c r="AR6" s="75"/>
      <c r="AS6" s="75"/>
      <c r="AT6" s="75"/>
      <c r="AU6" s="75"/>
      <c r="AV6" s="75"/>
      <c r="AW6" s="75"/>
      <c r="AX6" s="75"/>
      <c r="AY6" s="75"/>
      <c r="AZ6" s="75"/>
      <c r="BA6" s="75"/>
      <c r="BB6" s="75"/>
      <c r="BC6" s="75"/>
      <c r="BD6" s="75"/>
      <c r="BE6" s="75"/>
      <c r="BF6" s="75"/>
      <c r="BG6" s="75"/>
      <c r="BH6" s="75"/>
      <c r="BI6" s="75"/>
      <c r="BJ6" s="75"/>
      <c r="BK6" s="75"/>
    </row>
    <row r="7" spans="2:91" ht="14.4" customHeight="1" x14ac:dyDescent="0.3">
      <c r="B7" s="639" t="s">
        <v>227</v>
      </c>
      <c r="C7" s="281">
        <f>C300</f>
        <v>185.00000022664167</v>
      </c>
      <c r="D7" s="84"/>
      <c r="I7" s="84"/>
      <c r="N7" s="84"/>
      <c r="S7" s="84"/>
      <c r="X7" s="84"/>
      <c r="AC7" s="75"/>
      <c r="AD7" s="75"/>
      <c r="AE7" s="75"/>
      <c r="AF7" s="104"/>
      <c r="AG7" s="104"/>
      <c r="AH7" s="75"/>
      <c r="AI7" s="75"/>
      <c r="AJ7" s="75"/>
      <c r="AK7" s="104"/>
      <c r="AL7" s="104"/>
      <c r="AM7" s="104"/>
      <c r="AN7" s="75"/>
      <c r="AO7" s="75"/>
      <c r="AP7" s="75"/>
      <c r="AQ7" s="104"/>
      <c r="AR7" s="104"/>
      <c r="AS7" s="104"/>
      <c r="AT7" s="75"/>
      <c r="AU7" s="75"/>
      <c r="AV7" s="75"/>
      <c r="AW7" s="75"/>
      <c r="AX7" s="75"/>
      <c r="AY7" s="75"/>
      <c r="AZ7" s="75"/>
      <c r="BA7" s="75"/>
      <c r="BB7" s="75"/>
      <c r="BC7" s="75"/>
      <c r="BD7" s="75"/>
      <c r="BE7" s="75"/>
      <c r="BF7" s="75"/>
      <c r="BG7" s="75"/>
      <c r="BH7" s="75"/>
      <c r="BI7" s="75"/>
      <c r="BJ7" s="75"/>
      <c r="BK7" s="75"/>
    </row>
    <row r="8" spans="2:91" ht="14.4" customHeight="1" x14ac:dyDescent="0.3">
      <c r="B8" s="639" t="s">
        <v>589</v>
      </c>
      <c r="C8" s="681">
        <f>(0.5*C6)+(0.5*C7)</f>
        <v>164.99917603912343</v>
      </c>
      <c r="D8" s="84"/>
      <c r="I8" s="84"/>
      <c r="N8" s="84"/>
      <c r="S8" s="84"/>
      <c r="X8" s="84"/>
      <c r="AA8" s="159"/>
      <c r="AC8" s="75"/>
      <c r="AD8" s="75"/>
      <c r="AE8" s="232"/>
      <c r="AF8" s="104"/>
      <c r="AG8" s="177"/>
      <c r="AH8" s="75"/>
      <c r="AI8" s="75"/>
      <c r="AJ8" s="75"/>
      <c r="AK8" s="104"/>
      <c r="AL8" s="104"/>
      <c r="AM8" s="75"/>
      <c r="AN8" s="419"/>
      <c r="AO8" s="75"/>
      <c r="AP8" s="75"/>
      <c r="AQ8" s="104"/>
      <c r="AR8" s="104"/>
      <c r="AS8" s="104"/>
      <c r="AT8" s="75"/>
      <c r="AU8" s="75"/>
      <c r="AV8" s="75"/>
      <c r="AW8" s="75"/>
      <c r="AX8" s="75"/>
      <c r="AY8" s="75"/>
      <c r="AZ8" s="75"/>
      <c r="BA8" s="75"/>
      <c r="BB8" s="75"/>
      <c r="BC8" s="75"/>
      <c r="BD8" s="75"/>
      <c r="BE8" s="75"/>
      <c r="BF8" s="75"/>
      <c r="BG8" s="75"/>
      <c r="BH8" s="75"/>
      <c r="BI8" s="75"/>
      <c r="BJ8" s="75"/>
      <c r="BK8" s="75"/>
    </row>
    <row r="9" spans="2:91" s="199" customFormat="1" ht="14.4" customHeight="1" x14ac:dyDescent="0.3">
      <c r="B9" s="690" t="s">
        <v>591</v>
      </c>
      <c r="C9" s="682" t="str">
        <f>TEXT(C312,"$0")&amp;" to "&amp;TEXT(C311,"$0")</f>
        <v>$157 to $187</v>
      </c>
      <c r="D9" s="84"/>
      <c r="E9" s="1"/>
      <c r="F9" s="1"/>
      <c r="G9" s="1"/>
      <c r="H9" s="1"/>
      <c r="I9" s="84"/>
      <c r="J9" s="1"/>
      <c r="K9" s="1"/>
      <c r="L9" s="1"/>
      <c r="M9" s="1"/>
      <c r="N9" s="84"/>
      <c r="O9" s="1"/>
      <c r="P9" s="1"/>
      <c r="Q9" s="1"/>
      <c r="R9" s="1"/>
      <c r="S9" s="84"/>
      <c r="T9" s="1"/>
      <c r="U9" s="1"/>
      <c r="V9" s="1"/>
      <c r="W9" s="1"/>
      <c r="X9" s="84"/>
      <c r="Y9" s="1"/>
      <c r="Z9" s="1"/>
      <c r="AA9" s="159"/>
      <c r="AB9" s="1"/>
      <c r="AC9" s="75"/>
      <c r="AD9" s="75"/>
      <c r="AE9" s="232"/>
      <c r="AF9" s="104"/>
      <c r="AG9" s="177"/>
      <c r="AH9" s="75"/>
      <c r="AI9" s="75"/>
      <c r="AJ9" s="75"/>
      <c r="AK9" s="104"/>
      <c r="AL9" s="104"/>
      <c r="AM9" s="75"/>
      <c r="AN9" s="419"/>
      <c r="AO9" s="75"/>
      <c r="AP9" s="75"/>
      <c r="AQ9" s="104"/>
      <c r="AR9" s="104"/>
      <c r="AS9" s="104"/>
      <c r="AT9" s="75"/>
      <c r="AU9" s="75"/>
      <c r="AV9" s="75"/>
      <c r="AW9" s="75"/>
      <c r="AX9" s="75"/>
      <c r="AY9" s="75"/>
      <c r="AZ9" s="75"/>
      <c r="BA9" s="75"/>
      <c r="BB9" s="75"/>
      <c r="BC9" s="75"/>
      <c r="BD9" s="75"/>
      <c r="BE9" s="75"/>
      <c r="BF9" s="75"/>
      <c r="BG9" s="75"/>
      <c r="BH9" s="75"/>
      <c r="BI9" s="75"/>
      <c r="BJ9" s="75"/>
      <c r="BK9" s="75"/>
    </row>
    <row r="10" spans="2:91" ht="3.75" customHeight="1" x14ac:dyDescent="0.3">
      <c r="C10" s="130"/>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102"/>
      <c r="AD10" s="102"/>
      <c r="AE10" s="102"/>
      <c r="AF10" s="102"/>
      <c r="AG10" s="103"/>
      <c r="AH10" s="102"/>
      <c r="AI10" s="102"/>
      <c r="AJ10" s="102"/>
      <c r="AK10" s="104"/>
      <c r="AL10" s="104"/>
      <c r="AM10" s="102"/>
      <c r="AN10" s="558"/>
      <c r="AO10" s="102"/>
      <c r="AP10" s="104"/>
      <c r="AQ10" s="104"/>
      <c r="AR10" s="102"/>
      <c r="AS10" s="102"/>
      <c r="AT10" s="102"/>
      <c r="AU10" s="104"/>
      <c r="AV10" s="75"/>
      <c r="AW10" s="74"/>
      <c r="AX10" s="74"/>
      <c r="AY10" s="74"/>
      <c r="AZ10" s="75"/>
      <c r="BA10" s="75"/>
      <c r="BB10" s="74"/>
      <c r="BC10" s="74"/>
      <c r="BD10" s="74"/>
      <c r="BE10" s="75"/>
      <c r="BF10" s="75"/>
      <c r="BG10" s="74"/>
      <c r="BH10" s="74"/>
      <c r="BI10" s="74"/>
      <c r="BJ10" s="75"/>
      <c r="BK10" s="75"/>
    </row>
    <row r="11" spans="2:91" ht="15.6" x14ac:dyDescent="0.3">
      <c r="B11" s="733" t="s">
        <v>85</v>
      </c>
      <c r="C11" s="734"/>
      <c r="D11" s="170" t="s">
        <v>117</v>
      </c>
      <c r="E11" s="170" t="s">
        <v>118</v>
      </c>
      <c r="F11" s="170" t="s">
        <v>119</v>
      </c>
      <c r="G11" s="170" t="s">
        <v>120</v>
      </c>
      <c r="H11" s="170" t="s">
        <v>120</v>
      </c>
      <c r="I11" s="170" t="s">
        <v>116</v>
      </c>
      <c r="J11" s="170" t="s">
        <v>126</v>
      </c>
      <c r="K11" s="170" t="s">
        <v>127</v>
      </c>
      <c r="L11" s="170" t="s">
        <v>128</v>
      </c>
      <c r="M11" s="170" t="s">
        <v>128</v>
      </c>
      <c r="N11" s="170" t="s">
        <v>134</v>
      </c>
      <c r="O11" s="170" t="s">
        <v>135</v>
      </c>
      <c r="P11" s="170" t="s">
        <v>136</v>
      </c>
      <c r="Q11" s="170" t="s">
        <v>137</v>
      </c>
      <c r="R11" s="170" t="s">
        <v>137</v>
      </c>
      <c r="S11" s="170" t="s">
        <v>143</v>
      </c>
      <c r="T11" s="170" t="s">
        <v>144</v>
      </c>
      <c r="U11" s="170" t="s">
        <v>145</v>
      </c>
      <c r="V11" s="170" t="s">
        <v>95</v>
      </c>
      <c r="W11" s="170" t="s">
        <v>95</v>
      </c>
      <c r="X11" s="170" t="s">
        <v>94</v>
      </c>
      <c r="Y11" s="170" t="s">
        <v>93</v>
      </c>
      <c r="Z11" s="170" t="s">
        <v>92</v>
      </c>
      <c r="AA11" s="170" t="s">
        <v>91</v>
      </c>
      <c r="AB11" s="170" t="s">
        <v>91</v>
      </c>
      <c r="AC11" s="170" t="s">
        <v>96</v>
      </c>
      <c r="AD11" s="170" t="s">
        <v>97</v>
      </c>
      <c r="AE11" s="170" t="s">
        <v>98</v>
      </c>
      <c r="AF11" s="170" t="s">
        <v>99</v>
      </c>
      <c r="AG11" s="170" t="s">
        <v>99</v>
      </c>
      <c r="AH11" s="170" t="s">
        <v>101</v>
      </c>
      <c r="AI11" s="170" t="s">
        <v>102</v>
      </c>
      <c r="AJ11" s="170" t="s">
        <v>103</v>
      </c>
      <c r="AK11" s="170" t="s">
        <v>104</v>
      </c>
      <c r="AL11" s="170" t="s">
        <v>104</v>
      </c>
      <c r="AM11" s="170" t="s">
        <v>100</v>
      </c>
      <c r="AN11" s="170" t="s">
        <v>105</v>
      </c>
      <c r="AO11" s="202" t="s">
        <v>106</v>
      </c>
      <c r="AP11" s="202" t="s">
        <v>107</v>
      </c>
      <c r="AQ11" s="202" t="s">
        <v>107</v>
      </c>
      <c r="AR11" s="202" t="s">
        <v>108</v>
      </c>
      <c r="AS11" s="202" t="s">
        <v>109</v>
      </c>
      <c r="AT11" s="202" t="s">
        <v>110</v>
      </c>
      <c r="AU11" s="202" t="s">
        <v>111</v>
      </c>
      <c r="AV11" s="202" t="s">
        <v>111</v>
      </c>
      <c r="AW11" s="202" t="s">
        <v>112</v>
      </c>
      <c r="AX11" s="202" t="s">
        <v>113</v>
      </c>
      <c r="AY11" s="202" t="s">
        <v>114</v>
      </c>
      <c r="AZ11" s="202" t="s">
        <v>115</v>
      </c>
      <c r="BA11" s="202" t="s">
        <v>115</v>
      </c>
      <c r="BB11" s="202" t="s">
        <v>233</v>
      </c>
      <c r="BC11" s="202" t="s">
        <v>234</v>
      </c>
      <c r="BD11" s="202" t="s">
        <v>235</v>
      </c>
      <c r="BE11" s="202" t="s">
        <v>236</v>
      </c>
      <c r="BF11" s="202" t="s">
        <v>236</v>
      </c>
      <c r="BG11" s="202" t="s">
        <v>272</v>
      </c>
      <c r="BH11" s="202" t="s">
        <v>273</v>
      </c>
      <c r="BI11" s="202" t="s">
        <v>274</v>
      </c>
      <c r="BJ11" s="202" t="s">
        <v>275</v>
      </c>
      <c r="BK11" s="203" t="s">
        <v>275</v>
      </c>
    </row>
    <row r="12" spans="2:91" ht="16.2" x14ac:dyDescent="0.45">
      <c r="B12" s="731" t="s">
        <v>10</v>
      </c>
      <c r="C12" s="732"/>
      <c r="D12" s="171" t="s">
        <v>121</v>
      </c>
      <c r="E12" s="171" t="s">
        <v>122</v>
      </c>
      <c r="F12" s="171" t="s">
        <v>123</v>
      </c>
      <c r="G12" s="171" t="s">
        <v>124</v>
      </c>
      <c r="H12" s="171" t="s">
        <v>125</v>
      </c>
      <c r="I12" s="171" t="s">
        <v>129</v>
      </c>
      <c r="J12" s="171" t="s">
        <v>130</v>
      </c>
      <c r="K12" s="171" t="s">
        <v>131</v>
      </c>
      <c r="L12" s="171" t="s">
        <v>132</v>
      </c>
      <c r="M12" s="171" t="s">
        <v>133</v>
      </c>
      <c r="N12" s="171" t="s">
        <v>138</v>
      </c>
      <c r="O12" s="171" t="s">
        <v>139</v>
      </c>
      <c r="P12" s="171" t="s">
        <v>140</v>
      </c>
      <c r="Q12" s="171" t="s">
        <v>141</v>
      </c>
      <c r="R12" s="171" t="s">
        <v>142</v>
      </c>
      <c r="S12" s="171" t="s">
        <v>146</v>
      </c>
      <c r="T12" s="171" t="s">
        <v>147</v>
      </c>
      <c r="U12" s="171" t="s">
        <v>148</v>
      </c>
      <c r="V12" s="171" t="s">
        <v>149</v>
      </c>
      <c r="W12" s="171" t="s">
        <v>0</v>
      </c>
      <c r="X12" s="171" t="s">
        <v>40</v>
      </c>
      <c r="Y12" s="171" t="s">
        <v>41</v>
      </c>
      <c r="Z12" s="171" t="s">
        <v>42</v>
      </c>
      <c r="AA12" s="171" t="s">
        <v>43</v>
      </c>
      <c r="AB12" s="171" t="s">
        <v>6</v>
      </c>
      <c r="AC12" s="171" t="s">
        <v>206</v>
      </c>
      <c r="AD12" s="171" t="s">
        <v>211</v>
      </c>
      <c r="AE12" s="171" t="s">
        <v>213</v>
      </c>
      <c r="AF12" s="171" t="s">
        <v>215</v>
      </c>
      <c r="AG12" s="171" t="s">
        <v>231</v>
      </c>
      <c r="AH12" s="171" t="s">
        <v>243</v>
      </c>
      <c r="AI12" s="171" t="s">
        <v>247</v>
      </c>
      <c r="AJ12" s="171" t="s">
        <v>248</v>
      </c>
      <c r="AK12" s="171" t="s">
        <v>270</v>
      </c>
      <c r="AL12" s="171" t="s">
        <v>271</v>
      </c>
      <c r="AM12" s="171" t="s">
        <v>281</v>
      </c>
      <c r="AN12" s="171" t="s">
        <v>440</v>
      </c>
      <c r="AO12" s="204" t="s">
        <v>58</v>
      </c>
      <c r="AP12" s="204" t="s">
        <v>59</v>
      </c>
      <c r="AQ12" s="204" t="s">
        <v>216</v>
      </c>
      <c r="AR12" s="204" t="s">
        <v>60</v>
      </c>
      <c r="AS12" s="204" t="s">
        <v>61</v>
      </c>
      <c r="AT12" s="204" t="s">
        <v>62</v>
      </c>
      <c r="AU12" s="204" t="s">
        <v>63</v>
      </c>
      <c r="AV12" s="204" t="s">
        <v>217</v>
      </c>
      <c r="AW12" s="204" t="s">
        <v>64</v>
      </c>
      <c r="AX12" s="204" t="s">
        <v>65</v>
      </c>
      <c r="AY12" s="204" t="s">
        <v>66</v>
      </c>
      <c r="AZ12" s="204" t="s">
        <v>67</v>
      </c>
      <c r="BA12" s="204" t="s">
        <v>218</v>
      </c>
      <c r="BB12" s="204" t="s">
        <v>232</v>
      </c>
      <c r="BC12" s="204" t="s">
        <v>237</v>
      </c>
      <c r="BD12" s="204" t="s">
        <v>238</v>
      </c>
      <c r="BE12" s="204" t="s">
        <v>239</v>
      </c>
      <c r="BF12" s="204" t="s">
        <v>240</v>
      </c>
      <c r="BG12" s="204" t="s">
        <v>276</v>
      </c>
      <c r="BH12" s="204" t="s">
        <v>277</v>
      </c>
      <c r="BI12" s="204" t="s">
        <v>278</v>
      </c>
      <c r="BJ12" s="204" t="s">
        <v>279</v>
      </c>
      <c r="BK12" s="205" t="s">
        <v>280</v>
      </c>
    </row>
    <row r="13" spans="2:91" x14ac:dyDescent="0.3">
      <c r="B13" s="714" t="s">
        <v>88</v>
      </c>
      <c r="C13" s="715"/>
      <c r="D13" s="36">
        <v>15683</v>
      </c>
      <c r="E13" s="5">
        <v>13499</v>
      </c>
      <c r="F13" s="5">
        <v>15700</v>
      </c>
      <c r="G13" s="37">
        <v>20343</v>
      </c>
      <c r="H13" s="4">
        <v>65225</v>
      </c>
      <c r="I13" s="36">
        <v>26741</v>
      </c>
      <c r="J13" s="5">
        <v>24667</v>
      </c>
      <c r="K13" s="5">
        <v>28571</v>
      </c>
      <c r="L13" s="37">
        <v>28270</v>
      </c>
      <c r="M13" s="4">
        <v>108249</v>
      </c>
      <c r="N13" s="36">
        <v>46333</v>
      </c>
      <c r="O13" s="5">
        <v>39186</v>
      </c>
      <c r="P13" s="5">
        <v>35023</v>
      </c>
      <c r="Q13" s="37">
        <v>35966</v>
      </c>
      <c r="R13" s="4">
        <v>156508</v>
      </c>
      <c r="S13" s="36">
        <v>54512</v>
      </c>
      <c r="T13" s="5">
        <v>43603</v>
      </c>
      <c r="U13" s="5">
        <v>35323</v>
      </c>
      <c r="V13" s="37">
        <v>37472</v>
      </c>
      <c r="W13" s="4">
        <v>170910</v>
      </c>
      <c r="X13" s="36">
        <v>57594</v>
      </c>
      <c r="Y13" s="5">
        <v>45646</v>
      </c>
      <c r="Z13" s="5">
        <v>37432</v>
      </c>
      <c r="AA13" s="37">
        <v>42123</v>
      </c>
      <c r="AB13" s="4">
        <v>182795</v>
      </c>
      <c r="AC13" s="50">
        <v>74599</v>
      </c>
      <c r="AD13" s="50">
        <f>AD118</f>
        <v>58010</v>
      </c>
      <c r="AE13" s="189">
        <v>49605</v>
      </c>
      <c r="AF13" s="189">
        <v>51501</v>
      </c>
      <c r="AG13" s="51">
        <f>SUM(AC13:AF13)</f>
        <v>233715</v>
      </c>
      <c r="AH13" s="189">
        <v>75872</v>
      </c>
      <c r="AI13" s="189">
        <v>50557</v>
      </c>
      <c r="AJ13" s="189">
        <v>42358</v>
      </c>
      <c r="AK13" s="189">
        <v>46852</v>
      </c>
      <c r="AL13" s="51">
        <f>SUM(AH13:AK13)</f>
        <v>215639</v>
      </c>
      <c r="AM13" s="189">
        <v>78351</v>
      </c>
      <c r="AN13" s="189">
        <v>52896</v>
      </c>
      <c r="AO13" s="287">
        <f>AO118</f>
        <v>44971.999999999993</v>
      </c>
      <c r="AP13" s="635">
        <f>AP118</f>
        <v>50746.999999999993</v>
      </c>
      <c r="AQ13" s="51">
        <f>SUM(AM13:AP13)</f>
        <v>226966</v>
      </c>
      <c r="AR13" s="635">
        <f>AR118</f>
        <v>83945</v>
      </c>
      <c r="AS13" s="635">
        <f>AS118</f>
        <v>60256.000000000007</v>
      </c>
      <c r="AT13" s="50">
        <f>AT118</f>
        <v>51661.195844444446</v>
      </c>
      <c r="AU13" s="50">
        <f>AU118</f>
        <v>54600.804155555554</v>
      </c>
      <c r="AV13" s="664">
        <f>SUM(AR13:AU13)</f>
        <v>250463</v>
      </c>
      <c r="AW13" s="50">
        <f>AW118</f>
        <v>85437.62682533334</v>
      </c>
      <c r="AX13" s="50">
        <f>AX118</f>
        <v>55404.565418456295</v>
      </c>
      <c r="AY13" s="50">
        <f>AY118</f>
        <v>47087.317727491471</v>
      </c>
      <c r="AZ13" s="50">
        <f>AZ118</f>
        <v>55204.64288057074</v>
      </c>
      <c r="BA13" s="51">
        <f>SUM(AW13:AZ13)</f>
        <v>243134.15285185183</v>
      </c>
      <c r="BB13" s="189">
        <f>BB118</f>
        <v>85205.129566502641</v>
      </c>
      <c r="BC13" s="189">
        <f>BC118</f>
        <v>49631.917603958638</v>
      </c>
      <c r="BD13" s="189">
        <f>BD118</f>
        <v>43815.086237179967</v>
      </c>
      <c r="BE13" s="189">
        <f>BE118</f>
        <v>56015.31807790976</v>
      </c>
      <c r="BF13" s="45">
        <f>SUM(BB13:BE13)</f>
        <v>234667.45148555099</v>
      </c>
      <c r="BG13" s="189">
        <f>BG118</f>
        <v>81566.272367588215</v>
      </c>
      <c r="BH13" s="189">
        <f>BH118</f>
        <v>46281.459777893542</v>
      </c>
      <c r="BI13" s="189">
        <f>BI118</f>
        <v>41558.048453895608</v>
      </c>
      <c r="BJ13" s="189">
        <f>BJ118</f>
        <v>54878.066478052693</v>
      </c>
      <c r="BK13" s="45">
        <f>SUM(BG13:BJ13)</f>
        <v>224283.84707743005</v>
      </c>
    </row>
    <row r="14" spans="2:91" ht="17.25" customHeight="1" x14ac:dyDescent="0.45">
      <c r="B14" s="714" t="s">
        <v>89</v>
      </c>
      <c r="C14" s="715"/>
      <c r="D14" s="34">
        <v>9272</v>
      </c>
      <c r="E14" s="8">
        <v>7874</v>
      </c>
      <c r="F14" s="8">
        <v>9564</v>
      </c>
      <c r="G14" s="35">
        <v>12831</v>
      </c>
      <c r="H14" s="7">
        <v>39541</v>
      </c>
      <c r="I14" s="34">
        <v>16443</v>
      </c>
      <c r="J14" s="8">
        <v>14449</v>
      </c>
      <c r="K14" s="8">
        <v>16649</v>
      </c>
      <c r="L14" s="35">
        <v>16890</v>
      </c>
      <c r="M14" s="7">
        <v>64431</v>
      </c>
      <c r="N14" s="34">
        <v>25630</v>
      </c>
      <c r="O14" s="8">
        <v>20622</v>
      </c>
      <c r="P14" s="8">
        <v>20029</v>
      </c>
      <c r="Q14" s="35">
        <v>21565</v>
      </c>
      <c r="R14" s="7">
        <v>87846</v>
      </c>
      <c r="S14" s="34">
        <v>33452</v>
      </c>
      <c r="T14" s="8">
        <v>27254</v>
      </c>
      <c r="U14" s="8">
        <v>22299</v>
      </c>
      <c r="V14" s="35">
        <v>23601</v>
      </c>
      <c r="W14" s="7">
        <v>106606</v>
      </c>
      <c r="X14" s="34">
        <v>35748</v>
      </c>
      <c r="Y14" s="8">
        <v>27699</v>
      </c>
      <c r="Z14" s="8">
        <v>22697</v>
      </c>
      <c r="AA14" s="35">
        <v>26114</v>
      </c>
      <c r="AB14" s="7">
        <v>112258</v>
      </c>
      <c r="AC14" s="76">
        <v>44858</v>
      </c>
      <c r="AD14" s="76">
        <v>34354</v>
      </c>
      <c r="AE14" s="76">
        <v>29924</v>
      </c>
      <c r="AF14" s="76">
        <v>30953</v>
      </c>
      <c r="AG14" s="165">
        <f>SUM(AC14:AF14)</f>
        <v>140089</v>
      </c>
      <c r="AH14" s="76">
        <v>45449</v>
      </c>
      <c r="AI14" s="76">
        <v>30636</v>
      </c>
      <c r="AJ14" s="76">
        <v>26252</v>
      </c>
      <c r="AK14" s="76">
        <v>29039</v>
      </c>
      <c r="AL14" s="165">
        <f>SUM(AH14:AK14)</f>
        <v>131376</v>
      </c>
      <c r="AM14" s="76">
        <v>48175</v>
      </c>
      <c r="AN14" s="76">
        <v>32305</v>
      </c>
      <c r="AO14" s="76">
        <f>-AO13*(AO125-1)</f>
        <v>27797.193199999994</v>
      </c>
      <c r="AP14" s="76">
        <f>-AP13*(AP125-1)</f>
        <v>31295.674899999998</v>
      </c>
      <c r="AQ14" s="165">
        <f>SUM(AM14:AP14)</f>
        <v>139572.86809999999</v>
      </c>
      <c r="AR14" s="76">
        <f>-AR13*(AR125-1)</f>
        <v>51609.385999999999</v>
      </c>
      <c r="AS14" s="76">
        <f>-AS13*(AS125-1)</f>
        <v>36834.4928</v>
      </c>
      <c r="AT14" s="76">
        <f>-AT13*(AT125-1)</f>
        <v>32029.941423555556</v>
      </c>
      <c r="AU14" s="76">
        <f>-AU13*(AU125-1)</f>
        <v>33852.498576444443</v>
      </c>
      <c r="AV14" s="46">
        <f>SUM(AR14:AU14)</f>
        <v>154326.31880000001</v>
      </c>
      <c r="AW14" s="76">
        <f>-AW13*(AW125-1)</f>
        <v>52971.328631706674</v>
      </c>
      <c r="AX14" s="76">
        <f>-AX13*(AX125-1)</f>
        <v>34350.830559442904</v>
      </c>
      <c r="AY14" s="76">
        <f>-AY13*(AY125-1)</f>
        <v>29194.13699104471</v>
      </c>
      <c r="AZ14" s="76">
        <f>-AZ13*(AZ125-1)</f>
        <v>34226.878585953862</v>
      </c>
      <c r="BA14" s="165">
        <f>SUM(AW14:AZ14)</f>
        <v>150743.17476814816</v>
      </c>
      <c r="BB14" s="76">
        <f>-BB13*(BB125-1)</f>
        <v>52827.180331231641</v>
      </c>
      <c r="BC14" s="76">
        <f>-BC13*(BC125-1)</f>
        <v>30895.868708464255</v>
      </c>
      <c r="BD14" s="76">
        <f>-BD13*(BD125-1)</f>
        <v>27384.428898237478</v>
      </c>
      <c r="BE14" s="76">
        <f>-BE13*(BE125-1)</f>
        <v>35149.612093888369</v>
      </c>
      <c r="BF14" s="46">
        <f>SUM(BB14:BE14)</f>
        <v>146257.09003182175</v>
      </c>
      <c r="BG14" s="76">
        <f>-BG13*(BG125-1)</f>
        <v>51386.751591580578</v>
      </c>
      <c r="BH14" s="76">
        <f>-BH13*(BH125-1)</f>
        <v>29157.319660072932</v>
      </c>
      <c r="BI14" s="76">
        <f>-BI13*(BI125-1)</f>
        <v>26181.570525954234</v>
      </c>
      <c r="BJ14" s="76">
        <f>-BJ13*(BJ125-1)</f>
        <v>34573.181881173194</v>
      </c>
      <c r="BK14" s="46">
        <f>SUM(BG14:BJ14)</f>
        <v>141298.82365878095</v>
      </c>
    </row>
    <row r="15" spans="2:91" x14ac:dyDescent="0.3">
      <c r="B15" s="722" t="s">
        <v>1</v>
      </c>
      <c r="C15" s="723"/>
      <c r="D15" s="14">
        <f t="shared" ref="D15:AI15" si="0">D13-D14</f>
        <v>6411</v>
      </c>
      <c r="E15" s="10">
        <f t="shared" si="0"/>
        <v>5625</v>
      </c>
      <c r="F15" s="10">
        <f t="shared" si="0"/>
        <v>6136</v>
      </c>
      <c r="G15" s="15">
        <f t="shared" si="0"/>
        <v>7512</v>
      </c>
      <c r="H15" s="9">
        <f t="shared" si="0"/>
        <v>25684</v>
      </c>
      <c r="I15" s="14">
        <f t="shared" si="0"/>
        <v>10298</v>
      </c>
      <c r="J15" s="10">
        <f t="shared" si="0"/>
        <v>10218</v>
      </c>
      <c r="K15" s="10">
        <f t="shared" si="0"/>
        <v>11922</v>
      </c>
      <c r="L15" s="15">
        <f t="shared" si="0"/>
        <v>11380</v>
      </c>
      <c r="M15" s="9">
        <f t="shared" si="0"/>
        <v>43818</v>
      </c>
      <c r="N15" s="14">
        <f t="shared" si="0"/>
        <v>20703</v>
      </c>
      <c r="O15" s="10">
        <f t="shared" si="0"/>
        <v>18564</v>
      </c>
      <c r="P15" s="10">
        <f t="shared" si="0"/>
        <v>14994</v>
      </c>
      <c r="Q15" s="15">
        <f t="shared" si="0"/>
        <v>14401</v>
      </c>
      <c r="R15" s="9">
        <f t="shared" si="0"/>
        <v>68662</v>
      </c>
      <c r="S15" s="14">
        <f t="shared" si="0"/>
        <v>21060</v>
      </c>
      <c r="T15" s="10">
        <f t="shared" si="0"/>
        <v>16349</v>
      </c>
      <c r="U15" s="10">
        <f t="shared" si="0"/>
        <v>13024</v>
      </c>
      <c r="V15" s="15">
        <f t="shared" si="0"/>
        <v>13871</v>
      </c>
      <c r="W15" s="9">
        <f t="shared" si="0"/>
        <v>64304</v>
      </c>
      <c r="X15" s="14">
        <f t="shared" si="0"/>
        <v>21846</v>
      </c>
      <c r="Y15" s="10">
        <f t="shared" si="0"/>
        <v>17947</v>
      </c>
      <c r="Z15" s="10">
        <f t="shared" si="0"/>
        <v>14735</v>
      </c>
      <c r="AA15" s="15">
        <f t="shared" si="0"/>
        <v>16009</v>
      </c>
      <c r="AB15" s="9">
        <f t="shared" si="0"/>
        <v>70537</v>
      </c>
      <c r="AC15" s="49">
        <f t="shared" si="0"/>
        <v>29741</v>
      </c>
      <c r="AD15" s="49">
        <f t="shared" si="0"/>
        <v>23656</v>
      </c>
      <c r="AE15" s="49">
        <f t="shared" si="0"/>
        <v>19681</v>
      </c>
      <c r="AF15" s="49">
        <f t="shared" si="0"/>
        <v>20548</v>
      </c>
      <c r="AG15" s="169">
        <f t="shared" si="0"/>
        <v>93626</v>
      </c>
      <c r="AH15" s="49">
        <f t="shared" si="0"/>
        <v>30423</v>
      </c>
      <c r="AI15" s="49">
        <f t="shared" si="0"/>
        <v>19921</v>
      </c>
      <c r="AJ15" s="49">
        <f t="shared" ref="AJ15:BK15" si="1">AJ13-AJ14</f>
        <v>16106</v>
      </c>
      <c r="AK15" s="49">
        <f t="shared" si="1"/>
        <v>17813</v>
      </c>
      <c r="AL15" s="169">
        <f t="shared" si="1"/>
        <v>84263</v>
      </c>
      <c r="AM15" s="49">
        <f t="shared" si="1"/>
        <v>30176</v>
      </c>
      <c r="AN15" s="49">
        <f t="shared" si="1"/>
        <v>20591</v>
      </c>
      <c r="AO15" s="49">
        <f t="shared" si="1"/>
        <v>17174.806799999998</v>
      </c>
      <c r="AP15" s="49">
        <f t="shared" si="1"/>
        <v>19451.325099999995</v>
      </c>
      <c r="AQ15" s="169">
        <f t="shared" si="1"/>
        <v>87393.131900000008</v>
      </c>
      <c r="AR15" s="49">
        <f t="shared" si="1"/>
        <v>32335.614000000001</v>
      </c>
      <c r="AS15" s="49">
        <f t="shared" si="1"/>
        <v>23421.507200000007</v>
      </c>
      <c r="AT15" s="49">
        <f t="shared" si="1"/>
        <v>19631.25442088889</v>
      </c>
      <c r="AU15" s="49">
        <f t="shared" si="1"/>
        <v>20748.305579111111</v>
      </c>
      <c r="AV15" s="48">
        <f t="shared" si="1"/>
        <v>96136.681199999992</v>
      </c>
      <c r="AW15" s="49">
        <f t="shared" si="1"/>
        <v>32466.298193626666</v>
      </c>
      <c r="AX15" s="49">
        <f t="shared" si="1"/>
        <v>21053.734859013392</v>
      </c>
      <c r="AY15" s="49">
        <f t="shared" si="1"/>
        <v>17893.18073644676</v>
      </c>
      <c r="AZ15" s="49">
        <f t="shared" si="1"/>
        <v>20977.764294616878</v>
      </c>
      <c r="BA15" s="169">
        <f t="shared" si="1"/>
        <v>92390.978083703667</v>
      </c>
      <c r="BB15" s="49">
        <f t="shared" si="1"/>
        <v>32377.949235271</v>
      </c>
      <c r="BC15" s="49">
        <f t="shared" si="1"/>
        <v>18736.048895494383</v>
      </c>
      <c r="BD15" s="49">
        <f t="shared" si="1"/>
        <v>16430.657338942488</v>
      </c>
      <c r="BE15" s="49">
        <f t="shared" si="1"/>
        <v>20865.705984021391</v>
      </c>
      <c r="BF15" s="48">
        <f t="shared" si="1"/>
        <v>88410.361453729245</v>
      </c>
      <c r="BG15" s="49">
        <f t="shared" si="1"/>
        <v>30179.520776007637</v>
      </c>
      <c r="BH15" s="49">
        <f t="shared" si="1"/>
        <v>17124.140117820611</v>
      </c>
      <c r="BI15" s="49">
        <f t="shared" si="1"/>
        <v>15376.477927941374</v>
      </c>
      <c r="BJ15" s="49">
        <f t="shared" si="1"/>
        <v>20304.884596879499</v>
      </c>
      <c r="BK15" s="48">
        <f t="shared" si="1"/>
        <v>82985.0234186491</v>
      </c>
    </row>
    <row r="16" spans="2:91" x14ac:dyDescent="0.3">
      <c r="B16" s="714" t="s">
        <v>8</v>
      </c>
      <c r="C16" s="715"/>
      <c r="D16" s="38">
        <v>398</v>
      </c>
      <c r="E16" s="13">
        <v>426</v>
      </c>
      <c r="F16" s="13">
        <v>464</v>
      </c>
      <c r="G16" s="39">
        <v>494</v>
      </c>
      <c r="H16" s="12">
        <v>1782</v>
      </c>
      <c r="I16" s="38">
        <v>575</v>
      </c>
      <c r="J16" s="13">
        <v>581</v>
      </c>
      <c r="K16" s="13">
        <v>628</v>
      </c>
      <c r="L16" s="39">
        <v>645</v>
      </c>
      <c r="M16" s="12">
        <v>2429</v>
      </c>
      <c r="N16" s="38">
        <v>758</v>
      </c>
      <c r="O16" s="13">
        <v>841</v>
      </c>
      <c r="P16" s="13">
        <v>876</v>
      </c>
      <c r="Q16" s="39">
        <v>906</v>
      </c>
      <c r="R16" s="12">
        <v>3381</v>
      </c>
      <c r="S16" s="38">
        <v>1010</v>
      </c>
      <c r="T16" s="13">
        <v>1119</v>
      </c>
      <c r="U16" s="13">
        <v>1178</v>
      </c>
      <c r="V16" s="39">
        <v>1168</v>
      </c>
      <c r="W16" s="12">
        <v>4475</v>
      </c>
      <c r="X16" s="38">
        <v>1330</v>
      </c>
      <c r="Y16" s="13">
        <v>1422</v>
      </c>
      <c r="Z16" s="13">
        <v>1603</v>
      </c>
      <c r="AA16" s="39">
        <v>1686</v>
      </c>
      <c r="AB16" s="12">
        <v>6041</v>
      </c>
      <c r="AC16" s="78">
        <v>1895</v>
      </c>
      <c r="AD16" s="50">
        <v>1918</v>
      </c>
      <c r="AE16" s="189">
        <v>2034</v>
      </c>
      <c r="AF16" s="79">
        <v>2220</v>
      </c>
      <c r="AG16" s="51">
        <f>SUM(AC16:AF16)</f>
        <v>8067</v>
      </c>
      <c r="AH16" s="78">
        <v>2404</v>
      </c>
      <c r="AI16" s="189">
        <v>2511</v>
      </c>
      <c r="AJ16" s="189">
        <v>2560</v>
      </c>
      <c r="AK16" s="79">
        <v>2570</v>
      </c>
      <c r="AL16" s="51">
        <f>SUM(AH16:AK16)</f>
        <v>10045</v>
      </c>
      <c r="AM16" s="78">
        <v>2871</v>
      </c>
      <c r="AN16" s="189">
        <v>2776</v>
      </c>
      <c r="AO16" s="189">
        <f>AO13*AO130</f>
        <v>2698.3199999999993</v>
      </c>
      <c r="AP16" s="79">
        <f>AP13*AP130</f>
        <v>2791.0849999999996</v>
      </c>
      <c r="AQ16" s="51">
        <f>SUM(AM16:AP16)</f>
        <v>11136.404999999999</v>
      </c>
      <c r="AR16" s="78">
        <f>AR13*AR130</f>
        <v>2938.0750000000003</v>
      </c>
      <c r="AS16" s="50">
        <f>AS13*AS130</f>
        <v>3012.8000000000006</v>
      </c>
      <c r="AT16" s="189">
        <f>AT13*AT130</f>
        <v>3099.6717506666669</v>
      </c>
      <c r="AU16" s="79">
        <f>AU13*AU130</f>
        <v>3276.0482493333329</v>
      </c>
      <c r="AV16" s="45">
        <f>SUM(AR16:AU16)</f>
        <v>12326.595000000001</v>
      </c>
      <c r="AW16" s="78">
        <f>AW13*AW130</f>
        <v>2990.3169388866672</v>
      </c>
      <c r="AX16" s="50">
        <f>AX13*AX130</f>
        <v>2770.2282709228148</v>
      </c>
      <c r="AY16" s="125">
        <f>AY13*AY130</f>
        <v>2825.2390636494883</v>
      </c>
      <c r="AZ16" s="79">
        <f>AZ13*AZ130</f>
        <v>3312.2785728342442</v>
      </c>
      <c r="BA16" s="51">
        <f>SUM(AW16:AZ16)</f>
        <v>11898.062846293215</v>
      </c>
      <c r="BB16" s="78">
        <f>BB13*BB130</f>
        <v>2982.1795348275928</v>
      </c>
      <c r="BC16" s="189">
        <f>BC13*BC130</f>
        <v>2481.5958801979323</v>
      </c>
      <c r="BD16" s="125">
        <f>BD13*BD130</f>
        <v>2628.9051742307979</v>
      </c>
      <c r="BE16" s="79">
        <f>BE13*BE130</f>
        <v>3360.9190846745855</v>
      </c>
      <c r="BF16" s="45">
        <f>SUM(BB16:BE16)</f>
        <v>11453.599673930908</v>
      </c>
      <c r="BG16" s="78">
        <f>BG13*BG130</f>
        <v>2854.8195328655879</v>
      </c>
      <c r="BH16" s="189">
        <f>BH13*BH130</f>
        <v>2314.0729888946771</v>
      </c>
      <c r="BI16" s="125">
        <f>BI13*BI130</f>
        <v>2493.4829072337366</v>
      </c>
      <c r="BJ16" s="79">
        <f>BJ13*BJ130</f>
        <v>3292.6839886831613</v>
      </c>
      <c r="BK16" s="45">
        <f>SUM(BG16:BJ16)</f>
        <v>10955.059417677163</v>
      </c>
    </row>
    <row r="17" spans="2:63" ht="16.2" x14ac:dyDescent="0.45">
      <c r="B17" s="714" t="s">
        <v>7</v>
      </c>
      <c r="C17" s="715"/>
      <c r="D17" s="34">
        <v>1288</v>
      </c>
      <c r="E17" s="8">
        <v>1220</v>
      </c>
      <c r="F17" s="8">
        <v>1438</v>
      </c>
      <c r="G17" s="35">
        <v>1571</v>
      </c>
      <c r="H17" s="7">
        <v>5517</v>
      </c>
      <c r="I17" s="34">
        <v>1896</v>
      </c>
      <c r="J17" s="8">
        <v>1763</v>
      </c>
      <c r="K17" s="8">
        <v>1915</v>
      </c>
      <c r="L17" s="35">
        <v>2025</v>
      </c>
      <c r="M17" s="7">
        <v>7599</v>
      </c>
      <c r="N17" s="34">
        <v>2605</v>
      </c>
      <c r="O17" s="8">
        <v>2339</v>
      </c>
      <c r="P17" s="8">
        <v>2545</v>
      </c>
      <c r="Q17" s="35">
        <v>2551</v>
      </c>
      <c r="R17" s="7">
        <v>10040</v>
      </c>
      <c r="S17" s="34">
        <v>2840</v>
      </c>
      <c r="T17" s="8">
        <v>2672</v>
      </c>
      <c r="U17" s="8">
        <v>2645</v>
      </c>
      <c r="V17" s="35">
        <v>2673</v>
      </c>
      <c r="W17" s="7">
        <v>10830</v>
      </c>
      <c r="X17" s="34">
        <v>3053</v>
      </c>
      <c r="Y17" s="8">
        <v>2932</v>
      </c>
      <c r="Z17" s="8">
        <v>2850</v>
      </c>
      <c r="AA17" s="35">
        <v>3158</v>
      </c>
      <c r="AB17" s="7">
        <v>11993</v>
      </c>
      <c r="AC17" s="80">
        <v>3600</v>
      </c>
      <c r="AD17" s="76">
        <v>3460</v>
      </c>
      <c r="AE17" s="76">
        <v>3564</v>
      </c>
      <c r="AF17" s="81">
        <v>3705</v>
      </c>
      <c r="AG17" s="165">
        <f>SUM(AC17:AF17)</f>
        <v>14329</v>
      </c>
      <c r="AH17" s="80">
        <v>3848</v>
      </c>
      <c r="AI17" s="76">
        <v>3423</v>
      </c>
      <c r="AJ17" s="76">
        <v>3441</v>
      </c>
      <c r="AK17" s="81">
        <v>3482</v>
      </c>
      <c r="AL17" s="165">
        <f>SUM(AH17:AK17)</f>
        <v>14194</v>
      </c>
      <c r="AM17" s="80">
        <v>3946</v>
      </c>
      <c r="AN17" s="76">
        <v>3718</v>
      </c>
      <c r="AO17" s="76">
        <f>AO13*AO129</f>
        <v>3998.0517936021747</v>
      </c>
      <c r="AP17" s="81">
        <f>AP13*AP129</f>
        <v>4230.2450168698679</v>
      </c>
      <c r="AQ17" s="165">
        <f>SUM(AM17:AP17)</f>
        <v>15892.296810472042</v>
      </c>
      <c r="AR17" s="80">
        <f>AR13*AR129</f>
        <v>4907.4727320717784</v>
      </c>
      <c r="AS17" s="76">
        <f>AS13*AS129</f>
        <v>4648.1907319998927</v>
      </c>
      <c r="AT17" s="76">
        <f>AT13*AT129</f>
        <v>4391.2016467777785</v>
      </c>
      <c r="AU17" s="81">
        <f>AU13*AU129</f>
        <v>4641.068353222222</v>
      </c>
      <c r="AV17" s="46">
        <f>SUM(AR17:AU17)</f>
        <v>18587.93346407167</v>
      </c>
      <c r="AW17" s="80">
        <f>AW13*AW129</f>
        <v>5126.2576095200002</v>
      </c>
      <c r="AX17" s="76">
        <f>AX13*AX129</f>
        <v>4155.3424063842222</v>
      </c>
      <c r="AY17" s="76">
        <f>AY13*AY129</f>
        <v>4002.4220068367754</v>
      </c>
      <c r="AZ17" s="81">
        <f>AZ13*AZ129</f>
        <v>4692.3946448485131</v>
      </c>
      <c r="BA17" s="165">
        <f>SUM(AW17:AZ17)</f>
        <v>17976.41666758951</v>
      </c>
      <c r="BB17" s="80">
        <f>BB13*BB129</f>
        <v>5112.3077739901582</v>
      </c>
      <c r="BC17" s="76">
        <f>BC13*BC129</f>
        <v>3722.3938202968975</v>
      </c>
      <c r="BD17" s="76">
        <f>BD13*BD129</f>
        <v>3724.2823301602975</v>
      </c>
      <c r="BE17" s="81">
        <f>BE13*BE129</f>
        <v>4761.30203662233</v>
      </c>
      <c r="BF17" s="46">
        <f>SUM(BB17:BE17)</f>
        <v>17320.285961069683</v>
      </c>
      <c r="BG17" s="80">
        <f>BG13*BG129</f>
        <v>4893.9763420552927</v>
      </c>
      <c r="BH17" s="76">
        <f>BH13*BH129</f>
        <v>3471.1094833420157</v>
      </c>
      <c r="BI17" s="76">
        <f>BI13*BI129</f>
        <v>3532.4341185811268</v>
      </c>
      <c r="BJ17" s="81">
        <f>BJ13*BJ129</f>
        <v>4664.6356506344791</v>
      </c>
      <c r="BK17" s="46">
        <f>SUM(BG17:BJ17)</f>
        <v>16562.155594612916</v>
      </c>
    </row>
    <row r="18" spans="2:63" s="199" customFormat="1" ht="16.2" x14ac:dyDescent="0.45">
      <c r="B18" s="217" t="s">
        <v>228</v>
      </c>
      <c r="C18" s="218"/>
      <c r="D18" s="34">
        <f>SUM(D16:D17)</f>
        <v>1686</v>
      </c>
      <c r="E18" s="8">
        <f t="shared" ref="E18:BA18" si="2">SUM(E16:E17)</f>
        <v>1646</v>
      </c>
      <c r="F18" s="8">
        <f t="shared" si="2"/>
        <v>1902</v>
      </c>
      <c r="G18" s="35">
        <f t="shared" si="2"/>
        <v>2065</v>
      </c>
      <c r="H18" s="7">
        <f t="shared" si="2"/>
        <v>7299</v>
      </c>
      <c r="I18" s="34">
        <f t="shared" si="2"/>
        <v>2471</v>
      </c>
      <c r="J18" s="8">
        <f t="shared" si="2"/>
        <v>2344</v>
      </c>
      <c r="K18" s="8">
        <f t="shared" si="2"/>
        <v>2543</v>
      </c>
      <c r="L18" s="35">
        <f t="shared" si="2"/>
        <v>2670</v>
      </c>
      <c r="M18" s="7">
        <f t="shared" si="2"/>
        <v>10028</v>
      </c>
      <c r="N18" s="34">
        <f t="shared" si="2"/>
        <v>3363</v>
      </c>
      <c r="O18" s="8">
        <f t="shared" si="2"/>
        <v>3180</v>
      </c>
      <c r="P18" s="8">
        <f t="shared" si="2"/>
        <v>3421</v>
      </c>
      <c r="Q18" s="35">
        <f t="shared" si="2"/>
        <v>3457</v>
      </c>
      <c r="R18" s="7">
        <f t="shared" si="2"/>
        <v>13421</v>
      </c>
      <c r="S18" s="34">
        <f t="shared" si="2"/>
        <v>3850</v>
      </c>
      <c r="T18" s="8">
        <f t="shared" si="2"/>
        <v>3791</v>
      </c>
      <c r="U18" s="8">
        <f t="shared" si="2"/>
        <v>3823</v>
      </c>
      <c r="V18" s="35">
        <f t="shared" si="2"/>
        <v>3841</v>
      </c>
      <c r="W18" s="7">
        <f t="shared" si="2"/>
        <v>15305</v>
      </c>
      <c r="X18" s="34">
        <f t="shared" si="2"/>
        <v>4383</v>
      </c>
      <c r="Y18" s="8">
        <f t="shared" si="2"/>
        <v>4354</v>
      </c>
      <c r="Z18" s="8">
        <f t="shared" si="2"/>
        <v>4453</v>
      </c>
      <c r="AA18" s="35">
        <f t="shared" si="2"/>
        <v>4844</v>
      </c>
      <c r="AB18" s="7">
        <f t="shared" si="2"/>
        <v>18034</v>
      </c>
      <c r="AC18" s="80">
        <f t="shared" si="2"/>
        <v>5495</v>
      </c>
      <c r="AD18" s="76">
        <f t="shared" si="2"/>
        <v>5378</v>
      </c>
      <c r="AE18" s="76">
        <f t="shared" si="2"/>
        <v>5598</v>
      </c>
      <c r="AF18" s="81">
        <f t="shared" si="2"/>
        <v>5925</v>
      </c>
      <c r="AG18" s="165">
        <f t="shared" si="2"/>
        <v>22396</v>
      </c>
      <c r="AH18" s="80">
        <f t="shared" si="2"/>
        <v>6252</v>
      </c>
      <c r="AI18" s="76">
        <f t="shared" si="2"/>
        <v>5934</v>
      </c>
      <c r="AJ18" s="76">
        <f t="shared" si="2"/>
        <v>6001</v>
      </c>
      <c r="AK18" s="81">
        <f t="shared" si="2"/>
        <v>6052</v>
      </c>
      <c r="AL18" s="165">
        <f t="shared" si="2"/>
        <v>24239</v>
      </c>
      <c r="AM18" s="80">
        <f t="shared" si="2"/>
        <v>6817</v>
      </c>
      <c r="AN18" s="76">
        <f t="shared" si="2"/>
        <v>6494</v>
      </c>
      <c r="AO18" s="667">
        <f t="shared" si="2"/>
        <v>6696.371793602174</v>
      </c>
      <c r="AP18" s="81">
        <f t="shared" si="2"/>
        <v>7021.3300168698679</v>
      </c>
      <c r="AQ18" s="165">
        <f t="shared" si="2"/>
        <v>27028.701810472041</v>
      </c>
      <c r="AR18" s="80">
        <f t="shared" si="2"/>
        <v>7845.5477320717782</v>
      </c>
      <c r="AS18" s="76">
        <f t="shared" si="2"/>
        <v>7660.9907319998929</v>
      </c>
      <c r="AT18" s="76">
        <f t="shared" si="2"/>
        <v>7490.8733974444458</v>
      </c>
      <c r="AU18" s="81">
        <f t="shared" si="2"/>
        <v>7917.1166025555549</v>
      </c>
      <c r="AV18" s="46">
        <f t="shared" si="2"/>
        <v>30914.528464071671</v>
      </c>
      <c r="AW18" s="80">
        <f t="shared" si="2"/>
        <v>8116.5745484066674</v>
      </c>
      <c r="AX18" s="76">
        <f t="shared" si="2"/>
        <v>6925.5706773070369</v>
      </c>
      <c r="AY18" s="76">
        <f t="shared" si="2"/>
        <v>6827.6610704862633</v>
      </c>
      <c r="AZ18" s="81">
        <f t="shared" si="2"/>
        <v>8004.6732176827572</v>
      </c>
      <c r="BA18" s="165">
        <f t="shared" si="2"/>
        <v>29874.479513882725</v>
      </c>
      <c r="BB18" s="80">
        <f t="shared" ref="BB18:BK18" si="3">SUM(BB16:BB17)</f>
        <v>8094.487308817751</v>
      </c>
      <c r="BC18" s="76">
        <f t="shared" si="3"/>
        <v>6203.9897004948298</v>
      </c>
      <c r="BD18" s="76">
        <f t="shared" si="3"/>
        <v>6353.187504391095</v>
      </c>
      <c r="BE18" s="81">
        <f t="shared" si="3"/>
        <v>8122.221121296916</v>
      </c>
      <c r="BF18" s="46">
        <f t="shared" si="3"/>
        <v>28773.885635000592</v>
      </c>
      <c r="BG18" s="80">
        <f t="shared" si="3"/>
        <v>7748.795874920881</v>
      </c>
      <c r="BH18" s="76">
        <f t="shared" si="3"/>
        <v>5785.1824722366928</v>
      </c>
      <c r="BI18" s="76">
        <f t="shared" si="3"/>
        <v>6025.9170258148633</v>
      </c>
      <c r="BJ18" s="81">
        <f t="shared" si="3"/>
        <v>7957.3196393176404</v>
      </c>
      <c r="BK18" s="46">
        <f t="shared" si="3"/>
        <v>27517.215012290078</v>
      </c>
    </row>
    <row r="19" spans="2:63" x14ac:dyDescent="0.3">
      <c r="B19" s="722" t="s">
        <v>2</v>
      </c>
      <c r="C19" s="723"/>
      <c r="D19" s="14">
        <f t="shared" ref="D19:AB19" si="4">D15-D17-D16</f>
        <v>4725</v>
      </c>
      <c r="E19" s="10">
        <f t="shared" si="4"/>
        <v>3979</v>
      </c>
      <c r="F19" s="10">
        <f t="shared" si="4"/>
        <v>4234</v>
      </c>
      <c r="G19" s="15">
        <f t="shared" si="4"/>
        <v>5447</v>
      </c>
      <c r="H19" s="9">
        <f t="shared" si="4"/>
        <v>18385</v>
      </c>
      <c r="I19" s="14">
        <f t="shared" si="4"/>
        <v>7827</v>
      </c>
      <c r="J19" s="10">
        <f t="shared" si="4"/>
        <v>7874</v>
      </c>
      <c r="K19" s="10">
        <f t="shared" si="4"/>
        <v>9379</v>
      </c>
      <c r="L19" s="15">
        <f t="shared" si="4"/>
        <v>8710</v>
      </c>
      <c r="M19" s="9">
        <f t="shared" si="4"/>
        <v>33790</v>
      </c>
      <c r="N19" s="14">
        <f t="shared" si="4"/>
        <v>17340</v>
      </c>
      <c r="O19" s="10">
        <f t="shared" si="4"/>
        <v>15384</v>
      </c>
      <c r="P19" s="10">
        <f t="shared" si="4"/>
        <v>11573</v>
      </c>
      <c r="Q19" s="15">
        <f t="shared" si="4"/>
        <v>10944</v>
      </c>
      <c r="R19" s="9">
        <f t="shared" si="4"/>
        <v>55241</v>
      </c>
      <c r="S19" s="14">
        <f t="shared" si="4"/>
        <v>17210</v>
      </c>
      <c r="T19" s="10">
        <f t="shared" si="4"/>
        <v>12558</v>
      </c>
      <c r="U19" s="10">
        <f t="shared" si="4"/>
        <v>9201</v>
      </c>
      <c r="V19" s="15">
        <f t="shared" si="4"/>
        <v>10030</v>
      </c>
      <c r="W19" s="9">
        <f t="shared" si="4"/>
        <v>48999</v>
      </c>
      <c r="X19" s="14">
        <f t="shared" si="4"/>
        <v>17463</v>
      </c>
      <c r="Y19" s="10">
        <f t="shared" si="4"/>
        <v>13593</v>
      </c>
      <c r="Z19" s="10">
        <f t="shared" si="4"/>
        <v>10282</v>
      </c>
      <c r="AA19" s="15">
        <f t="shared" si="4"/>
        <v>11165</v>
      </c>
      <c r="AB19" s="9">
        <f t="shared" si="4"/>
        <v>52503</v>
      </c>
      <c r="AC19" s="82">
        <f t="shared" ref="AC19:BA19" si="5">AC15-AC17-AC16</f>
        <v>24246</v>
      </c>
      <c r="AD19" s="49">
        <f t="shared" si="5"/>
        <v>18278</v>
      </c>
      <c r="AE19" s="49">
        <f>AE15-AE17-AE16</f>
        <v>14083</v>
      </c>
      <c r="AF19" s="83">
        <f t="shared" si="5"/>
        <v>14623</v>
      </c>
      <c r="AG19" s="169">
        <f t="shared" si="5"/>
        <v>71230</v>
      </c>
      <c r="AH19" s="82">
        <f t="shared" si="5"/>
        <v>24171</v>
      </c>
      <c r="AI19" s="49">
        <f t="shared" si="5"/>
        <v>13987</v>
      </c>
      <c r="AJ19" s="49">
        <f t="shared" si="5"/>
        <v>10105</v>
      </c>
      <c r="AK19" s="83">
        <f t="shared" si="5"/>
        <v>11761</v>
      </c>
      <c r="AL19" s="169">
        <f t="shared" si="5"/>
        <v>60024</v>
      </c>
      <c r="AM19" s="82">
        <f t="shared" si="5"/>
        <v>23359</v>
      </c>
      <c r="AN19" s="49">
        <f t="shared" si="5"/>
        <v>14097</v>
      </c>
      <c r="AO19" s="49">
        <f>AO15-AO17-AO16</f>
        <v>10478.435006397824</v>
      </c>
      <c r="AP19" s="83">
        <f t="shared" si="5"/>
        <v>12429.995083130128</v>
      </c>
      <c r="AQ19" s="169">
        <f t="shared" si="5"/>
        <v>60364.430089527974</v>
      </c>
      <c r="AR19" s="82">
        <f t="shared" si="5"/>
        <v>24490.066267928221</v>
      </c>
      <c r="AS19" s="49">
        <f t="shared" si="5"/>
        <v>15760.516468000113</v>
      </c>
      <c r="AT19" s="49">
        <f t="shared" si="5"/>
        <v>12140.381023444445</v>
      </c>
      <c r="AU19" s="83">
        <f t="shared" si="5"/>
        <v>12831.188976555557</v>
      </c>
      <c r="AV19" s="169">
        <f t="shared" si="5"/>
        <v>65222.152735928321</v>
      </c>
      <c r="AW19" s="82">
        <f t="shared" si="5"/>
        <v>24349.723645220001</v>
      </c>
      <c r="AX19" s="49">
        <f t="shared" si="5"/>
        <v>14128.164181706356</v>
      </c>
      <c r="AY19" s="49">
        <f t="shared" si="5"/>
        <v>11065.519665960495</v>
      </c>
      <c r="AZ19" s="83">
        <f t="shared" si="5"/>
        <v>12973.091076934121</v>
      </c>
      <c r="BA19" s="169">
        <f t="shared" si="5"/>
        <v>62516.498569820942</v>
      </c>
      <c r="BB19" s="82">
        <f t="shared" ref="BB19:BK19" si="6">BB15-BB17-BB16</f>
        <v>24283.461926453252</v>
      </c>
      <c r="BC19" s="49">
        <f t="shared" si="6"/>
        <v>12532.059194999554</v>
      </c>
      <c r="BD19" s="49">
        <f t="shared" si="6"/>
        <v>10077.469834551392</v>
      </c>
      <c r="BE19" s="83">
        <f t="shared" si="6"/>
        <v>12743.484862724476</v>
      </c>
      <c r="BF19" s="48">
        <f t="shared" si="6"/>
        <v>59636.47581872865</v>
      </c>
      <c r="BG19" s="82">
        <f t="shared" si="6"/>
        <v>22430.724901086756</v>
      </c>
      <c r="BH19" s="49">
        <f t="shared" si="6"/>
        <v>11338.957645583918</v>
      </c>
      <c r="BI19" s="49">
        <f t="shared" si="6"/>
        <v>9350.5609021265118</v>
      </c>
      <c r="BJ19" s="83">
        <f t="shared" si="6"/>
        <v>12347.564957561859</v>
      </c>
      <c r="BK19" s="48">
        <f t="shared" si="6"/>
        <v>55467.808406359029</v>
      </c>
    </row>
    <row r="20" spans="2:63" s="676" customFormat="1" x14ac:dyDescent="0.3">
      <c r="B20" s="670" t="s">
        <v>576</v>
      </c>
      <c r="C20" s="671"/>
      <c r="D20" s="672">
        <f>+D19+D204</f>
        <v>4934</v>
      </c>
      <c r="E20" s="673">
        <f t="shared" ref="E20:BK20" si="7">+E19+E204</f>
        <v>4195</v>
      </c>
      <c r="F20" s="673">
        <f t="shared" si="7"/>
        <v>4507</v>
      </c>
      <c r="G20" s="674">
        <f t="shared" si="7"/>
        <v>5776</v>
      </c>
      <c r="H20" s="675">
        <f t="shared" si="7"/>
        <v>19412</v>
      </c>
      <c r="I20" s="672">
        <f t="shared" si="7"/>
        <v>8183</v>
      </c>
      <c r="J20" s="673">
        <f t="shared" si="7"/>
        <v>8308</v>
      </c>
      <c r="K20" s="673">
        <f t="shared" si="7"/>
        <v>9860</v>
      </c>
      <c r="L20" s="674">
        <f t="shared" si="7"/>
        <v>9253</v>
      </c>
      <c r="M20" s="675">
        <f t="shared" si="7"/>
        <v>35604</v>
      </c>
      <c r="N20" s="672">
        <f t="shared" si="7"/>
        <v>18061</v>
      </c>
      <c r="O20" s="673">
        <f t="shared" si="7"/>
        <v>16124</v>
      </c>
      <c r="P20" s="673">
        <f t="shared" si="7"/>
        <v>12408</v>
      </c>
      <c r="Q20" s="674">
        <f t="shared" si="7"/>
        <v>11925</v>
      </c>
      <c r="R20" s="675">
        <f t="shared" si="7"/>
        <v>58518</v>
      </c>
      <c r="S20" s="672">
        <f t="shared" si="7"/>
        <v>18798</v>
      </c>
      <c r="T20" s="673">
        <f t="shared" si="7"/>
        <v>14250</v>
      </c>
      <c r="U20" s="673">
        <f t="shared" si="7"/>
        <v>10895</v>
      </c>
      <c r="V20" s="674">
        <f t="shared" si="7"/>
        <v>11813</v>
      </c>
      <c r="W20" s="675">
        <f t="shared" si="7"/>
        <v>55756</v>
      </c>
      <c r="X20" s="672">
        <f t="shared" si="7"/>
        <v>19607</v>
      </c>
      <c r="Y20" s="673">
        <f t="shared" si="7"/>
        <v>15480</v>
      </c>
      <c r="Z20" s="673">
        <f t="shared" si="7"/>
        <v>12228</v>
      </c>
      <c r="AA20" s="674">
        <f t="shared" si="7"/>
        <v>13134</v>
      </c>
      <c r="AB20" s="675">
        <f t="shared" si="7"/>
        <v>60449</v>
      </c>
      <c r="AC20" s="668">
        <f t="shared" si="7"/>
        <v>26821</v>
      </c>
      <c r="AD20" s="668">
        <f t="shared" si="7"/>
        <v>20757</v>
      </c>
      <c r="AE20" s="668">
        <f t="shared" si="7"/>
        <v>17167</v>
      </c>
      <c r="AF20" s="668">
        <f t="shared" si="7"/>
        <v>17742</v>
      </c>
      <c r="AG20" s="669">
        <f t="shared" si="7"/>
        <v>82487</v>
      </c>
      <c r="AH20" s="668">
        <f t="shared" si="7"/>
        <v>27125</v>
      </c>
      <c r="AI20" s="668">
        <f t="shared" si="7"/>
        <v>16464</v>
      </c>
      <c r="AJ20" s="668">
        <f t="shared" si="7"/>
        <v>12631</v>
      </c>
      <c r="AK20" s="668">
        <f t="shared" si="7"/>
        <v>14309</v>
      </c>
      <c r="AL20" s="669">
        <f t="shared" si="7"/>
        <v>70529</v>
      </c>
      <c r="AM20" s="668">
        <f t="shared" si="7"/>
        <v>26346</v>
      </c>
      <c r="AN20" s="668">
        <f t="shared" si="7"/>
        <v>16429</v>
      </c>
      <c r="AO20" s="668">
        <f t="shared" si="7"/>
        <v>13125.013657835967</v>
      </c>
      <c r="AP20" s="668">
        <f t="shared" si="7"/>
        <v>15096.645907655507</v>
      </c>
      <c r="AQ20" s="669">
        <f t="shared" si="7"/>
        <v>70996.6595654915</v>
      </c>
      <c r="AR20" s="668">
        <f t="shared" si="7"/>
        <v>27197.595754282855</v>
      </c>
      <c r="AS20" s="668">
        <f t="shared" si="7"/>
        <v>18404.475575409131</v>
      </c>
      <c r="AT20" s="668">
        <f t="shared" si="7"/>
        <v>14870.826620736309</v>
      </c>
      <c r="AU20" s="668">
        <f t="shared" si="7"/>
        <v>15581.152550033363</v>
      </c>
      <c r="AV20" s="669">
        <f t="shared" si="7"/>
        <v>76054.050500461643</v>
      </c>
      <c r="AW20" s="668">
        <f t="shared" si="7"/>
        <v>27121.235745596568</v>
      </c>
      <c r="AX20" s="668">
        <f t="shared" si="7"/>
        <v>16916.128542397219</v>
      </c>
      <c r="AY20" s="668">
        <f t="shared" si="7"/>
        <v>13890.876332252199</v>
      </c>
      <c r="AZ20" s="668">
        <f t="shared" si="7"/>
        <v>15822.934359346455</v>
      </c>
      <c r="BA20" s="669">
        <f t="shared" si="7"/>
        <v>73751.174979592412</v>
      </c>
      <c r="BB20" s="668">
        <f t="shared" si="7"/>
        <v>27159.067525949649</v>
      </c>
      <c r="BC20" s="668">
        <f t="shared" si="7"/>
        <v>15434.506272522536</v>
      </c>
      <c r="BD20" s="668">
        <f t="shared" si="7"/>
        <v>13009.458387417939</v>
      </c>
      <c r="BE20" s="668">
        <f t="shared" si="7"/>
        <v>15702.933841175512</v>
      </c>
      <c r="BF20" s="669">
        <f t="shared" si="7"/>
        <v>71305.966027065617</v>
      </c>
      <c r="BG20" s="668">
        <f t="shared" si="7"/>
        <v>25418.393375519438</v>
      </c>
      <c r="BH20" s="668">
        <f t="shared" si="7"/>
        <v>14355.470208199025</v>
      </c>
      <c r="BI20" s="668">
        <f t="shared" si="7"/>
        <v>12396.423989320827</v>
      </c>
      <c r="BJ20" s="668">
        <f t="shared" si="7"/>
        <v>15422.710658515018</v>
      </c>
      <c r="BK20" s="669">
        <f t="shared" si="7"/>
        <v>67592.998231554287</v>
      </c>
    </row>
    <row r="21" spans="2:63" s="62" customFormat="1" x14ac:dyDescent="0.3">
      <c r="B21" s="537" t="s">
        <v>419</v>
      </c>
      <c r="C21" s="538"/>
      <c r="D21" s="398"/>
      <c r="E21" s="399"/>
      <c r="F21" s="399"/>
      <c r="G21" s="539"/>
      <c r="H21" s="400"/>
      <c r="I21" s="398"/>
      <c r="J21" s="399"/>
      <c r="K21" s="399"/>
      <c r="L21" s="539"/>
      <c r="M21" s="400"/>
      <c r="N21" s="398">
        <v>228</v>
      </c>
      <c r="O21" s="399">
        <v>254</v>
      </c>
      <c r="P21" s="399">
        <v>292</v>
      </c>
      <c r="Q21" s="539">
        <v>313.99999999999989</v>
      </c>
      <c r="R21" s="494">
        <f>SUM(N21:Q21)</f>
        <v>1088</v>
      </c>
      <c r="S21" s="398">
        <v>421</v>
      </c>
      <c r="T21" s="399">
        <v>420</v>
      </c>
      <c r="U21" s="399">
        <v>385</v>
      </c>
      <c r="V21" s="539">
        <v>389.99999999999977</v>
      </c>
      <c r="W21" s="494">
        <f>SUM(S21:V21)</f>
        <v>1615.9999999999998</v>
      </c>
      <c r="X21" s="398">
        <v>427</v>
      </c>
      <c r="Y21" s="399">
        <v>410</v>
      </c>
      <c r="Z21" s="399">
        <v>439</v>
      </c>
      <c r="AA21" s="539">
        <v>519.00000000000011</v>
      </c>
      <c r="AB21" s="494">
        <f>SUM(X21:AA21)</f>
        <v>1795</v>
      </c>
      <c r="AC21" s="493">
        <v>654</v>
      </c>
      <c r="AD21" s="493">
        <v>675</v>
      </c>
      <c r="AE21" s="493">
        <v>766</v>
      </c>
      <c r="AF21" s="493">
        <v>825.99999999999989</v>
      </c>
      <c r="AG21" s="494">
        <f>SUM(AC21:AF21)</f>
        <v>2921</v>
      </c>
      <c r="AH21" s="493">
        <v>941</v>
      </c>
      <c r="AI21" s="493">
        <v>986</v>
      </c>
      <c r="AJ21" s="493">
        <v>1036</v>
      </c>
      <c r="AK21" s="493">
        <v>1036</v>
      </c>
      <c r="AL21" s="494">
        <f>SUM(AH21:AK21)</f>
        <v>3999</v>
      </c>
      <c r="AM21" s="493">
        <v>1224</v>
      </c>
      <c r="AN21" s="493">
        <v>1282</v>
      </c>
      <c r="AO21" s="493">
        <f>+(((AN152+AN145)+((AN152+AN145)*(1+AO180)))/2)*AO131</f>
        <v>1214.4621</v>
      </c>
      <c r="AP21" s="493">
        <f>+(((AO152+AO145)+((AO152+AO145)*(1+AP180)))/2)*AP131</f>
        <v>1226.6067209999999</v>
      </c>
      <c r="AQ21" s="494">
        <f t="shared" ref="AQ21:AQ22" si="8">SUM(AM21:AP21)</f>
        <v>4947.0688209999998</v>
      </c>
      <c r="AR21" s="493">
        <f>+(((AP152+AP145)+((AP152+AP145)*(1+AR180)))/2)*AR131</f>
        <v>1269.69051926</v>
      </c>
      <c r="AS21" s="493">
        <f>+(((AR152+AR145)+((AR152+AR145)*(1+AS180)))/2)*AS131</f>
        <v>1326.2718734678001</v>
      </c>
      <c r="AT21" s="493">
        <f>+(((AS152+AS145)+((AS152+AS145)*(1+AT180)))/2)*AT131</f>
        <v>1352.6013101676781</v>
      </c>
      <c r="AU21" s="493">
        <f>+(((AT152+AT145)+((AT152+AT145)*(1+AU180)))/2)*AU131</f>
        <v>1366.1273232693552</v>
      </c>
      <c r="AV21" s="494">
        <f t="shared" ref="AV21:AV22" si="9">SUM(AR21:AU21)</f>
        <v>5314.6910261648336</v>
      </c>
      <c r="AW21" s="493">
        <f>+(((AU152+AU145)+((AU152+AU145)*(1+AW180)))/2)*AW131</f>
        <v>1414.1116959175224</v>
      </c>
      <c r="AX21" s="493">
        <f>+(((AW152+AW145)+((AW152+AW145)*(1+AX180)))/2)*AX131</f>
        <v>1477.1289064443326</v>
      </c>
      <c r="AY21" s="493">
        <f>+(((AX152+AX145)+((AX152+AX145)*(1+AY180)))/2)*AY131</f>
        <v>1506.4531896609367</v>
      </c>
      <c r="AZ21" s="493">
        <f>+(((AY152+AY145)+((AY152+AY145)*(1+AZ180)))/2)*AZ131</f>
        <v>1521.5177215575461</v>
      </c>
      <c r="BA21" s="494">
        <f t="shared" ref="BA21:BA22" si="10">SUM(AW21:AZ21)</f>
        <v>5919.2115135803379</v>
      </c>
      <c r="BB21" s="493">
        <f>+(((AZ152+AZ145)+((AZ152+AZ145)*(1+BB180)))/2)*BB131</f>
        <v>1574.9600853097666</v>
      </c>
      <c r="BC21" s="493">
        <f>+(((BB152+BB145)+((BB152+BB145)*(1+BC180)))/2)*BC131</f>
        <v>1645.1451997910467</v>
      </c>
      <c r="BD21" s="493">
        <f>+(((BC152+BC145)+((BC152+BC145)*(1+BD180)))/2)*BD131</f>
        <v>1677.8049788804947</v>
      </c>
      <c r="BE21" s="493">
        <f>+(((BD152+BD145)+((BD152+BD145)*(1+BE180)))/2)*BE131</f>
        <v>1694.5830286692997</v>
      </c>
      <c r="BF21" s="494">
        <f t="shared" ref="BF21:BF22" si="11">SUM(BB21:BE21)</f>
        <v>6592.4932926506081</v>
      </c>
      <c r="BG21" s="493">
        <f>+(((BE152+BE145)+((BE152+BE145)*(1+BG180)))/2)*BG131</f>
        <v>1754.1042037061416</v>
      </c>
      <c r="BH21" s="493">
        <f>+(((BG152+BG145)+((BG152+BG145)*(1+BH180)))/2)*BH131</f>
        <v>1832.2725366674154</v>
      </c>
      <c r="BI21" s="493">
        <f>+(((BH152+BH145)+((BH152+BH145)*(1+BI180)))/2)*BI131</f>
        <v>1868.647208208153</v>
      </c>
      <c r="BJ21" s="493">
        <f>+(((BI152+BI145)+((BI152+BI145)*(1+BJ180)))/2)*BJ131</f>
        <v>1887.3336802902347</v>
      </c>
      <c r="BK21" s="494">
        <f t="shared" ref="BK21:BK22" si="12">SUM(BG21:BJ21)</f>
        <v>7342.3576288719451</v>
      </c>
    </row>
    <row r="22" spans="2:63" s="62" customFormat="1" x14ac:dyDescent="0.3">
      <c r="B22" s="447" t="s">
        <v>420</v>
      </c>
      <c r="C22" s="448"/>
      <c r="D22" s="38"/>
      <c r="E22" s="186"/>
      <c r="F22" s="186"/>
      <c r="G22" s="39"/>
      <c r="H22" s="12"/>
      <c r="I22" s="38"/>
      <c r="J22" s="186"/>
      <c r="K22" s="186"/>
      <c r="L22" s="39"/>
      <c r="M22" s="12"/>
      <c r="N22" s="38">
        <v>0</v>
      </c>
      <c r="O22" s="186">
        <v>0</v>
      </c>
      <c r="P22" s="186">
        <v>0</v>
      </c>
      <c r="Q22" s="39">
        <v>0</v>
      </c>
      <c r="R22" s="51">
        <f t="shared" ref="R22:R23" si="13">SUM(N22:Q22)</f>
        <v>0</v>
      </c>
      <c r="S22" s="38">
        <v>0</v>
      </c>
      <c r="T22" s="186">
        <v>0</v>
      </c>
      <c r="U22" s="186">
        <v>-53</v>
      </c>
      <c r="V22" s="39">
        <v>-83</v>
      </c>
      <c r="W22" s="51">
        <f t="shared" ref="W22:W23" si="14">SUM(S22:V22)</f>
        <v>-136</v>
      </c>
      <c r="X22" s="38">
        <v>-84</v>
      </c>
      <c r="Y22" s="186">
        <v>-85</v>
      </c>
      <c r="Z22" s="186">
        <v>-100</v>
      </c>
      <c r="AA22" s="39">
        <v>-114.99999999999997</v>
      </c>
      <c r="AB22" s="51">
        <f t="shared" ref="AB22:AB23" si="15">SUM(X22:AA22)</f>
        <v>-384</v>
      </c>
      <c r="AC22" s="189">
        <v>-131</v>
      </c>
      <c r="AD22" s="189">
        <v>-163</v>
      </c>
      <c r="AE22" s="189">
        <v>-201</v>
      </c>
      <c r="AF22" s="189">
        <v>-238.00000000000003</v>
      </c>
      <c r="AG22" s="51">
        <f t="shared" ref="AG22:AG23" si="16">SUM(AC22:AF22)</f>
        <v>-733</v>
      </c>
      <c r="AH22" s="189">
        <v>-276</v>
      </c>
      <c r="AI22" s="189">
        <v>-321</v>
      </c>
      <c r="AJ22" s="189">
        <v>-409</v>
      </c>
      <c r="AK22" s="189">
        <v>-450.00000000000017</v>
      </c>
      <c r="AL22" s="51">
        <f t="shared" ref="AL22:AL23" si="17">SUM(AH22:AK22)</f>
        <v>-1456.0000000000002</v>
      </c>
      <c r="AM22" s="189">
        <v>-525</v>
      </c>
      <c r="AN22" s="189">
        <v>-530</v>
      </c>
      <c r="AO22" s="189">
        <f>+AO132*((AN163+AN166))</f>
        <v>-648.11209999999994</v>
      </c>
      <c r="AP22" s="189">
        <f>+AP132*((AO163+AO166))</f>
        <v>-649.99999999999989</v>
      </c>
      <c r="AQ22" s="51">
        <f t="shared" si="8"/>
        <v>-2353.1120999999998</v>
      </c>
      <c r="AR22" s="189">
        <f>+AR132*((AP163+AP166))</f>
        <v>-643.60265191486917</v>
      </c>
      <c r="AS22" s="189">
        <f>+AS132*((AR163+AR166))</f>
        <v>-682.55305047866852</v>
      </c>
      <c r="AT22" s="189">
        <f>+AT132*((AS163+AS166))</f>
        <v>-725.00560429486973</v>
      </c>
      <c r="AU22" s="189">
        <f>+AU132*((AT163+AT166))</f>
        <v>-737.30048314576277</v>
      </c>
      <c r="AV22" s="51">
        <f t="shared" si="9"/>
        <v>-2788.4617898341703</v>
      </c>
      <c r="AW22" s="189">
        <f>+AW132*((AU163+AU166))</f>
        <v>-753.370730211813</v>
      </c>
      <c r="AX22" s="189">
        <f>+AX132*((AW163+AW166))</f>
        <v>-806.71322804348608</v>
      </c>
      <c r="AY22" s="189">
        <f>+AY132*((AX163+AX166))</f>
        <v>-832.46768079299034</v>
      </c>
      <c r="AZ22" s="189">
        <f>+AZ132*((AY163+AY166))</f>
        <v>-841.29821937860152</v>
      </c>
      <c r="BA22" s="51">
        <f t="shared" si="10"/>
        <v>-3233.8498584268909</v>
      </c>
      <c r="BB22" s="189">
        <f>+BB132*((AZ163+AZ166))</f>
        <v>-858.96517509361763</v>
      </c>
      <c r="BC22" s="189">
        <f>+BC132*((BB163+BB166))</f>
        <v>-913.96903912387938</v>
      </c>
      <c r="BD22" s="189">
        <f>+BD132*((BC163+BC166))</f>
        <v>-931.58704751057076</v>
      </c>
      <c r="BE22" s="189">
        <f>+BE132*((BD163+BD166))</f>
        <v>-937.30829748199108</v>
      </c>
      <c r="BF22" s="51">
        <f t="shared" si="11"/>
        <v>-3641.8295592100585</v>
      </c>
      <c r="BG22" s="189">
        <f>+BG132*((BE163+BE166))</f>
        <v>-954.73206829919377</v>
      </c>
      <c r="BH22" s="189">
        <f>+BH132*((BG163+BG166))</f>
        <v>-1003.483703762768</v>
      </c>
      <c r="BI22" s="189">
        <f>+BI132*((BH163+BH166))</f>
        <v>-1016.5292944734919</v>
      </c>
      <c r="BJ22" s="189">
        <f>+BJ132*((BI163+BI166))</f>
        <v>-1020.002777603916</v>
      </c>
      <c r="BK22" s="51">
        <f t="shared" si="12"/>
        <v>-3994.7478441393696</v>
      </c>
    </row>
    <row r="23" spans="2:63" s="62" customFormat="1" ht="16.2" x14ac:dyDescent="0.45">
      <c r="B23" s="453" t="s">
        <v>421</v>
      </c>
      <c r="C23" s="454"/>
      <c r="D23" s="540"/>
      <c r="E23" s="541"/>
      <c r="F23" s="541"/>
      <c r="G23" s="542"/>
      <c r="H23" s="543"/>
      <c r="I23" s="540"/>
      <c r="J23" s="541"/>
      <c r="K23" s="541"/>
      <c r="L23" s="542"/>
      <c r="M23" s="543"/>
      <c r="N23" s="540">
        <v>-91</v>
      </c>
      <c r="O23" s="541">
        <v>-106</v>
      </c>
      <c r="P23" s="541">
        <v>-4</v>
      </c>
      <c r="Q23" s="542">
        <v>-364.99999999999994</v>
      </c>
      <c r="R23" s="545">
        <f t="shared" si="13"/>
        <v>-566</v>
      </c>
      <c r="S23" s="540">
        <v>41</v>
      </c>
      <c r="T23" s="541">
        <v>-73</v>
      </c>
      <c r="U23" s="541">
        <v>-98</v>
      </c>
      <c r="V23" s="542">
        <v>-194</v>
      </c>
      <c r="W23" s="545">
        <f t="shared" si="14"/>
        <v>-324</v>
      </c>
      <c r="X23" s="540">
        <v>-97</v>
      </c>
      <c r="Y23" s="541">
        <v>-100</v>
      </c>
      <c r="Z23" s="541">
        <v>-137</v>
      </c>
      <c r="AA23" s="542">
        <v>-96.999999999999943</v>
      </c>
      <c r="AB23" s="545">
        <f t="shared" si="15"/>
        <v>-430.99999999999994</v>
      </c>
      <c r="AC23" s="544">
        <v>-353</v>
      </c>
      <c r="AD23" s="544">
        <v>-226</v>
      </c>
      <c r="AE23" s="544">
        <v>-175</v>
      </c>
      <c r="AF23" s="544">
        <v>-149.00000000000011</v>
      </c>
      <c r="AG23" s="545">
        <f t="shared" si="16"/>
        <v>-903.00000000000011</v>
      </c>
      <c r="AH23" s="544">
        <v>-263</v>
      </c>
      <c r="AI23" s="544">
        <v>-510</v>
      </c>
      <c r="AJ23" s="544">
        <v>-263</v>
      </c>
      <c r="AK23" s="544">
        <v>-159.4</v>
      </c>
      <c r="AL23" s="545">
        <f t="shared" si="17"/>
        <v>-1195.4000000000001</v>
      </c>
      <c r="AM23" s="544">
        <v>122</v>
      </c>
      <c r="AN23" s="544">
        <v>-165</v>
      </c>
      <c r="AO23" s="546">
        <f>AVERAGE(AN23,AM23,AK23,AJ23)</f>
        <v>-116.35</v>
      </c>
      <c r="AP23" s="546">
        <f>AVERAGE(AO23,AM23,AN23,AK23)</f>
        <v>-79.6875</v>
      </c>
      <c r="AQ23" s="545">
        <f>SUM(AM23:AP23)</f>
        <v>-239.03749999999999</v>
      </c>
      <c r="AR23" s="546">
        <f>AVERAGE(AP23,AO23,AN23,AM23)</f>
        <v>-59.759375000000006</v>
      </c>
      <c r="AS23" s="546">
        <f>AVERAGE(AR23,AP23,AO23,AN23)</f>
        <v>-105.19921875</v>
      </c>
      <c r="AT23" s="546">
        <f>AVERAGE(AS23,AR23,AP23,AO23)</f>
        <v>-90.2490234375</v>
      </c>
      <c r="AU23" s="546">
        <f>AVERAGE(AT23,AR23,AS23,AP23)</f>
        <v>-83.723779296874994</v>
      </c>
      <c r="AV23" s="545">
        <f>SUM(AR23:AU23)</f>
        <v>-338.931396484375</v>
      </c>
      <c r="AW23" s="546">
        <f>AVERAGE(AU23,AT23,AS23,AR23)</f>
        <v>-84.73284912109375</v>
      </c>
      <c r="AX23" s="546">
        <f>AVERAGE(AW23,AU23,AT23,AS23)</f>
        <v>-90.976217651367193</v>
      </c>
      <c r="AY23" s="546">
        <f>AVERAGE(AX23,AW23,AU23,AT23)</f>
        <v>-87.420467376708984</v>
      </c>
      <c r="AZ23" s="546">
        <f>AVERAGE(AY23,AW23,AX23,AU23)</f>
        <v>-86.71332836151123</v>
      </c>
      <c r="BA23" s="545">
        <f>SUM(AW23:AZ23)</f>
        <v>-349.84286251068113</v>
      </c>
      <c r="BB23" s="546">
        <f>AVERAGE(AZ23,AY23,AX23,AW23)</f>
        <v>-87.460715627670282</v>
      </c>
      <c r="BC23" s="546">
        <f>AVERAGE(BB23,AZ23,AY23,AX23)</f>
        <v>-88.142682254314423</v>
      </c>
      <c r="BD23" s="546">
        <f>AVERAGE(BC23,BB23,AZ23,AY23)</f>
        <v>-87.434298405051237</v>
      </c>
      <c r="BE23" s="546">
        <f>AVERAGE(BD23,BB23,BC23,AZ23)</f>
        <v>-87.437756162136793</v>
      </c>
      <c r="BF23" s="545">
        <f>SUM(BB23:BE23)</f>
        <v>-350.47545244917274</v>
      </c>
      <c r="BG23" s="546">
        <f>AVERAGE(BE23,BD23,BC23,BB23)</f>
        <v>-87.618863112293184</v>
      </c>
      <c r="BH23" s="546">
        <f>AVERAGE(BG23,BE23,BD23,BC23)</f>
        <v>-87.658399983448902</v>
      </c>
      <c r="BI23" s="546">
        <f>AVERAGE(BH23,BG23,BE23,BD23)</f>
        <v>-87.537329415732529</v>
      </c>
      <c r="BJ23" s="546">
        <f>AVERAGE(BI23,BG23,BH23,BE23)</f>
        <v>-87.563087168402859</v>
      </c>
      <c r="BK23" s="545">
        <f>SUM(BG23:BJ23)</f>
        <v>-350.37767967987747</v>
      </c>
    </row>
    <row r="24" spans="2:63" s="200" customFormat="1" ht="16.2" x14ac:dyDescent="0.45">
      <c r="B24" s="722" t="s">
        <v>422</v>
      </c>
      <c r="C24" s="723"/>
      <c r="D24" s="531">
        <v>33</v>
      </c>
      <c r="E24" s="532">
        <v>50</v>
      </c>
      <c r="F24" s="532">
        <v>58</v>
      </c>
      <c r="G24" s="533">
        <v>14</v>
      </c>
      <c r="H24" s="534">
        <v>155</v>
      </c>
      <c r="I24" s="531">
        <v>136</v>
      </c>
      <c r="J24" s="532">
        <v>26</v>
      </c>
      <c r="K24" s="532">
        <v>172</v>
      </c>
      <c r="L24" s="533">
        <v>81</v>
      </c>
      <c r="M24" s="534">
        <v>415</v>
      </c>
      <c r="N24" s="531">
        <v>137</v>
      </c>
      <c r="O24" s="532">
        <v>148</v>
      </c>
      <c r="P24" s="532">
        <v>288</v>
      </c>
      <c r="Q24" s="533">
        <v>-51</v>
      </c>
      <c r="R24" s="534">
        <v>522</v>
      </c>
      <c r="S24" s="531">
        <v>462</v>
      </c>
      <c r="T24" s="532">
        <v>347</v>
      </c>
      <c r="U24" s="532">
        <v>234</v>
      </c>
      <c r="V24" s="533">
        <v>113</v>
      </c>
      <c r="W24" s="534">
        <v>1156</v>
      </c>
      <c r="X24" s="531">
        <v>246</v>
      </c>
      <c r="Y24" s="532">
        <v>225</v>
      </c>
      <c r="Z24" s="532">
        <v>202</v>
      </c>
      <c r="AA24" s="533">
        <v>307</v>
      </c>
      <c r="AB24" s="534">
        <v>980</v>
      </c>
      <c r="AC24" s="535">
        <v>170</v>
      </c>
      <c r="AD24" s="535">
        <v>286</v>
      </c>
      <c r="AE24" s="535">
        <v>390</v>
      </c>
      <c r="AF24" s="535">
        <v>439</v>
      </c>
      <c r="AG24" s="536">
        <f>SUM(AC24:AF24)</f>
        <v>1285</v>
      </c>
      <c r="AH24" s="535">
        <v>402</v>
      </c>
      <c r="AI24" s="535">
        <v>155</v>
      </c>
      <c r="AJ24" s="535">
        <v>364</v>
      </c>
      <c r="AK24" s="535">
        <v>427</v>
      </c>
      <c r="AL24" s="536">
        <f>SUM(AH24:AK24)</f>
        <v>1348</v>
      </c>
      <c r="AM24" s="535">
        <f>SUM(AM21:AM23)</f>
        <v>821</v>
      </c>
      <c r="AN24" s="535">
        <f>SUM(AN21:AN23)</f>
        <v>587</v>
      </c>
      <c r="AO24" s="678">
        <f t="shared" ref="AO24:AP24" si="18">SUM(AO21:AO23)</f>
        <v>450</v>
      </c>
      <c r="AP24" s="535">
        <f t="shared" si="18"/>
        <v>496.91922099999999</v>
      </c>
      <c r="AQ24" s="536">
        <f>SUM(AQ21:AQ23)</f>
        <v>2354.9192210000001</v>
      </c>
      <c r="AR24" s="535">
        <f t="shared" ref="AR24:BK24" si="19">SUM(AR21:AR23)</f>
        <v>566.32849234513083</v>
      </c>
      <c r="AS24" s="535">
        <f t="shared" si="19"/>
        <v>538.51960423913158</v>
      </c>
      <c r="AT24" s="535">
        <f t="shared" si="19"/>
        <v>537.34668243530837</v>
      </c>
      <c r="AU24" s="535">
        <f t="shared" si="19"/>
        <v>545.10306082671741</v>
      </c>
      <c r="AV24" s="536">
        <f t="shared" si="19"/>
        <v>2187.2978398462883</v>
      </c>
      <c r="AW24" s="535">
        <f t="shared" si="19"/>
        <v>576.00811658461566</v>
      </c>
      <c r="AX24" s="535">
        <f t="shared" si="19"/>
        <v>579.43946074947939</v>
      </c>
      <c r="AY24" s="535">
        <f t="shared" si="19"/>
        <v>586.56504149123737</v>
      </c>
      <c r="AZ24" s="535">
        <f t="shared" si="19"/>
        <v>593.50617381743336</v>
      </c>
      <c r="BA24" s="536">
        <f t="shared" si="19"/>
        <v>2335.5187926427657</v>
      </c>
      <c r="BB24" s="535">
        <f t="shared" si="19"/>
        <v>628.53419458847861</v>
      </c>
      <c r="BC24" s="535">
        <f t="shared" si="19"/>
        <v>643.0334784128529</v>
      </c>
      <c r="BD24" s="535">
        <f t="shared" si="19"/>
        <v>658.78363296487271</v>
      </c>
      <c r="BE24" s="535">
        <f t="shared" si="19"/>
        <v>669.8369750251718</v>
      </c>
      <c r="BF24" s="536">
        <f t="shared" si="19"/>
        <v>2600.1882809913768</v>
      </c>
      <c r="BG24" s="535">
        <f t="shared" si="19"/>
        <v>711.75327229465461</v>
      </c>
      <c r="BH24" s="535">
        <f t="shared" si="19"/>
        <v>741.13043292119846</v>
      </c>
      <c r="BI24" s="535">
        <f t="shared" si="19"/>
        <v>764.58058431892857</v>
      </c>
      <c r="BJ24" s="535">
        <f t="shared" si="19"/>
        <v>779.76781551791589</v>
      </c>
      <c r="BK24" s="536">
        <f t="shared" si="19"/>
        <v>2997.232105052698</v>
      </c>
    </row>
    <row r="25" spans="2:63" x14ac:dyDescent="0.3">
      <c r="B25" s="722" t="s">
        <v>3</v>
      </c>
      <c r="C25" s="723"/>
      <c r="D25" s="14">
        <f t="shared" ref="D25:AB25" si="20">D19+D24</f>
        <v>4758</v>
      </c>
      <c r="E25" s="10">
        <f t="shared" si="20"/>
        <v>4029</v>
      </c>
      <c r="F25" s="10">
        <f t="shared" si="20"/>
        <v>4292</v>
      </c>
      <c r="G25" s="15">
        <f t="shared" si="20"/>
        <v>5461</v>
      </c>
      <c r="H25" s="9">
        <f t="shared" si="20"/>
        <v>18540</v>
      </c>
      <c r="I25" s="14">
        <f t="shared" si="20"/>
        <v>7963</v>
      </c>
      <c r="J25" s="10">
        <f t="shared" si="20"/>
        <v>7900</v>
      </c>
      <c r="K25" s="10">
        <f t="shared" si="20"/>
        <v>9551</v>
      </c>
      <c r="L25" s="15">
        <f t="shared" si="20"/>
        <v>8791</v>
      </c>
      <c r="M25" s="9">
        <f t="shared" si="20"/>
        <v>34205</v>
      </c>
      <c r="N25" s="14">
        <f t="shared" si="20"/>
        <v>17477</v>
      </c>
      <c r="O25" s="10">
        <f t="shared" si="20"/>
        <v>15532</v>
      </c>
      <c r="P25" s="10">
        <f t="shared" si="20"/>
        <v>11861</v>
      </c>
      <c r="Q25" s="15">
        <f t="shared" si="20"/>
        <v>10893</v>
      </c>
      <c r="R25" s="9">
        <f t="shared" si="20"/>
        <v>55763</v>
      </c>
      <c r="S25" s="14">
        <f t="shared" si="20"/>
        <v>17672</v>
      </c>
      <c r="T25" s="10">
        <f t="shared" si="20"/>
        <v>12905</v>
      </c>
      <c r="U25" s="10">
        <f t="shared" si="20"/>
        <v>9435</v>
      </c>
      <c r="V25" s="15">
        <f t="shared" si="20"/>
        <v>10143</v>
      </c>
      <c r="W25" s="9">
        <f t="shared" si="20"/>
        <v>50155</v>
      </c>
      <c r="X25" s="14">
        <f t="shared" si="20"/>
        <v>17709</v>
      </c>
      <c r="Y25" s="10">
        <f t="shared" si="20"/>
        <v>13818</v>
      </c>
      <c r="Z25" s="10">
        <f t="shared" si="20"/>
        <v>10484</v>
      </c>
      <c r="AA25" s="15">
        <f t="shared" si="20"/>
        <v>11472</v>
      </c>
      <c r="AB25" s="9">
        <f t="shared" si="20"/>
        <v>53483</v>
      </c>
      <c r="AC25" s="49">
        <f t="shared" ref="AC25:BA25" si="21">AC19+AC24</f>
        <v>24416</v>
      </c>
      <c r="AD25" s="49">
        <f t="shared" si="21"/>
        <v>18564</v>
      </c>
      <c r="AE25" s="49">
        <f t="shared" si="21"/>
        <v>14473</v>
      </c>
      <c r="AF25" s="49">
        <f t="shared" si="21"/>
        <v>15062</v>
      </c>
      <c r="AG25" s="169">
        <f t="shared" si="21"/>
        <v>72515</v>
      </c>
      <c r="AH25" s="49">
        <f t="shared" si="21"/>
        <v>24573</v>
      </c>
      <c r="AI25" s="49">
        <f t="shared" si="21"/>
        <v>14142</v>
      </c>
      <c r="AJ25" s="49">
        <f t="shared" si="21"/>
        <v>10469</v>
      </c>
      <c r="AK25" s="49">
        <f t="shared" si="21"/>
        <v>12188</v>
      </c>
      <c r="AL25" s="169">
        <f t="shared" si="21"/>
        <v>61372</v>
      </c>
      <c r="AM25" s="49">
        <f t="shared" si="21"/>
        <v>24180</v>
      </c>
      <c r="AN25" s="49">
        <f t="shared" si="21"/>
        <v>14684</v>
      </c>
      <c r="AO25" s="49">
        <f t="shared" si="21"/>
        <v>10928.435006397824</v>
      </c>
      <c r="AP25" s="49">
        <f t="shared" si="21"/>
        <v>12926.914304130129</v>
      </c>
      <c r="AQ25" s="169">
        <f t="shared" si="21"/>
        <v>62719.349310527978</v>
      </c>
      <c r="AR25" s="47">
        <f t="shared" si="21"/>
        <v>25056.394760273353</v>
      </c>
      <c r="AS25" s="47">
        <f t="shared" si="21"/>
        <v>16299.036072239243</v>
      </c>
      <c r="AT25" s="47">
        <f t="shared" si="21"/>
        <v>12677.727705879754</v>
      </c>
      <c r="AU25" s="47">
        <f t="shared" si="21"/>
        <v>13376.292037382274</v>
      </c>
      <c r="AV25" s="48">
        <f t="shared" si="21"/>
        <v>67409.450575774608</v>
      </c>
      <c r="AW25" s="47">
        <f t="shared" si="21"/>
        <v>24925.731761804618</v>
      </c>
      <c r="AX25" s="47">
        <f t="shared" si="21"/>
        <v>14707.603642455835</v>
      </c>
      <c r="AY25" s="47">
        <f t="shared" si="21"/>
        <v>11652.084707451733</v>
      </c>
      <c r="AZ25" s="47">
        <f t="shared" si="21"/>
        <v>13566.597250751554</v>
      </c>
      <c r="BA25" s="48">
        <f t="shared" si="21"/>
        <v>64852.01736246371</v>
      </c>
      <c r="BB25" s="47">
        <f t="shared" ref="BB25:BK25" si="22">BB19+BB24</f>
        <v>24911.996121041731</v>
      </c>
      <c r="BC25" s="47">
        <f t="shared" si="22"/>
        <v>13175.092673412408</v>
      </c>
      <c r="BD25" s="47">
        <f t="shared" si="22"/>
        <v>10736.253467516264</v>
      </c>
      <c r="BE25" s="47">
        <f t="shared" si="22"/>
        <v>13413.321837749647</v>
      </c>
      <c r="BF25" s="48">
        <f t="shared" si="22"/>
        <v>62236.66409972003</v>
      </c>
      <c r="BG25" s="47">
        <f t="shared" si="22"/>
        <v>23142.478173381412</v>
      </c>
      <c r="BH25" s="47">
        <f t="shared" si="22"/>
        <v>12080.088078505116</v>
      </c>
      <c r="BI25" s="47">
        <f t="shared" si="22"/>
        <v>10115.14148644544</v>
      </c>
      <c r="BJ25" s="47">
        <f t="shared" si="22"/>
        <v>13127.332773079776</v>
      </c>
      <c r="BK25" s="48">
        <f t="shared" si="22"/>
        <v>58465.040511411724</v>
      </c>
    </row>
    <row r="26" spans="2:63" ht="16.2" x14ac:dyDescent="0.45">
      <c r="B26" s="714" t="s">
        <v>90</v>
      </c>
      <c r="C26" s="715"/>
      <c r="D26" s="34">
        <v>1380</v>
      </c>
      <c r="E26" s="8">
        <v>955</v>
      </c>
      <c r="F26" s="8">
        <v>1039</v>
      </c>
      <c r="G26" s="35">
        <v>1153</v>
      </c>
      <c r="H26" s="7">
        <v>4527</v>
      </c>
      <c r="I26" s="34">
        <v>1959</v>
      </c>
      <c r="J26" s="8">
        <v>1913</v>
      </c>
      <c r="K26" s="8">
        <v>2243</v>
      </c>
      <c r="L26" s="35">
        <v>2168</v>
      </c>
      <c r="M26" s="7">
        <v>8283</v>
      </c>
      <c r="N26" s="34">
        <v>4413</v>
      </c>
      <c r="O26" s="8">
        <v>3910</v>
      </c>
      <c r="P26" s="8">
        <v>3037</v>
      </c>
      <c r="Q26" s="35">
        <v>2670</v>
      </c>
      <c r="R26" s="7">
        <v>14030</v>
      </c>
      <c r="S26" s="34">
        <v>4594</v>
      </c>
      <c r="T26" s="8">
        <v>3358</v>
      </c>
      <c r="U26" s="8">
        <v>2535</v>
      </c>
      <c r="V26" s="35">
        <v>2631</v>
      </c>
      <c r="W26" s="7">
        <v>13118</v>
      </c>
      <c r="X26" s="34">
        <v>4637</v>
      </c>
      <c r="Y26" s="8">
        <v>3595</v>
      </c>
      <c r="Z26" s="8">
        <v>2736</v>
      </c>
      <c r="AA26" s="35">
        <v>3005</v>
      </c>
      <c r="AB26" s="7">
        <v>13973</v>
      </c>
      <c r="AC26" s="76">
        <v>6392</v>
      </c>
      <c r="AD26" s="76">
        <v>4995</v>
      </c>
      <c r="AE26" s="76">
        <v>3796</v>
      </c>
      <c r="AF26" s="76">
        <v>3938</v>
      </c>
      <c r="AG26" s="165">
        <f>SUM(AC26:AF26)</f>
        <v>19121</v>
      </c>
      <c r="AH26" s="76">
        <v>6212</v>
      </c>
      <c r="AI26" s="76">
        <v>3626</v>
      </c>
      <c r="AJ26" s="76">
        <v>2673</v>
      </c>
      <c r="AK26" s="76">
        <v>3174</v>
      </c>
      <c r="AL26" s="165">
        <f>SUM(AH26:AK26)</f>
        <v>15685</v>
      </c>
      <c r="AM26" s="76">
        <v>6289</v>
      </c>
      <c r="AN26" s="76">
        <v>3655</v>
      </c>
      <c r="AO26" s="76">
        <f>AO25*AO128</f>
        <v>2786.7509266314451</v>
      </c>
      <c r="AP26" s="76">
        <f>AP25*AP128</f>
        <v>3360.9977190738337</v>
      </c>
      <c r="AQ26" s="165">
        <f>SUM(AM26:AP26)</f>
        <v>16091.748645705278</v>
      </c>
      <c r="AR26" s="76">
        <f>AR25*AR128</f>
        <v>6514.6626376710719</v>
      </c>
      <c r="AS26" s="76">
        <f>AS25*AS128</f>
        <v>4237.7493787822032</v>
      </c>
      <c r="AT26" s="76">
        <f>AT25*AT128</f>
        <v>3296.209203528736</v>
      </c>
      <c r="AU26" s="76">
        <f>AU25*AU128</f>
        <v>3477.8359297193915</v>
      </c>
      <c r="AV26" s="46">
        <f>SUM(AR26:AU26)</f>
        <v>17526.457149701404</v>
      </c>
      <c r="AW26" s="76">
        <f>AW25*AW128</f>
        <v>6480.6902580692013</v>
      </c>
      <c r="AX26" s="76">
        <f>AX25*AX128</f>
        <v>3823.9769470385172</v>
      </c>
      <c r="AY26" s="76">
        <f>AY25*AY128</f>
        <v>3029.5420239374507</v>
      </c>
      <c r="AZ26" s="76">
        <f>AZ25*AZ128</f>
        <v>3527.3152851954042</v>
      </c>
      <c r="BA26" s="46">
        <f>SUM(AW26:AZ26)</f>
        <v>16861.524514240573</v>
      </c>
      <c r="BB26" s="76">
        <f>BB25*BB128</f>
        <v>6477.1189914708502</v>
      </c>
      <c r="BC26" s="76">
        <f>BC25*BC128</f>
        <v>3425.5240950872262</v>
      </c>
      <c r="BD26" s="76">
        <f>BD25*BD128</f>
        <v>2791.4259015542289</v>
      </c>
      <c r="BE26" s="76">
        <f>BE25*BE128</f>
        <v>3487.4636778149084</v>
      </c>
      <c r="BF26" s="46">
        <f>SUM(BB26:BE26)</f>
        <v>16181.532665927214</v>
      </c>
      <c r="BG26" s="76">
        <f>BG25*BG128</f>
        <v>6017.0443250791677</v>
      </c>
      <c r="BH26" s="76">
        <f>BH25*BH128</f>
        <v>3140.82290041133</v>
      </c>
      <c r="BI26" s="76">
        <f>BI25*BI128</f>
        <v>2629.9367864758146</v>
      </c>
      <c r="BJ26" s="76">
        <f>BJ25*BJ128</f>
        <v>3413.1065210007419</v>
      </c>
      <c r="BK26" s="46">
        <f>SUM(BG26:BJ26)</f>
        <v>15200.910532967055</v>
      </c>
    </row>
    <row r="27" spans="2:63" x14ac:dyDescent="0.3">
      <c r="B27" s="722" t="s">
        <v>203</v>
      </c>
      <c r="C27" s="723"/>
      <c r="D27" s="14">
        <f t="shared" ref="D27:BA27" si="23">D25-D26</f>
        <v>3378</v>
      </c>
      <c r="E27" s="10">
        <f t="shared" si="23"/>
        <v>3074</v>
      </c>
      <c r="F27" s="10">
        <f t="shared" si="23"/>
        <v>3253</v>
      </c>
      <c r="G27" s="15">
        <f t="shared" si="23"/>
        <v>4308</v>
      </c>
      <c r="H27" s="9">
        <f t="shared" si="23"/>
        <v>14013</v>
      </c>
      <c r="I27" s="14">
        <f t="shared" si="23"/>
        <v>6004</v>
      </c>
      <c r="J27" s="10">
        <f t="shared" si="23"/>
        <v>5987</v>
      </c>
      <c r="K27" s="10">
        <f t="shared" si="23"/>
        <v>7308</v>
      </c>
      <c r="L27" s="15">
        <f t="shared" si="23"/>
        <v>6623</v>
      </c>
      <c r="M27" s="9">
        <f t="shared" si="23"/>
        <v>25922</v>
      </c>
      <c r="N27" s="14">
        <f t="shared" si="23"/>
        <v>13064</v>
      </c>
      <c r="O27" s="10">
        <f t="shared" si="23"/>
        <v>11622</v>
      </c>
      <c r="P27" s="10">
        <f t="shared" si="23"/>
        <v>8824</v>
      </c>
      <c r="Q27" s="15">
        <f t="shared" si="23"/>
        <v>8223</v>
      </c>
      <c r="R27" s="9">
        <f t="shared" si="23"/>
        <v>41733</v>
      </c>
      <c r="S27" s="14">
        <f t="shared" si="23"/>
        <v>13078</v>
      </c>
      <c r="T27" s="10">
        <f t="shared" si="23"/>
        <v>9547</v>
      </c>
      <c r="U27" s="10">
        <f t="shared" si="23"/>
        <v>6900</v>
      </c>
      <c r="V27" s="15">
        <f t="shared" si="23"/>
        <v>7512</v>
      </c>
      <c r="W27" s="9">
        <f t="shared" si="23"/>
        <v>37037</v>
      </c>
      <c r="X27" s="14">
        <f t="shared" si="23"/>
        <v>13072</v>
      </c>
      <c r="Y27" s="10">
        <f t="shared" si="23"/>
        <v>10223</v>
      </c>
      <c r="Z27" s="10">
        <f t="shared" si="23"/>
        <v>7748</v>
      </c>
      <c r="AA27" s="15">
        <f t="shared" si="23"/>
        <v>8467</v>
      </c>
      <c r="AB27" s="9">
        <f t="shared" si="23"/>
        <v>39510</v>
      </c>
      <c r="AC27" s="49">
        <f t="shared" si="23"/>
        <v>18024</v>
      </c>
      <c r="AD27" s="49">
        <f t="shared" si="23"/>
        <v>13569</v>
      </c>
      <c r="AE27" s="49">
        <f t="shared" si="23"/>
        <v>10677</v>
      </c>
      <c r="AF27" s="49">
        <f t="shared" si="23"/>
        <v>11124</v>
      </c>
      <c r="AG27" s="169">
        <f t="shared" si="23"/>
        <v>53394</v>
      </c>
      <c r="AH27" s="49">
        <f t="shared" si="23"/>
        <v>18361</v>
      </c>
      <c r="AI27" s="49">
        <f t="shared" si="23"/>
        <v>10516</v>
      </c>
      <c r="AJ27" s="49">
        <f t="shared" si="23"/>
        <v>7796</v>
      </c>
      <c r="AK27" s="49">
        <f t="shared" si="23"/>
        <v>9014</v>
      </c>
      <c r="AL27" s="169">
        <f t="shared" si="23"/>
        <v>45687</v>
      </c>
      <c r="AM27" s="49">
        <f t="shared" si="23"/>
        <v>17891</v>
      </c>
      <c r="AN27" s="49">
        <f t="shared" si="23"/>
        <v>11029</v>
      </c>
      <c r="AO27" s="49">
        <f t="shared" si="23"/>
        <v>8141.684079766379</v>
      </c>
      <c r="AP27" s="49">
        <f t="shared" si="23"/>
        <v>9565.9165850562949</v>
      </c>
      <c r="AQ27" s="169">
        <f t="shared" si="23"/>
        <v>46627.600664822698</v>
      </c>
      <c r="AR27" s="47">
        <f t="shared" si="23"/>
        <v>18541.732122602283</v>
      </c>
      <c r="AS27" s="47">
        <f t="shared" si="23"/>
        <v>12061.286693457041</v>
      </c>
      <c r="AT27" s="47">
        <f t="shared" si="23"/>
        <v>9381.5185023510167</v>
      </c>
      <c r="AU27" s="47">
        <f t="shared" si="23"/>
        <v>9898.4561076628834</v>
      </c>
      <c r="AV27" s="48">
        <f t="shared" si="23"/>
        <v>49882.993426073204</v>
      </c>
      <c r="AW27" s="47">
        <f t="shared" si="23"/>
        <v>18445.041503735418</v>
      </c>
      <c r="AX27" s="47">
        <f t="shared" si="23"/>
        <v>10883.626695417319</v>
      </c>
      <c r="AY27" s="47">
        <f t="shared" si="23"/>
        <v>8622.5426835142825</v>
      </c>
      <c r="AZ27" s="47">
        <f t="shared" si="23"/>
        <v>10039.281965556151</v>
      </c>
      <c r="BA27" s="48">
        <f t="shared" si="23"/>
        <v>47990.492848223133</v>
      </c>
      <c r="BB27" s="47">
        <f t="shared" ref="BB27:BK27" si="24">BB25-BB26</f>
        <v>18434.877129570879</v>
      </c>
      <c r="BC27" s="47">
        <f t="shared" si="24"/>
        <v>9749.5685783251811</v>
      </c>
      <c r="BD27" s="47">
        <f t="shared" si="24"/>
        <v>7944.8275659620358</v>
      </c>
      <c r="BE27" s="47">
        <f t="shared" si="24"/>
        <v>9925.8581599347381</v>
      </c>
      <c r="BF27" s="48">
        <f t="shared" si="24"/>
        <v>46055.13143379282</v>
      </c>
      <c r="BG27" s="47">
        <f t="shared" si="24"/>
        <v>17125.433848302244</v>
      </c>
      <c r="BH27" s="47">
        <f t="shared" si="24"/>
        <v>8939.2651780937849</v>
      </c>
      <c r="BI27" s="47">
        <f t="shared" si="24"/>
        <v>7485.2046999696249</v>
      </c>
      <c r="BJ27" s="47">
        <f t="shared" si="24"/>
        <v>9714.2262520790337</v>
      </c>
      <c r="BK27" s="48">
        <f t="shared" si="24"/>
        <v>43264.129978444667</v>
      </c>
    </row>
    <row r="28" spans="2:63" x14ac:dyDescent="0.3">
      <c r="B28" s="726" t="s">
        <v>4</v>
      </c>
      <c r="C28" s="728"/>
      <c r="D28" s="480">
        <v>903.54200000000003</v>
      </c>
      <c r="E28" s="481">
        <v>907.548</v>
      </c>
      <c r="F28" s="481">
        <v>912.197</v>
      </c>
      <c r="G28" s="482">
        <v>914.64103847373724</v>
      </c>
      <c r="H28" s="483">
        <v>909.46100000000001</v>
      </c>
      <c r="I28" s="480">
        <v>919.29399999999998</v>
      </c>
      <c r="J28" s="481">
        <v>923.19600000000003</v>
      </c>
      <c r="K28" s="481">
        <v>926.10799999999995</v>
      </c>
      <c r="L28" s="482">
        <v>928.92140241743732</v>
      </c>
      <c r="M28" s="483">
        <v>924.25800000000004</v>
      </c>
      <c r="N28" s="480">
        <v>931.04100000000005</v>
      </c>
      <c r="O28" s="481">
        <v>933.58199999999999</v>
      </c>
      <c r="P28" s="481">
        <v>936.596</v>
      </c>
      <c r="Q28" s="482">
        <v>938.70140696808801</v>
      </c>
      <c r="R28" s="483">
        <v>934.81799999999998</v>
      </c>
      <c r="S28" s="480">
        <v>938.91600000000005</v>
      </c>
      <c r="T28" s="481">
        <v>939.62900000000002</v>
      </c>
      <c r="U28" s="481">
        <v>918.61800000000005</v>
      </c>
      <c r="V28" s="482">
        <v>903.9730605846612</v>
      </c>
      <c r="W28" s="483">
        <v>925.33100000000002</v>
      </c>
      <c r="X28" s="480">
        <v>896.072</v>
      </c>
      <c r="Y28" s="481">
        <v>874.75699999999995</v>
      </c>
      <c r="Z28" s="147">
        <v>6012.6350000000002</v>
      </c>
      <c r="AA28" s="148">
        <v>5920.483386878469</v>
      </c>
      <c r="AB28" s="18">
        <v>6085.5720000000001</v>
      </c>
      <c r="AC28" s="50">
        <v>5843.0820000000003</v>
      </c>
      <c r="AD28" s="50">
        <v>5793.799</v>
      </c>
      <c r="AE28" s="189">
        <v>5729.8860000000004</v>
      </c>
      <c r="AF28" s="189">
        <v>5646.9160000000002</v>
      </c>
      <c r="AG28" s="51">
        <f>AVERAGE(AC28:AF28)</f>
        <v>5753.4207500000002</v>
      </c>
      <c r="AH28" s="189">
        <v>5558.93</v>
      </c>
      <c r="AI28" s="189">
        <v>5514.3810000000003</v>
      </c>
      <c r="AJ28" s="189">
        <v>5443.058</v>
      </c>
      <c r="AK28" s="189">
        <v>5366.9120000000003</v>
      </c>
      <c r="AL28" s="51">
        <f>AVERAGE(AH28:AK28)</f>
        <v>5470.8202500000007</v>
      </c>
      <c r="AM28" s="189">
        <v>5298.6610000000001</v>
      </c>
      <c r="AN28" s="189">
        <v>5225.7910000000002</v>
      </c>
      <c r="AO28" s="189">
        <f>AN28*(1+AO134)-AO138</f>
        <v>5116.2457073979849</v>
      </c>
      <c r="AP28" s="189">
        <f>AO28*(1+AP134)-AP138</f>
        <v>4995.7307080069868</v>
      </c>
      <c r="AQ28" s="51">
        <f>(AM28*AM27/AQ27)+(AN28*AN27/AQ27)+(AO28*AO27/AQ27)+(AP28*AP27/AQ27)</f>
        <v>5187.4252352592939</v>
      </c>
      <c r="AR28" s="50">
        <f>AP28*(1+AR134)-AR138</f>
        <v>4894.1280807202147</v>
      </c>
      <c r="AS28" s="50">
        <f>AR28*(1+AS134)-AS138</f>
        <v>4794.0494928427443</v>
      </c>
      <c r="AT28" s="50">
        <f>AS28*(1+AT134)-AT138</f>
        <v>4695.4720837834357</v>
      </c>
      <c r="AU28" s="50">
        <f>AT28*(1+AU134)-AU138</f>
        <v>4598.3733358600175</v>
      </c>
      <c r="AV28" s="51">
        <f>(AR28*AR27/AV27)+(AS28*AS27/AV27)+(AT28*AT27/AV27)+(AU28*AU27/AV27)</f>
        <v>4773.8809503900557</v>
      </c>
      <c r="AW28" s="50">
        <f>AU28*(1+AW134)-AW138</f>
        <v>4502.7310691554503</v>
      </c>
      <c r="AX28" s="50">
        <f>AW28*(1+AX134)-AX138</f>
        <v>4408.5234364514517</v>
      </c>
      <c r="AY28" s="50">
        <f>AX28*(1+AY134)-AY138</f>
        <v>4315.7289182380127</v>
      </c>
      <c r="AZ28" s="50">
        <f>AY28*(1+AZ134)-AZ138</f>
        <v>4224.3263177977751</v>
      </c>
      <c r="BA28" s="51">
        <f>(AW28*AW27/BA27)+(AX28*AX27/BA27)+(AY28*AY27/BA27)+(AZ28*AZ27/BA27)</f>
        <v>4389.5265944480161</v>
      </c>
      <c r="BB28" s="189">
        <f>AZ28*(1+BB134)-BB138</f>
        <v>4134.2947563641419</v>
      </c>
      <c r="BC28" s="189">
        <f>BB28*(1+BC134)-BC138</f>
        <v>4045.6136683520131</v>
      </c>
      <c r="BD28" s="189">
        <f>BC28*(1+BD134)-BD138</f>
        <v>3958.2627966600662</v>
      </c>
      <c r="BE28" s="189">
        <f>BD28*(1+BE134)-BE138</f>
        <v>3872.2221880434986</v>
      </c>
      <c r="BF28" s="51">
        <f>(BB28*BB27/BF27)+(BC28*BC27/BF27)+(BD28*BD27/BF27)+(BE28*BE27/BF27)</f>
        <v>4028.6726268762386</v>
      </c>
      <c r="BG28" s="189">
        <f>BE28*(1+BG134)-BG138</f>
        <v>3787.4721885561794</v>
      </c>
      <c r="BH28" s="189">
        <f>BG28*(1+BH134)-BH138</f>
        <v>3703.9934390611702</v>
      </c>
      <c r="BI28" s="189">
        <f>BH28*(1+BI134)-BI138</f>
        <v>3621.7668708085862</v>
      </c>
      <c r="BJ28" s="189">
        <f>BI28*(1+BJ134)-BJ138</f>
        <v>3540.773701079791</v>
      </c>
      <c r="BK28" s="51">
        <f>(BG28*BG27/BK27)+(BH28*BH27/BK27)+(BI28*BI27/BK27)+(BJ28*BJ27/BK27)</f>
        <v>3686.1628168604857</v>
      </c>
    </row>
    <row r="29" spans="2:63" ht="15.75" customHeight="1" x14ac:dyDescent="0.3">
      <c r="B29" s="726" t="s">
        <v>5</v>
      </c>
      <c r="C29" s="728"/>
      <c r="D29" s="480">
        <v>919.78300000000002</v>
      </c>
      <c r="E29" s="481">
        <v>922.87800000000004</v>
      </c>
      <c r="F29" s="481">
        <v>927.36099999999999</v>
      </c>
      <c r="G29" s="482">
        <v>928.43823136370997</v>
      </c>
      <c r="H29" s="483">
        <v>924.71199999999999</v>
      </c>
      <c r="I29" s="480">
        <v>933.154</v>
      </c>
      <c r="J29" s="481">
        <v>935.94399999999996</v>
      </c>
      <c r="K29" s="481">
        <v>937.81</v>
      </c>
      <c r="L29" s="482">
        <v>939.37166293745895</v>
      </c>
      <c r="M29" s="483">
        <v>936.64499999999998</v>
      </c>
      <c r="N29" s="480">
        <v>941.572</v>
      </c>
      <c r="O29" s="481">
        <v>944.89300000000003</v>
      </c>
      <c r="P29" s="481">
        <v>947.05899999999997</v>
      </c>
      <c r="Q29" s="482">
        <v>948.37544434177028</v>
      </c>
      <c r="R29" s="483">
        <v>945.35500000000002</v>
      </c>
      <c r="S29" s="480">
        <v>947.21699999999998</v>
      </c>
      <c r="T29" s="481">
        <v>946.03499999999997</v>
      </c>
      <c r="U29" s="481">
        <v>924.26499999999999</v>
      </c>
      <c r="V29" s="482">
        <v>909.40018641668541</v>
      </c>
      <c r="W29" s="483">
        <v>931.66200000000003</v>
      </c>
      <c r="X29" s="480">
        <v>901.452</v>
      </c>
      <c r="Y29" s="481">
        <v>879.52800000000002</v>
      </c>
      <c r="Z29" s="147">
        <v>6051.7110000000002</v>
      </c>
      <c r="AA29" s="148">
        <v>5962.2445584976967</v>
      </c>
      <c r="AB29" s="18">
        <v>6122.6629999999996</v>
      </c>
      <c r="AC29" s="50">
        <v>5881.8029999999999</v>
      </c>
      <c r="AD29" s="50">
        <v>5834.8580000000002</v>
      </c>
      <c r="AE29" s="189">
        <v>5773.0990000000002</v>
      </c>
      <c r="AF29" s="189">
        <v>5682.5190000000002</v>
      </c>
      <c r="AG29" s="51">
        <f>AVERAGE(AC29:AF29)</f>
        <v>5793.0697500000006</v>
      </c>
      <c r="AH29" s="189">
        <v>5594.1270000000004</v>
      </c>
      <c r="AI29" s="189">
        <v>5540.8860000000004</v>
      </c>
      <c r="AJ29" s="189">
        <v>5472.7809999999999</v>
      </c>
      <c r="AK29" s="189">
        <v>5393.3329999999996</v>
      </c>
      <c r="AL29" s="51">
        <f>AVERAGE(AH29:AK29)</f>
        <v>5500.2817500000001</v>
      </c>
      <c r="AM29" s="189">
        <v>5327.9949999999999</v>
      </c>
      <c r="AN29" s="189">
        <v>5261.6880000000001</v>
      </c>
      <c r="AO29" s="189">
        <f>AN29*(1+AO135)-AO138-AO139</f>
        <v>5152.9646074470766</v>
      </c>
      <c r="AP29" s="189">
        <f>AO29*(1+AP135)-AP138-AP139</f>
        <v>5034.692939503313</v>
      </c>
      <c r="AQ29" s="51">
        <f>(AM29*AM27/AQ27)+(AN29*AN27/AQ27)+(AO29*AO27/AQ27)+(AP29*AP27/AQ27)</f>
        <v>5221.5763758865896</v>
      </c>
      <c r="AR29" s="50">
        <f>AP29*(1+AR135)-AR138-AR139</f>
        <v>4932.5058787440967</v>
      </c>
      <c r="AS29" s="50">
        <f>AR29*(1+AS135)-AS138-AS139</f>
        <v>4831.8516238962684</v>
      </c>
      <c r="AT29" s="50">
        <f>AS29*(1+AT135)-AT138-AT139</f>
        <v>4732.7071828711578</v>
      </c>
      <c r="AU29" s="50">
        <f>AT29*(1+AU135)-AU138-AU139</f>
        <v>4635.049908461423</v>
      </c>
      <c r="AV29" s="51">
        <f>(AR29*AR27/AV27)+(AS29*AS27/AV27)+(AT29*AT27/AV27)+(AU29*AU27/AV27)</f>
        <v>4811.5670689780109</v>
      </c>
      <c r="AW29" s="50">
        <f>AU29*(1+AW135)-AW138-AW139</f>
        <v>4538.8574931678349</v>
      </c>
      <c r="AX29" s="50">
        <f>AW29*(1+AX135)-AX138-AX139</f>
        <v>4444.1079641036504</v>
      </c>
      <c r="AY29" s="50">
        <f>AX29*(1+AY135)-AY138-AY139</f>
        <v>4350.779677975429</v>
      </c>
      <c r="AZ29" s="50">
        <f>AY29*(1+AZ135)-AZ138-AZ139</f>
        <v>4258.8513161391302</v>
      </c>
      <c r="BA29" s="51">
        <f>(AW29*AW27/BA27)+(AX29*AX27/BA27)+(AY29*AY27/BA27)+(AZ29*AZ27/BA27)</f>
        <v>4425.0018494304622</v>
      </c>
      <c r="BB29" s="189">
        <f>AZ29*(1+BB135)-BB138-BB139</f>
        <v>4168.3018797303766</v>
      </c>
      <c r="BC29" s="189">
        <f>BB29*(1+BC135)-BC138-BC139</f>
        <v>4079.1106848677541</v>
      </c>
      <c r="BD29" s="189">
        <f>BC29*(1+BD135)-BD138-BD139</f>
        <v>3991.2573579280711</v>
      </c>
      <c r="BE29" s="189">
        <f>BD29*(1+BE135)-BE138-BE139</f>
        <v>3904.7218308924835</v>
      </c>
      <c r="BF29" s="51">
        <f>(BB29*BB27/BF27)+(BC29*BC27/BF27)+(BD29*BD27/BF27)+(BE29*BE27/BF27)</f>
        <v>4062.0721959936109</v>
      </c>
      <c r="BG29" s="189">
        <f>BE29*(1+BG135)-BG138-BG139</f>
        <v>3819.4843367624298</v>
      </c>
      <c r="BH29" s="189">
        <f>BG29*(1+BH135)-BH138-BH139</f>
        <v>3735.5254050443268</v>
      </c>
      <c r="BI29" s="189">
        <f>BH29*(1+BI135)-BI138-BI139</f>
        <v>3652.8258573019953</v>
      </c>
      <c r="BJ29" s="189">
        <f>BI29*(1+BJ135)-BJ138-BJ139</f>
        <v>3571.366802775799</v>
      </c>
      <c r="BK29" s="51">
        <f>(BG29*BG27/BK27)+(BH29*BH27/BK27)+(BI29*BI27/BK27)+(BJ29*BJ27/BK27)</f>
        <v>3717.5922184442079</v>
      </c>
    </row>
    <row r="30" spans="2:63" ht="15.75" customHeight="1" x14ac:dyDescent="0.3">
      <c r="B30" s="741" t="s">
        <v>204</v>
      </c>
      <c r="C30" s="742"/>
      <c r="D30" s="484">
        <f t="shared" ref="D30:AC30" si="25">D27/D28</f>
        <v>3.7386197874586902</v>
      </c>
      <c r="E30" s="485">
        <f t="shared" si="25"/>
        <v>3.3871486687205525</v>
      </c>
      <c r="F30" s="485">
        <f t="shared" si="25"/>
        <v>3.5661156526495921</v>
      </c>
      <c r="G30" s="486">
        <f t="shared" si="25"/>
        <v>4.7100445079402578</v>
      </c>
      <c r="H30" s="487">
        <f t="shared" si="25"/>
        <v>15.408027392048696</v>
      </c>
      <c r="I30" s="484">
        <f t="shared" si="25"/>
        <v>6.5310988649985751</v>
      </c>
      <c r="J30" s="485">
        <f t="shared" si="25"/>
        <v>6.4850800913348845</v>
      </c>
      <c r="K30" s="485">
        <f t="shared" si="25"/>
        <v>7.8910882963973972</v>
      </c>
      <c r="L30" s="486">
        <f t="shared" si="25"/>
        <v>7.1297743627870105</v>
      </c>
      <c r="M30" s="487">
        <f t="shared" si="25"/>
        <v>28.046281449551962</v>
      </c>
      <c r="N30" s="484">
        <f t="shared" si="25"/>
        <v>14.031605482465325</v>
      </c>
      <c r="O30" s="485">
        <f t="shared" si="25"/>
        <v>12.448826134179965</v>
      </c>
      <c r="P30" s="485">
        <f t="shared" si="25"/>
        <v>9.4213513617397471</v>
      </c>
      <c r="Q30" s="486">
        <f t="shared" si="25"/>
        <v>8.7599740864983584</v>
      </c>
      <c r="R30" s="487">
        <f t="shared" si="25"/>
        <v>44.642914449657582</v>
      </c>
      <c r="S30" s="484">
        <f t="shared" si="25"/>
        <v>13.928828564003595</v>
      </c>
      <c r="T30" s="485">
        <f t="shared" si="25"/>
        <v>10.160393091315827</v>
      </c>
      <c r="U30" s="485">
        <f t="shared" si="25"/>
        <v>7.5112832537572745</v>
      </c>
      <c r="V30" s="486">
        <f t="shared" si="25"/>
        <v>8.3099821527219806</v>
      </c>
      <c r="W30" s="487">
        <f t="shared" si="25"/>
        <v>40.025677298177627</v>
      </c>
      <c r="X30" s="484">
        <f t="shared" si="25"/>
        <v>14.588113455168781</v>
      </c>
      <c r="Y30" s="485">
        <f t="shared" si="25"/>
        <v>11.686674127786345</v>
      </c>
      <c r="Z30" s="19">
        <f t="shared" si="25"/>
        <v>1.2886197149835306</v>
      </c>
      <c r="AA30" s="149">
        <f t="shared" si="25"/>
        <v>1.430119712651396</v>
      </c>
      <c r="AB30" s="150">
        <f t="shared" si="25"/>
        <v>6.4924053153918813</v>
      </c>
      <c r="AC30" s="52">
        <f t="shared" si="25"/>
        <v>3.08467346513364</v>
      </c>
      <c r="AD30" s="52">
        <f t="shared" ref="AD30:BA30" si="26">AD27/AD28</f>
        <v>2.3419866653986445</v>
      </c>
      <c r="AE30" s="52">
        <f t="shared" si="26"/>
        <v>1.8633878579783261</v>
      </c>
      <c r="AF30" s="52">
        <f t="shared" si="26"/>
        <v>1.9699248226819737</v>
      </c>
      <c r="AG30" s="53">
        <f t="shared" si="26"/>
        <v>9.2803920172186256</v>
      </c>
      <c r="AH30" s="52">
        <f t="shared" si="26"/>
        <v>3.3029737737298364</v>
      </c>
      <c r="AI30" s="52">
        <f t="shared" si="26"/>
        <v>1.9070136793232095</v>
      </c>
      <c r="AJ30" s="52">
        <f t="shared" si="26"/>
        <v>1.4322831026235621</v>
      </c>
      <c r="AK30" s="52">
        <f t="shared" si="26"/>
        <v>1.6795505497388441</v>
      </c>
      <c r="AL30" s="53">
        <f t="shared" si="26"/>
        <v>8.3510329186925851</v>
      </c>
      <c r="AM30" s="52">
        <f t="shared" si="26"/>
        <v>3.3765134248067579</v>
      </c>
      <c r="AN30" s="52">
        <f t="shared" si="26"/>
        <v>2.1104938946084908</v>
      </c>
      <c r="AO30" s="52">
        <f t="shared" si="26"/>
        <v>1.5913395378946857</v>
      </c>
      <c r="AP30" s="52">
        <f t="shared" si="26"/>
        <v>1.9148183006991089</v>
      </c>
      <c r="AQ30" s="53">
        <f t="shared" si="26"/>
        <v>8.9885826879762281</v>
      </c>
      <c r="AR30" s="52">
        <f t="shared" si="26"/>
        <v>3.7885669963655104</v>
      </c>
      <c r="AS30" s="52">
        <f t="shared" si="26"/>
        <v>2.5158869785270026</v>
      </c>
      <c r="AT30" s="52">
        <f t="shared" si="26"/>
        <v>1.9979926054190786</v>
      </c>
      <c r="AU30" s="52">
        <f t="shared" si="26"/>
        <v>2.1525994921879499</v>
      </c>
      <c r="AV30" s="53">
        <f t="shared" si="26"/>
        <v>10.449149014073646</v>
      </c>
      <c r="AW30" s="52">
        <f t="shared" si="26"/>
        <v>4.0964119820718139</v>
      </c>
      <c r="AX30" s="52">
        <f t="shared" si="26"/>
        <v>2.4687691587226461</v>
      </c>
      <c r="AY30" s="52">
        <f t="shared" si="26"/>
        <v>1.9979342648413185</v>
      </c>
      <c r="AZ30" s="52">
        <f t="shared" si="26"/>
        <v>2.376540354673601</v>
      </c>
      <c r="BA30" s="53">
        <f t="shared" si="26"/>
        <v>10.932954116036731</v>
      </c>
      <c r="BB30" s="52">
        <f t="shared" ref="BB30:BK30" si="27">BB27/BB28</f>
        <v>4.4590137413867463</v>
      </c>
      <c r="BC30" s="52">
        <f t="shared" si="27"/>
        <v>2.4099109251567965</v>
      </c>
      <c r="BD30" s="52">
        <f t="shared" si="27"/>
        <v>2.0071500994491283</v>
      </c>
      <c r="BE30" s="52">
        <f t="shared" si="27"/>
        <v>2.5633493322215415</v>
      </c>
      <c r="BF30" s="53">
        <f t="shared" si="27"/>
        <v>11.431837654553519</v>
      </c>
      <c r="BG30" s="52">
        <f t="shared" si="27"/>
        <v>4.5215998945277072</v>
      </c>
      <c r="BH30" s="52">
        <f t="shared" si="27"/>
        <v>2.4134128003098105</v>
      </c>
      <c r="BI30" s="52">
        <f t="shared" si="27"/>
        <v>2.0667273645635005</v>
      </c>
      <c r="BJ30" s="52">
        <f t="shared" si="27"/>
        <v>2.74353208427768</v>
      </c>
      <c r="BK30" s="53">
        <f t="shared" si="27"/>
        <v>11.736901522785377</v>
      </c>
    </row>
    <row r="31" spans="2:63" x14ac:dyDescent="0.3">
      <c r="B31" s="741" t="s">
        <v>205</v>
      </c>
      <c r="C31" s="742"/>
      <c r="D31" s="484">
        <f t="shared" ref="D31:AC31" si="28">D27/D29</f>
        <v>3.6726053862704573</v>
      </c>
      <c r="E31" s="485">
        <f t="shared" si="28"/>
        <v>3.3308844722704407</v>
      </c>
      <c r="F31" s="485">
        <f t="shared" si="28"/>
        <v>3.5078033257814378</v>
      </c>
      <c r="G31" s="486">
        <f t="shared" si="28"/>
        <v>4.6400501987863176</v>
      </c>
      <c r="H31" s="487">
        <f t="shared" si="28"/>
        <v>15.15390737872981</v>
      </c>
      <c r="I31" s="484">
        <f t="shared" si="28"/>
        <v>6.4340934079476702</v>
      </c>
      <c r="J31" s="485">
        <f t="shared" si="28"/>
        <v>6.3967502329199188</v>
      </c>
      <c r="K31" s="485">
        <f t="shared" si="28"/>
        <v>7.792623239248889</v>
      </c>
      <c r="L31" s="486">
        <f t="shared" si="28"/>
        <v>7.0504575146428952</v>
      </c>
      <c r="M31" s="487">
        <f t="shared" si="28"/>
        <v>27.675373273759003</v>
      </c>
      <c r="N31" s="484">
        <f t="shared" si="28"/>
        <v>13.874669170281189</v>
      </c>
      <c r="O31" s="485">
        <f t="shared" si="28"/>
        <v>12.299805374788468</v>
      </c>
      <c r="P31" s="485">
        <f t="shared" si="28"/>
        <v>9.3172653446089431</v>
      </c>
      <c r="Q31" s="486">
        <f t="shared" si="28"/>
        <v>8.6706167362939865</v>
      </c>
      <c r="R31" s="487">
        <f t="shared" si="28"/>
        <v>44.145321069862646</v>
      </c>
      <c r="S31" s="484">
        <f t="shared" si="28"/>
        <v>13.806762336402324</v>
      </c>
      <c r="T31" s="485">
        <f t="shared" si="28"/>
        <v>10.091592805763</v>
      </c>
      <c r="U31" s="485">
        <f t="shared" si="28"/>
        <v>7.4653914191276316</v>
      </c>
      <c r="V31" s="486">
        <f t="shared" si="28"/>
        <v>8.2603897736150405</v>
      </c>
      <c r="W31" s="487">
        <f t="shared" si="28"/>
        <v>39.753687496109102</v>
      </c>
      <c r="X31" s="484">
        <f t="shared" si="28"/>
        <v>14.501049418049991</v>
      </c>
      <c r="Y31" s="485">
        <f t="shared" si="28"/>
        <v>11.623279759143541</v>
      </c>
      <c r="Z31" s="19">
        <f t="shared" si="28"/>
        <v>1.2802990757489907</v>
      </c>
      <c r="AA31" s="149">
        <f t="shared" si="28"/>
        <v>1.4201027678296754</v>
      </c>
      <c r="AB31" s="150">
        <f t="shared" si="28"/>
        <v>6.4530744220284548</v>
      </c>
      <c r="AC31" s="52">
        <f t="shared" si="28"/>
        <v>3.064366487622928</v>
      </c>
      <c r="AD31" s="52">
        <f t="shared" ref="AD31:BA31" si="29">AD27/AD29</f>
        <v>2.3255064647674373</v>
      </c>
      <c r="AE31" s="52">
        <f t="shared" si="29"/>
        <v>1.8494399628345191</v>
      </c>
      <c r="AF31" s="52">
        <f t="shared" si="29"/>
        <v>1.9575825439387002</v>
      </c>
      <c r="AG31" s="53">
        <f t="shared" si="29"/>
        <v>9.2168750428043769</v>
      </c>
      <c r="AH31" s="52">
        <f t="shared" si="29"/>
        <v>3.2821921990687732</v>
      </c>
      <c r="AI31" s="52">
        <f t="shared" si="29"/>
        <v>1.8978914202530064</v>
      </c>
      <c r="AJ31" s="52">
        <f t="shared" si="29"/>
        <v>1.4245042876738536</v>
      </c>
      <c r="AK31" s="52">
        <f t="shared" si="29"/>
        <v>1.6713227238147543</v>
      </c>
      <c r="AL31" s="53">
        <f t="shared" si="29"/>
        <v>8.3063017635414766</v>
      </c>
      <c r="AM31" s="52">
        <f t="shared" si="29"/>
        <v>3.3579235716249736</v>
      </c>
      <c r="AN31" s="52">
        <f t="shared" si="29"/>
        <v>2.0960953975226202</v>
      </c>
      <c r="AO31" s="679">
        <f t="shared" si="29"/>
        <v>1.5799999999999996</v>
      </c>
      <c r="AP31" s="679">
        <f t="shared" si="29"/>
        <v>1.9000000000000001</v>
      </c>
      <c r="AQ31" s="53">
        <f t="shared" si="29"/>
        <v>8.9297938607487346</v>
      </c>
      <c r="AR31" s="679">
        <f t="shared" si="29"/>
        <v>3.7590897159403562</v>
      </c>
      <c r="AS31" s="679">
        <f t="shared" si="29"/>
        <v>2.4962038639198032</v>
      </c>
      <c r="AT31" s="52">
        <f t="shared" si="29"/>
        <v>1.9822731768204593</v>
      </c>
      <c r="AU31" s="52">
        <f t="shared" si="29"/>
        <v>2.1355662405259013</v>
      </c>
      <c r="AV31" s="680">
        <f t="shared" si="29"/>
        <v>10.367307097865826</v>
      </c>
      <c r="AW31" s="52">
        <f t="shared" si="29"/>
        <v>4.063807143427618</v>
      </c>
      <c r="AX31" s="52">
        <f t="shared" si="29"/>
        <v>2.4490014156558595</v>
      </c>
      <c r="AY31" s="52">
        <f t="shared" si="29"/>
        <v>1.9818385029155636</v>
      </c>
      <c r="AZ31" s="52">
        <f t="shared" si="29"/>
        <v>2.357274584231619</v>
      </c>
      <c r="BA31" s="53">
        <f t="shared" si="29"/>
        <v>10.845304585443268</v>
      </c>
      <c r="BB31" s="52">
        <f t="shared" ref="BB31:BK31" si="30">BB27/BB29</f>
        <v>4.4226348430318883</v>
      </c>
      <c r="BC31" s="52">
        <f t="shared" si="30"/>
        <v>2.3901211150001598</v>
      </c>
      <c r="BD31" s="52">
        <f t="shared" si="30"/>
        <v>1.990557574590061</v>
      </c>
      <c r="BE31" s="52">
        <f t="shared" si="30"/>
        <v>2.5420141535833891</v>
      </c>
      <c r="BF31" s="53">
        <f t="shared" si="30"/>
        <v>11.337841675787207</v>
      </c>
      <c r="BG31" s="52">
        <f t="shared" si="30"/>
        <v>4.4837031228195974</v>
      </c>
      <c r="BH31" s="52">
        <f t="shared" si="30"/>
        <v>2.3930409269931627</v>
      </c>
      <c r="BI31" s="52">
        <f t="shared" si="30"/>
        <v>2.0491545429155096</v>
      </c>
      <c r="BJ31" s="52">
        <f t="shared" si="30"/>
        <v>2.720030394113754</v>
      </c>
      <c r="BK31" s="53">
        <f t="shared" si="30"/>
        <v>11.637674988611439</v>
      </c>
    </row>
    <row r="32" spans="2:63" x14ac:dyDescent="0.3">
      <c r="B32" s="726" t="s">
        <v>150</v>
      </c>
      <c r="C32" s="727"/>
      <c r="D32" s="484" t="s">
        <v>26</v>
      </c>
      <c r="E32" s="485" t="s">
        <v>26</v>
      </c>
      <c r="F32" s="485" t="s">
        <v>26</v>
      </c>
      <c r="G32" s="485" t="s">
        <v>26</v>
      </c>
      <c r="H32" s="487" t="s">
        <v>26</v>
      </c>
      <c r="I32" s="485" t="s">
        <v>26</v>
      </c>
      <c r="J32" s="485" t="s">
        <v>26</v>
      </c>
      <c r="K32" s="485" t="s">
        <v>26</v>
      </c>
      <c r="L32" s="485" t="s">
        <v>26</v>
      </c>
      <c r="M32" s="487" t="s">
        <v>26</v>
      </c>
      <c r="N32" s="485" t="s">
        <v>26</v>
      </c>
      <c r="O32" s="485">
        <v>0</v>
      </c>
      <c r="P32" s="485" t="s">
        <v>26</v>
      </c>
      <c r="Q32" s="488">
        <v>2.65</v>
      </c>
      <c r="R32" s="489">
        <v>2.65</v>
      </c>
      <c r="S32" s="488">
        <v>2.65</v>
      </c>
      <c r="T32" s="488">
        <v>2.65</v>
      </c>
      <c r="U32" s="488">
        <v>3.05</v>
      </c>
      <c r="V32" s="488">
        <v>3.05</v>
      </c>
      <c r="W32" s="489">
        <v>11.4</v>
      </c>
      <c r="X32" s="488">
        <v>3.05</v>
      </c>
      <c r="Y32" s="488">
        <v>3.05</v>
      </c>
      <c r="Z32" s="152">
        <v>0.47</v>
      </c>
      <c r="AA32" s="152">
        <v>0.47</v>
      </c>
      <c r="AB32" s="458">
        <v>1.82</v>
      </c>
      <c r="AC32" s="125">
        <v>0.47</v>
      </c>
      <c r="AD32" s="125">
        <v>0.47</v>
      </c>
      <c r="AE32" s="125">
        <v>0.52</v>
      </c>
      <c r="AF32" s="125">
        <v>0.52</v>
      </c>
      <c r="AG32" s="459">
        <f>SUM(AC32:AF32)</f>
        <v>1.98</v>
      </c>
      <c r="AH32" s="460">
        <v>0.52</v>
      </c>
      <c r="AI32" s="125">
        <v>0.52</v>
      </c>
      <c r="AJ32" s="125">
        <v>0.56999999999999995</v>
      </c>
      <c r="AK32" s="125">
        <f>AJ32</f>
        <v>0.56999999999999995</v>
      </c>
      <c r="AL32" s="459">
        <f>SUM(AH32:AK32)</f>
        <v>2.1799999999999997</v>
      </c>
      <c r="AM32" s="125">
        <v>0.56999999999999995</v>
      </c>
      <c r="AN32" s="125">
        <v>0.56999999999999995</v>
      </c>
      <c r="AO32" s="125">
        <f t="shared" ref="AO32:AP32" si="31">AJ32*(1+AO33)</f>
        <v>0.627</v>
      </c>
      <c r="AP32" s="125">
        <f t="shared" si="31"/>
        <v>0.627</v>
      </c>
      <c r="AQ32" s="459">
        <f>SUM(AM32:AP32)</f>
        <v>2.3940000000000001</v>
      </c>
      <c r="AR32" s="125">
        <f>AP32*(1+AR33)</f>
        <v>0.68970000000000009</v>
      </c>
      <c r="AS32" s="125">
        <f>AN32*(1+AS33)</f>
        <v>0.627</v>
      </c>
      <c r="AT32" s="125">
        <f t="shared" ref="AT32" si="32">AO32*(1+AT33)</f>
        <v>0.68970000000000009</v>
      </c>
      <c r="AU32" s="125">
        <f t="shared" ref="AU32" si="33">AP32*(1+AU33)</f>
        <v>0.68970000000000009</v>
      </c>
      <c r="AV32" s="459">
        <f>SUM(AR32:AU32)</f>
        <v>2.6961000000000004</v>
      </c>
      <c r="AW32" s="125">
        <f>AU32*(1+AW33)</f>
        <v>0.75867000000000018</v>
      </c>
      <c r="AX32" s="125">
        <f>AS32*(1+AX33)</f>
        <v>0.68970000000000009</v>
      </c>
      <c r="AY32" s="125">
        <f t="shared" ref="AY32" si="34">AT32*(1+AY33)</f>
        <v>0.75867000000000018</v>
      </c>
      <c r="AZ32" s="125">
        <f t="shared" ref="AZ32" si="35">AU32*(1+AZ33)</f>
        <v>0.75867000000000018</v>
      </c>
      <c r="BA32" s="459">
        <f>SUM(AW32:AZ32)</f>
        <v>2.9657100000000005</v>
      </c>
      <c r="BB32" s="125">
        <f>AZ32*(1+BB33)</f>
        <v>0.83453700000000031</v>
      </c>
      <c r="BC32" s="125">
        <f>AX32*(1+BC33)</f>
        <v>0.75867000000000018</v>
      </c>
      <c r="BD32" s="125">
        <f t="shared" ref="BD32" si="36">AY32*(1+BD33)</f>
        <v>0.83453700000000031</v>
      </c>
      <c r="BE32" s="125">
        <f t="shared" ref="BE32" si="37">AZ32*(1+BE33)</f>
        <v>0.83453700000000031</v>
      </c>
      <c r="BF32" s="459">
        <f>SUM(BB32:BE32)</f>
        <v>3.2622810000000007</v>
      </c>
      <c r="BG32" s="125">
        <f>BE32*(1+BG33)</f>
        <v>0.91799070000000038</v>
      </c>
      <c r="BH32" s="125">
        <f>BC32*(1+BH33)</f>
        <v>0.83453700000000031</v>
      </c>
      <c r="BI32" s="125">
        <f t="shared" ref="BI32" si="38">BD32*(1+BI33)</f>
        <v>0.91799070000000038</v>
      </c>
      <c r="BJ32" s="125">
        <f t="shared" ref="BJ32" si="39">BE32*(1+BJ33)</f>
        <v>0.91799070000000038</v>
      </c>
      <c r="BK32" s="459">
        <f>SUM(BG32:BJ32)</f>
        <v>3.5885091000000013</v>
      </c>
    </row>
    <row r="33" spans="2:63" s="199" customFormat="1" x14ac:dyDescent="0.3">
      <c r="B33" s="445" t="s">
        <v>403</v>
      </c>
      <c r="C33" s="446"/>
      <c r="D33" s="151"/>
      <c r="E33" s="456"/>
      <c r="F33" s="456"/>
      <c r="G33" s="462"/>
      <c r="H33" s="456"/>
      <c r="I33" s="151"/>
      <c r="J33" s="456"/>
      <c r="K33" s="456"/>
      <c r="L33" s="462"/>
      <c r="M33" s="456"/>
      <c r="N33" s="151"/>
      <c r="O33" s="456"/>
      <c r="P33" s="456"/>
      <c r="Q33" s="463"/>
      <c r="R33" s="457"/>
      <c r="S33" s="464"/>
      <c r="T33" s="457"/>
      <c r="U33" s="457"/>
      <c r="V33" s="463"/>
      <c r="W33" s="457"/>
      <c r="X33" s="464"/>
      <c r="Y33" s="457"/>
      <c r="Z33" s="457"/>
      <c r="AA33" s="463"/>
      <c r="AB33" s="457"/>
      <c r="AC33" s="465"/>
      <c r="AD33" s="466"/>
      <c r="AE33" s="466">
        <f t="shared" ref="AE33" si="40">AE32/Z32-1</f>
        <v>0.1063829787234043</v>
      </c>
      <c r="AF33" s="467">
        <f t="shared" ref="AF33" si="41">AF32/AA32-1</f>
        <v>0.1063829787234043</v>
      </c>
      <c r="AG33" s="472">
        <f>AG32/AB32-1</f>
        <v>8.7912087912087822E-2</v>
      </c>
      <c r="AH33" s="465">
        <f>AH32/AC32-1</f>
        <v>0.1063829787234043</v>
      </c>
      <c r="AI33" s="466">
        <f t="shared" ref="AI33" si="42">AI32/AD32-1</f>
        <v>0.1063829787234043</v>
      </c>
      <c r="AJ33" s="466">
        <f t="shared" ref="AJ33" si="43">AJ32/AE32-1</f>
        <v>9.6153846153846034E-2</v>
      </c>
      <c r="AK33" s="467">
        <f t="shared" ref="AK33" si="44">AK32/AF32-1</f>
        <v>9.6153846153846034E-2</v>
      </c>
      <c r="AL33" s="472">
        <f>AL32/AG32-1</f>
        <v>0.10101010101010077</v>
      </c>
      <c r="AM33" s="465">
        <f>AM32/AH32-1</f>
        <v>9.6153846153846034E-2</v>
      </c>
      <c r="AN33" s="466">
        <f>AN32/AI32-1</f>
        <v>9.6153846153846034E-2</v>
      </c>
      <c r="AO33" s="468">
        <v>0.1</v>
      </c>
      <c r="AP33" s="469">
        <v>0.1</v>
      </c>
      <c r="AQ33" s="466">
        <f>AQ32/AL32-1</f>
        <v>9.8165137614679043E-2</v>
      </c>
      <c r="AR33" s="470">
        <v>0.1</v>
      </c>
      <c r="AS33" s="468">
        <v>0.1</v>
      </c>
      <c r="AT33" s="468">
        <v>0.1</v>
      </c>
      <c r="AU33" s="469">
        <v>0.1</v>
      </c>
      <c r="AV33" s="466">
        <f>AV32/AQ32-1</f>
        <v>0.12619047619047619</v>
      </c>
      <c r="AW33" s="470">
        <v>0.1</v>
      </c>
      <c r="AX33" s="468">
        <v>0.1</v>
      </c>
      <c r="AY33" s="468">
        <v>0.1</v>
      </c>
      <c r="AZ33" s="469">
        <v>0.1</v>
      </c>
      <c r="BA33" s="466">
        <f>BA32/AV32-1</f>
        <v>0.10000000000000009</v>
      </c>
      <c r="BB33" s="470">
        <v>0.1</v>
      </c>
      <c r="BC33" s="468">
        <v>0.1</v>
      </c>
      <c r="BD33" s="468">
        <v>0.1</v>
      </c>
      <c r="BE33" s="469">
        <v>0.1</v>
      </c>
      <c r="BF33" s="466">
        <f>BF32/BA32-1</f>
        <v>0.10000000000000009</v>
      </c>
      <c r="BG33" s="470">
        <v>0.1</v>
      </c>
      <c r="BH33" s="468">
        <v>0.1</v>
      </c>
      <c r="BI33" s="468">
        <v>0.1</v>
      </c>
      <c r="BJ33" s="469">
        <v>0.1</v>
      </c>
      <c r="BK33" s="471">
        <f>BK32/BF32-1</f>
        <v>0.10000000000000009</v>
      </c>
    </row>
    <row r="34" spans="2:63" x14ac:dyDescent="0.3">
      <c r="B34" s="634"/>
      <c r="C34" s="140"/>
      <c r="D34" s="456"/>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6"/>
      <c r="AC34" s="461"/>
      <c r="AD34" s="461"/>
      <c r="AE34" s="456"/>
      <c r="AF34" s="456"/>
      <c r="AG34" s="461"/>
      <c r="AH34" s="461"/>
      <c r="AI34" s="461"/>
      <c r="AJ34" s="456"/>
      <c r="AK34" s="456"/>
      <c r="AL34" s="461"/>
      <c r="AM34" s="461"/>
      <c r="AN34" s="461"/>
      <c r="AO34" s="456"/>
      <c r="AP34" s="456"/>
      <c r="AQ34" s="461"/>
      <c r="AR34" s="461"/>
      <c r="AS34" s="461"/>
      <c r="AT34" s="456"/>
      <c r="AU34" s="456"/>
      <c r="AV34" s="461"/>
      <c r="AW34" s="461"/>
      <c r="AX34" s="461"/>
      <c r="AY34" s="456"/>
      <c r="AZ34" s="456"/>
      <c r="BA34" s="461"/>
      <c r="BB34" s="461"/>
      <c r="BC34" s="461"/>
      <c r="BD34" s="456"/>
      <c r="BE34" s="456"/>
      <c r="BF34" s="461"/>
      <c r="BG34" s="461"/>
      <c r="BH34" s="461"/>
      <c r="BI34" s="456"/>
      <c r="BJ34" s="456"/>
      <c r="BK34" s="461"/>
    </row>
    <row r="35" spans="2:63" ht="15.6" x14ac:dyDescent="0.3">
      <c r="B35" s="733" t="s">
        <v>426</v>
      </c>
      <c r="C35" s="734"/>
      <c r="D35" s="170" t="s">
        <v>117</v>
      </c>
      <c r="E35" s="170" t="s">
        <v>118</v>
      </c>
      <c r="F35" s="170" t="s">
        <v>119</v>
      </c>
      <c r="G35" s="170" t="s">
        <v>120</v>
      </c>
      <c r="H35" s="170" t="s">
        <v>120</v>
      </c>
      <c r="I35" s="170" t="s">
        <v>116</v>
      </c>
      <c r="J35" s="170" t="s">
        <v>126</v>
      </c>
      <c r="K35" s="170" t="s">
        <v>127</v>
      </c>
      <c r="L35" s="170" t="s">
        <v>128</v>
      </c>
      <c r="M35" s="170" t="s">
        <v>128</v>
      </c>
      <c r="N35" s="170" t="s">
        <v>134</v>
      </c>
      <c r="O35" s="170" t="s">
        <v>135</v>
      </c>
      <c r="P35" s="170" t="s">
        <v>136</v>
      </c>
      <c r="Q35" s="170" t="s">
        <v>137</v>
      </c>
      <c r="R35" s="170" t="s">
        <v>137</v>
      </c>
      <c r="S35" s="170" t="s">
        <v>143</v>
      </c>
      <c r="T35" s="170" t="s">
        <v>144</v>
      </c>
      <c r="U35" s="170" t="s">
        <v>145</v>
      </c>
      <c r="V35" s="170" t="s">
        <v>95</v>
      </c>
      <c r="W35" s="170" t="s">
        <v>95</v>
      </c>
      <c r="X35" s="170" t="s">
        <v>94</v>
      </c>
      <c r="Y35" s="170" t="s">
        <v>93</v>
      </c>
      <c r="Z35" s="170" t="s">
        <v>92</v>
      </c>
      <c r="AA35" s="170" t="s">
        <v>91</v>
      </c>
      <c r="AB35" s="170" t="s">
        <v>91</v>
      </c>
      <c r="AC35" s="170" t="s">
        <v>96</v>
      </c>
      <c r="AD35" s="170" t="s">
        <v>97</v>
      </c>
      <c r="AE35" s="170" t="s">
        <v>98</v>
      </c>
      <c r="AF35" s="170" t="s">
        <v>99</v>
      </c>
      <c r="AG35" s="170" t="s">
        <v>99</v>
      </c>
      <c r="AH35" s="170" t="s">
        <v>101</v>
      </c>
      <c r="AI35" s="170" t="s">
        <v>102</v>
      </c>
      <c r="AJ35" s="170" t="s">
        <v>103</v>
      </c>
      <c r="AK35" s="170" t="s">
        <v>104</v>
      </c>
      <c r="AL35" s="170" t="s">
        <v>104</v>
      </c>
      <c r="AM35" s="170" t="s">
        <v>100</v>
      </c>
      <c r="AN35" s="170" t="s">
        <v>105</v>
      </c>
      <c r="AO35" s="202" t="s">
        <v>106</v>
      </c>
      <c r="AP35" s="202" t="s">
        <v>107</v>
      </c>
      <c r="AQ35" s="202" t="s">
        <v>107</v>
      </c>
      <c r="AR35" s="202" t="s">
        <v>108</v>
      </c>
      <c r="AS35" s="202" t="s">
        <v>109</v>
      </c>
      <c r="AT35" s="202" t="s">
        <v>110</v>
      </c>
      <c r="AU35" s="202" t="s">
        <v>111</v>
      </c>
      <c r="AV35" s="202" t="s">
        <v>111</v>
      </c>
      <c r="AW35" s="202" t="s">
        <v>112</v>
      </c>
      <c r="AX35" s="202" t="s">
        <v>113</v>
      </c>
      <c r="AY35" s="202" t="s">
        <v>114</v>
      </c>
      <c r="AZ35" s="202" t="s">
        <v>115</v>
      </c>
      <c r="BA35" s="202" t="s">
        <v>115</v>
      </c>
      <c r="BB35" s="202" t="s">
        <v>233</v>
      </c>
      <c r="BC35" s="202" t="s">
        <v>234</v>
      </c>
      <c r="BD35" s="202" t="s">
        <v>235</v>
      </c>
      <c r="BE35" s="202" t="s">
        <v>236</v>
      </c>
      <c r="BF35" s="202" t="s">
        <v>236</v>
      </c>
      <c r="BG35" s="202" t="s">
        <v>272</v>
      </c>
      <c r="BH35" s="202" t="s">
        <v>273</v>
      </c>
      <c r="BI35" s="202" t="s">
        <v>274</v>
      </c>
      <c r="BJ35" s="202" t="s">
        <v>275</v>
      </c>
      <c r="BK35" s="203" t="s">
        <v>275</v>
      </c>
    </row>
    <row r="36" spans="2:63" ht="16.2" x14ac:dyDescent="0.45">
      <c r="B36" s="731"/>
      <c r="C36" s="732"/>
      <c r="D36" s="171" t="s">
        <v>121</v>
      </c>
      <c r="E36" s="171" t="s">
        <v>122</v>
      </c>
      <c r="F36" s="171" t="s">
        <v>123</v>
      </c>
      <c r="G36" s="171" t="s">
        <v>124</v>
      </c>
      <c r="H36" s="171" t="s">
        <v>125</v>
      </c>
      <c r="I36" s="171" t="s">
        <v>129</v>
      </c>
      <c r="J36" s="171" t="s">
        <v>130</v>
      </c>
      <c r="K36" s="171" t="s">
        <v>131</v>
      </c>
      <c r="L36" s="171" t="s">
        <v>132</v>
      </c>
      <c r="M36" s="171" t="s">
        <v>133</v>
      </c>
      <c r="N36" s="171" t="s">
        <v>138</v>
      </c>
      <c r="O36" s="171" t="s">
        <v>139</v>
      </c>
      <c r="P36" s="171" t="s">
        <v>140</v>
      </c>
      <c r="Q36" s="171" t="s">
        <v>141</v>
      </c>
      <c r="R36" s="171" t="s">
        <v>142</v>
      </c>
      <c r="S36" s="171" t="s">
        <v>146</v>
      </c>
      <c r="T36" s="171" t="s">
        <v>147</v>
      </c>
      <c r="U36" s="171" t="s">
        <v>148</v>
      </c>
      <c r="V36" s="171" t="s">
        <v>149</v>
      </c>
      <c r="W36" s="171" t="s">
        <v>0</v>
      </c>
      <c r="X36" s="171" t="s">
        <v>40</v>
      </c>
      <c r="Y36" s="171" t="s">
        <v>41</v>
      </c>
      <c r="Z36" s="171" t="s">
        <v>42</v>
      </c>
      <c r="AA36" s="171" t="s">
        <v>43</v>
      </c>
      <c r="AB36" s="171" t="s">
        <v>6</v>
      </c>
      <c r="AC36" s="171" t="s">
        <v>206</v>
      </c>
      <c r="AD36" s="171" t="s">
        <v>211</v>
      </c>
      <c r="AE36" s="171" t="s">
        <v>213</v>
      </c>
      <c r="AF36" s="171" t="s">
        <v>215</v>
      </c>
      <c r="AG36" s="171" t="s">
        <v>231</v>
      </c>
      <c r="AH36" s="171" t="s">
        <v>243</v>
      </c>
      <c r="AI36" s="171" t="s">
        <v>247</v>
      </c>
      <c r="AJ36" s="171" t="s">
        <v>248</v>
      </c>
      <c r="AK36" s="171" t="s">
        <v>270</v>
      </c>
      <c r="AL36" s="171" t="s">
        <v>271</v>
      </c>
      <c r="AM36" s="171" t="s">
        <v>281</v>
      </c>
      <c r="AN36" s="171" t="s">
        <v>440</v>
      </c>
      <c r="AO36" s="204" t="s">
        <v>58</v>
      </c>
      <c r="AP36" s="204" t="s">
        <v>59</v>
      </c>
      <c r="AQ36" s="204" t="s">
        <v>216</v>
      </c>
      <c r="AR36" s="204" t="s">
        <v>60</v>
      </c>
      <c r="AS36" s="204" t="s">
        <v>61</v>
      </c>
      <c r="AT36" s="204" t="s">
        <v>62</v>
      </c>
      <c r="AU36" s="204" t="s">
        <v>63</v>
      </c>
      <c r="AV36" s="204" t="s">
        <v>217</v>
      </c>
      <c r="AW36" s="204" t="s">
        <v>64</v>
      </c>
      <c r="AX36" s="204" t="s">
        <v>65</v>
      </c>
      <c r="AY36" s="204" t="s">
        <v>66</v>
      </c>
      <c r="AZ36" s="204" t="s">
        <v>67</v>
      </c>
      <c r="BA36" s="204" t="s">
        <v>218</v>
      </c>
      <c r="BB36" s="204" t="s">
        <v>232</v>
      </c>
      <c r="BC36" s="204" t="s">
        <v>237</v>
      </c>
      <c r="BD36" s="204" t="s">
        <v>238</v>
      </c>
      <c r="BE36" s="204" t="s">
        <v>239</v>
      </c>
      <c r="BF36" s="204" t="s">
        <v>240</v>
      </c>
      <c r="BG36" s="204" t="s">
        <v>276</v>
      </c>
      <c r="BH36" s="204" t="s">
        <v>277</v>
      </c>
      <c r="BI36" s="204" t="s">
        <v>278</v>
      </c>
      <c r="BJ36" s="204" t="s">
        <v>279</v>
      </c>
      <c r="BK36" s="205" t="s">
        <v>280</v>
      </c>
    </row>
    <row r="37" spans="2:63" ht="16.2" x14ac:dyDescent="0.45">
      <c r="B37" s="729" t="s">
        <v>249</v>
      </c>
      <c r="C37" s="738"/>
      <c r="D37" s="2"/>
      <c r="E37" s="2"/>
      <c r="F37" s="2"/>
      <c r="G37" s="2"/>
      <c r="H37" s="54"/>
      <c r="I37" s="2"/>
      <c r="J37" s="2"/>
      <c r="K37" s="2"/>
      <c r="L37" s="2"/>
      <c r="M37" s="54"/>
      <c r="N37" s="2"/>
      <c r="O37" s="2"/>
      <c r="P37" s="2"/>
      <c r="Q37" s="2"/>
      <c r="R37" s="54"/>
      <c r="S37" s="2"/>
      <c r="T37" s="2"/>
      <c r="U37" s="2"/>
      <c r="V37" s="2"/>
      <c r="W37" s="54"/>
      <c r="X37" s="2"/>
      <c r="Y37" s="2"/>
      <c r="Z37" s="2"/>
      <c r="AA37" s="2"/>
      <c r="AB37" s="54"/>
      <c r="AC37" s="3"/>
      <c r="AD37" s="2"/>
      <c r="AE37" s="2"/>
      <c r="AF37" s="2"/>
      <c r="AG37" s="55"/>
      <c r="AH37" s="2"/>
      <c r="AI37" s="2"/>
      <c r="AJ37" s="2"/>
      <c r="AK37" s="2"/>
      <c r="AL37" s="55"/>
      <c r="AM37" s="2"/>
      <c r="AN37" s="2"/>
      <c r="AO37" s="2"/>
      <c r="AP37" s="2"/>
      <c r="AQ37" s="55"/>
      <c r="AR37" s="2"/>
      <c r="AS37" s="2"/>
      <c r="AT37" s="2"/>
      <c r="AU37" s="2"/>
      <c r="AV37" s="55"/>
      <c r="AW37" s="2"/>
      <c r="AX37" s="2"/>
      <c r="AY37" s="2"/>
      <c r="AZ37" s="2"/>
      <c r="BA37" s="55"/>
      <c r="BB37" s="192"/>
      <c r="BC37" s="192"/>
      <c r="BD37" s="192"/>
      <c r="BE37" s="192"/>
      <c r="BF37" s="55"/>
      <c r="BG37" s="192"/>
      <c r="BH37" s="192"/>
      <c r="BI37" s="192"/>
      <c r="BJ37" s="192"/>
      <c r="BK37" s="55"/>
    </row>
    <row r="38" spans="2:63" hidden="1" outlineLevel="1" x14ac:dyDescent="0.3">
      <c r="B38" s="714" t="s">
        <v>185</v>
      </c>
      <c r="C38" s="715"/>
      <c r="D38" s="63">
        <v>6092</v>
      </c>
      <c r="E38" s="63">
        <v>4993</v>
      </c>
      <c r="F38" s="63">
        <v>6227</v>
      </c>
      <c r="G38" s="63">
        <f>24498-F38-E38-D38</f>
        <v>7186</v>
      </c>
      <c r="H38" s="109">
        <f>SUM(D38:G38)</f>
        <v>24498</v>
      </c>
      <c r="I38" s="63">
        <v>9218</v>
      </c>
      <c r="J38" s="63">
        <v>9323</v>
      </c>
      <c r="K38" s="63">
        <v>10126</v>
      </c>
      <c r="L38" s="63">
        <f>38315-K38-J38-I38</f>
        <v>9648</v>
      </c>
      <c r="M38" s="109">
        <f t="shared" ref="M38:M44" si="45">SUM(I38:L38)</f>
        <v>38315</v>
      </c>
      <c r="N38" s="63">
        <v>17714</v>
      </c>
      <c r="O38" s="63">
        <v>13182</v>
      </c>
      <c r="P38" s="63">
        <v>12806</v>
      </c>
      <c r="Q38" s="63">
        <f>57512-P38-O38-N38</f>
        <v>13810</v>
      </c>
      <c r="R38" s="109">
        <f t="shared" ref="R38:R44" si="46">SUM(N38:Q38)</f>
        <v>57512</v>
      </c>
      <c r="S38" s="63">
        <v>20341</v>
      </c>
      <c r="T38" s="63">
        <v>14052</v>
      </c>
      <c r="U38" s="63">
        <v>14405</v>
      </c>
      <c r="V38" s="63">
        <f>62739-U38-T38-S38</f>
        <v>13941</v>
      </c>
      <c r="W38" s="109">
        <f t="shared" ref="W38:W44" si="47">SUM(S38:V38)</f>
        <v>62739</v>
      </c>
      <c r="X38" s="63">
        <v>20098</v>
      </c>
      <c r="Y38" s="63">
        <v>14310</v>
      </c>
      <c r="Z38" s="63">
        <v>14577</v>
      </c>
      <c r="AA38" s="63">
        <f>65232-Z38-Y38-X38</f>
        <v>16247</v>
      </c>
      <c r="AB38" s="109">
        <f t="shared" ref="AB38:AB44" si="48">SUM(X38:AA38)</f>
        <v>65232</v>
      </c>
      <c r="AC38" s="162">
        <v>30566</v>
      </c>
      <c r="AD38" s="162">
        <v>21316</v>
      </c>
      <c r="AE38" s="63">
        <v>20209</v>
      </c>
      <c r="AF38" s="63">
        <v>21773</v>
      </c>
      <c r="AG38" s="109">
        <f>SUM(AC38:AF38)</f>
        <v>93864</v>
      </c>
      <c r="AH38" s="63">
        <v>29325</v>
      </c>
      <c r="AI38" s="63">
        <v>19096</v>
      </c>
      <c r="AJ38" s="63">
        <v>17963</v>
      </c>
      <c r="AK38" s="63">
        <v>20229</v>
      </c>
      <c r="AL38" s="109">
        <f>SUM(AH38:AK38)</f>
        <v>86613</v>
      </c>
      <c r="AM38" s="63">
        <v>31968</v>
      </c>
      <c r="AN38" s="63">
        <v>21157</v>
      </c>
      <c r="AO38" s="63">
        <f>AL38/AL45*AO118</f>
        <v>18063.33657640779</v>
      </c>
      <c r="AP38" s="63">
        <f>AL38/AL45*AP118</f>
        <v>20382.908059302812</v>
      </c>
      <c r="AQ38" s="109">
        <f>SUM(AM38:AP38)</f>
        <v>91571.244635710609</v>
      </c>
      <c r="AR38" s="63">
        <f>AQ38/AQ45*AR118</f>
        <v>33868.280407394624</v>
      </c>
      <c r="AS38" s="63">
        <f>AQ38/AQ45*AS118</f>
        <v>24310.764241205201</v>
      </c>
      <c r="AT38" s="63">
        <f>AQ38/AQ45*AT118</f>
        <v>20843.12188982041</v>
      </c>
      <c r="AU38" s="63">
        <f>AQ38/AQ45*AU118</f>
        <v>22029.130330687869</v>
      </c>
      <c r="AV38" s="109">
        <f>SUM(AR38:AU38)</f>
        <v>101051.2968691081</v>
      </c>
      <c r="AW38" s="63">
        <f>AV38/AV45*AW118</f>
        <v>34470.492616150215</v>
      </c>
      <c r="AX38" s="63">
        <f>AV38/AV45*AX118</f>
        <v>22353.414228865528</v>
      </c>
      <c r="AY38" s="63">
        <f>AV38/AV45*AY118</f>
        <v>18997.754248934001</v>
      </c>
      <c r="AZ38" s="63">
        <f>AV38/AV45*AZ118</f>
        <v>22272.753884915728</v>
      </c>
      <c r="BA38" s="109">
        <f>SUM(AW38:AZ38)</f>
        <v>98094.414978865476</v>
      </c>
      <c r="BB38" s="63">
        <f>BA38/BA45*BB118</f>
        <v>34376.689740981616</v>
      </c>
      <c r="BC38" s="63">
        <f>BA38/BA45*BC118</f>
        <v>20024.393383376933</v>
      </c>
      <c r="BD38" s="63">
        <f>BA38/BA45*BD118</f>
        <v>17677.546330990386</v>
      </c>
      <c r="BE38" s="63">
        <f>BA38/BA45*BE118</f>
        <v>22599.827265138472</v>
      </c>
      <c r="BF38" s="109">
        <f>SUM(BB38:BE38)</f>
        <v>94678.456720487418</v>
      </c>
      <c r="BG38" s="63">
        <f>BF38/BF45*BG118</f>
        <v>32908.563754022289</v>
      </c>
      <c r="BH38" s="63">
        <f>BF38/BF45*BH118</f>
        <v>18672.624425769896</v>
      </c>
      <c r="BI38" s="63">
        <f>BF38/BF45*BI118</f>
        <v>16766.926418734038</v>
      </c>
      <c r="BJ38" s="63">
        <f>BF38/BF45*BJ118</f>
        <v>22140.994028165245</v>
      </c>
      <c r="BK38" s="109">
        <f>SUM(BG38:BJ38)</f>
        <v>90489.10862669145</v>
      </c>
    </row>
    <row r="39" spans="2:63" hidden="1" outlineLevel="1" x14ac:dyDescent="0.3">
      <c r="B39" s="714" t="s">
        <v>244</v>
      </c>
      <c r="C39" s="715"/>
      <c r="D39" s="63">
        <v>5024</v>
      </c>
      <c r="E39" s="63">
        <v>4050</v>
      </c>
      <c r="F39" s="63">
        <v>4160</v>
      </c>
      <c r="G39" s="63">
        <f>18692-F39-E39-D39</f>
        <v>5458</v>
      </c>
      <c r="H39" s="109">
        <f t="shared" ref="H39:H44" si="49">SUM(D39:G39)</f>
        <v>18692</v>
      </c>
      <c r="I39" s="63">
        <v>7256</v>
      </c>
      <c r="J39" s="63">
        <v>6027</v>
      </c>
      <c r="K39" s="63">
        <v>7098</v>
      </c>
      <c r="L39" s="64">
        <f>27778-K39-J39-I39</f>
        <v>7397</v>
      </c>
      <c r="M39" s="109">
        <f t="shared" si="45"/>
        <v>27778</v>
      </c>
      <c r="N39" s="63">
        <v>11256</v>
      </c>
      <c r="O39" s="63">
        <v>8807</v>
      </c>
      <c r="P39" s="63">
        <v>8237</v>
      </c>
      <c r="Q39" s="63">
        <f>36323-P39-O39-N39</f>
        <v>8023</v>
      </c>
      <c r="R39" s="109">
        <f t="shared" si="46"/>
        <v>36323</v>
      </c>
      <c r="S39" s="63">
        <v>12464</v>
      </c>
      <c r="T39" s="63">
        <v>9800</v>
      </c>
      <c r="U39" s="63">
        <v>7614</v>
      </c>
      <c r="V39" s="63">
        <f>37883-U39-T39-S39</f>
        <v>8005</v>
      </c>
      <c r="W39" s="109">
        <f t="shared" si="47"/>
        <v>37883</v>
      </c>
      <c r="X39" s="63">
        <v>13073</v>
      </c>
      <c r="Y39" s="63">
        <v>10230</v>
      </c>
      <c r="Z39" s="63">
        <v>8091</v>
      </c>
      <c r="AA39" s="63">
        <f>40929-Z39-Y39-X39</f>
        <v>9535</v>
      </c>
      <c r="AB39" s="109">
        <f t="shared" si="48"/>
        <v>40929</v>
      </c>
      <c r="AC39" s="162">
        <v>17214</v>
      </c>
      <c r="AD39" s="162">
        <v>12204</v>
      </c>
      <c r="AE39" s="63">
        <v>10342</v>
      </c>
      <c r="AF39" s="63">
        <v>10577</v>
      </c>
      <c r="AG39" s="109">
        <f>SUM(AC39:AF39)</f>
        <v>50337</v>
      </c>
      <c r="AH39" s="63">
        <v>17932</v>
      </c>
      <c r="AI39" s="63">
        <v>11535</v>
      </c>
      <c r="AJ39" s="63">
        <v>9643</v>
      </c>
      <c r="AK39" s="63">
        <v>10842</v>
      </c>
      <c r="AL39" s="109">
        <f>SUM(AH39:AK39)</f>
        <v>49952</v>
      </c>
      <c r="AM39" s="63">
        <v>18521</v>
      </c>
      <c r="AN39" s="63">
        <v>12733</v>
      </c>
      <c r="AO39" s="63">
        <f>AL39/AL45*AO118</f>
        <v>10417.602307560319</v>
      </c>
      <c r="AP39" s="63">
        <f>AL39/AL45*AP118</f>
        <v>11755.360319793728</v>
      </c>
      <c r="AQ39" s="109">
        <f>SUM(AM39:AP39)</f>
        <v>53426.962627354042</v>
      </c>
      <c r="AR39" s="63">
        <f>AQ39/AQ45*AR118</f>
        <v>19760.34462321773</v>
      </c>
      <c r="AS39" s="63">
        <f>AQ39/AQ45*AS118</f>
        <v>14184.041046120767</v>
      </c>
      <c r="AT39" s="63">
        <f>AQ39/AQ45*AT118</f>
        <v>12160.855721410042</v>
      </c>
      <c r="AU39" s="63">
        <f>AQ39/AQ45*AU118</f>
        <v>12852.828719025511</v>
      </c>
      <c r="AV39" s="109">
        <f>SUM(AR39:AU39)</f>
        <v>58958.070109774053</v>
      </c>
      <c r="AW39" s="63">
        <f>AV39/AV45*AW118</f>
        <v>20111.703494650763</v>
      </c>
      <c r="AX39" s="63">
        <f>AV39/AV45*AX118</f>
        <v>13042.031167649147</v>
      </c>
      <c r="AY39" s="63">
        <f>AV39/AV45*AY118</f>
        <v>11084.181615083457</v>
      </c>
      <c r="AZ39" s="63">
        <f>AV39/AV45*AZ118</f>
        <v>12994.970136657821</v>
      </c>
      <c r="BA39" s="109">
        <f>SUM(AW39:AZ39)</f>
        <v>57232.88641404119</v>
      </c>
      <c r="BB39" s="63">
        <f>BA39/BA45*BB118</f>
        <v>20056.974494014063</v>
      </c>
      <c r="BC39" s="63">
        <f>BA39/BA45*BC118</f>
        <v>11683.171078269934</v>
      </c>
      <c r="BD39" s="63">
        <f>BA39/BA45*BD118</f>
        <v>10313.910342994584</v>
      </c>
      <c r="BE39" s="63">
        <f>BA39/BA45*BE118</f>
        <v>13185.800100049499</v>
      </c>
      <c r="BF39" s="109">
        <f>SUM(BB39:BE39)</f>
        <v>55239.856015328078</v>
      </c>
      <c r="BG39" s="63">
        <f>BF39/BF45*BG118</f>
        <v>19200.400876940668</v>
      </c>
      <c r="BH39" s="63">
        <f>BF39/BF45*BH118</f>
        <v>10894.485614113601</v>
      </c>
      <c r="BI39" s="63">
        <f>BF39/BF45*BI118</f>
        <v>9782.6119401674641</v>
      </c>
      <c r="BJ39" s="63">
        <f>BF39/BF45*BJ118</f>
        <v>12918.095251202258</v>
      </c>
      <c r="BK39" s="109">
        <f>SUM(BG39:BJ39)</f>
        <v>52795.593682423991</v>
      </c>
    </row>
    <row r="40" spans="2:63" s="160" customFormat="1" hidden="1" outlineLevel="1" x14ac:dyDescent="0.3">
      <c r="B40" s="714" t="s">
        <v>207</v>
      </c>
      <c r="C40" s="715"/>
      <c r="D40" s="63"/>
      <c r="E40" s="63"/>
      <c r="F40" s="63"/>
      <c r="G40" s="63"/>
      <c r="H40" s="109"/>
      <c r="I40" s="63"/>
      <c r="J40" s="63"/>
      <c r="K40" s="63"/>
      <c r="L40" s="64"/>
      <c r="M40" s="109"/>
      <c r="N40" s="63"/>
      <c r="O40" s="63"/>
      <c r="P40" s="63"/>
      <c r="Q40" s="63"/>
      <c r="R40" s="109"/>
      <c r="S40" s="63"/>
      <c r="T40" s="63"/>
      <c r="U40" s="63"/>
      <c r="V40" s="63"/>
      <c r="W40" s="109"/>
      <c r="X40" s="63"/>
      <c r="Y40" s="63"/>
      <c r="Z40" s="63"/>
      <c r="AA40" s="63"/>
      <c r="AB40" s="109"/>
      <c r="AC40" s="162">
        <v>16144</v>
      </c>
      <c r="AD40" s="162">
        <v>16823</v>
      </c>
      <c r="AE40" s="63">
        <v>13230</v>
      </c>
      <c r="AF40" s="63">
        <v>12518</v>
      </c>
      <c r="AG40" s="109">
        <f>SUM(AC40:AF40)</f>
        <v>58715</v>
      </c>
      <c r="AH40" s="63">
        <v>18373</v>
      </c>
      <c r="AI40" s="63">
        <v>12486</v>
      </c>
      <c r="AJ40" s="63">
        <v>8848</v>
      </c>
      <c r="AK40" s="63">
        <v>8785</v>
      </c>
      <c r="AL40" s="109">
        <f>SUM(AH40:AK40)</f>
        <v>48492</v>
      </c>
      <c r="AM40" s="63">
        <v>16233</v>
      </c>
      <c r="AN40" s="63">
        <v>10726</v>
      </c>
      <c r="AO40" s="63">
        <f>AL40/AL45*AO118</f>
        <v>10113.116013337103</v>
      </c>
      <c r="AP40" s="63">
        <f>AL40/AL45*AP118</f>
        <v>11411.773955546072</v>
      </c>
      <c r="AQ40" s="109">
        <f>SUM(AM40:AP40)</f>
        <v>48483.889968883173</v>
      </c>
      <c r="AR40" s="63">
        <f>AQ40/AQ45*AR118</f>
        <v>17932.113811927331</v>
      </c>
      <c r="AS40" s="63">
        <f>AQ40/AQ45*AS118</f>
        <v>12871.730893459924</v>
      </c>
      <c r="AT40" s="63">
        <f>AQ40/AQ45*AT118</f>
        <v>11035.731056558998</v>
      </c>
      <c r="AU40" s="63">
        <f>AQ40/AQ45*AU118</f>
        <v>11663.682581930752</v>
      </c>
      <c r="AV40" s="109">
        <f>SUM(AR40:AU40)</f>
        <v>53503.258343877009</v>
      </c>
      <c r="AW40" s="63">
        <f>AV40/AV45*AW118</f>
        <v>18250.96489431</v>
      </c>
      <c r="AX40" s="63">
        <f>AV40/AV45*AX118</f>
        <v>11835.379984324634</v>
      </c>
      <c r="AY40" s="63">
        <f>AV40/AV45*AY118</f>
        <v>10058.671041607724</v>
      </c>
      <c r="AZ40" s="63">
        <f>AV40/AV45*AZ118</f>
        <v>11792.673048796214</v>
      </c>
      <c r="BA40" s="109">
        <f>SUM(AW40:AZ40)</f>
        <v>51937.688969038572</v>
      </c>
      <c r="BB40" s="63">
        <f>BA40/BA45*BB118</f>
        <v>18201.299431133957</v>
      </c>
      <c r="BC40" s="63">
        <f>BA40/BA45*BC118</f>
        <v>10602.241886692311</v>
      </c>
      <c r="BD40" s="63">
        <f>BA40/BA45*BD118</f>
        <v>9359.6654128836981</v>
      </c>
      <c r="BE40" s="63">
        <f>BA40/BA45*BE118</f>
        <v>11965.847387984853</v>
      </c>
      <c r="BF40" s="109">
        <f>SUM(BB40:BE40)</f>
        <v>50129.054118694818</v>
      </c>
      <c r="BG40" s="63">
        <f>BF40/BF45*BG118</f>
        <v>17423.976166659777</v>
      </c>
      <c r="BH40" s="63">
        <f>BF40/BF45*BH118</f>
        <v>9886.5257504237761</v>
      </c>
      <c r="BI40" s="63">
        <f>BF40/BF45*BI118</f>
        <v>8877.5228384876591</v>
      </c>
      <c r="BJ40" s="63">
        <f>BF40/BF45*BJ118</f>
        <v>11722.910642241406</v>
      </c>
      <c r="BK40" s="109">
        <f>SUM(BG40:BJ40)</f>
        <v>47910.935397812616</v>
      </c>
    </row>
    <row r="41" spans="2:63" hidden="1" outlineLevel="1" x14ac:dyDescent="0.3">
      <c r="B41" s="714" t="s">
        <v>186</v>
      </c>
      <c r="C41" s="715"/>
      <c r="D41" s="63">
        <v>783</v>
      </c>
      <c r="E41" s="63">
        <v>887</v>
      </c>
      <c r="F41" s="63">
        <v>910</v>
      </c>
      <c r="G41" s="63">
        <f>3981-F41-E41-D41</f>
        <v>1401</v>
      </c>
      <c r="H41" s="109">
        <f t="shared" si="49"/>
        <v>3981</v>
      </c>
      <c r="I41" s="63">
        <v>1433</v>
      </c>
      <c r="J41" s="63">
        <v>1383</v>
      </c>
      <c r="K41" s="63">
        <v>1510</v>
      </c>
      <c r="L41" s="63">
        <f>5437-K41-J41-I41</f>
        <v>1111</v>
      </c>
      <c r="M41" s="109">
        <f t="shared" si="45"/>
        <v>5437</v>
      </c>
      <c r="N41" s="63">
        <v>4080</v>
      </c>
      <c r="O41" s="63">
        <v>7637</v>
      </c>
      <c r="P41" s="63">
        <v>5389</v>
      </c>
      <c r="Q41" s="63">
        <f>22533-P41-O41-N41</f>
        <v>5427</v>
      </c>
      <c r="R41" s="109">
        <f t="shared" si="46"/>
        <v>22533</v>
      </c>
      <c r="S41" s="63">
        <v>6830</v>
      </c>
      <c r="T41" s="63">
        <v>8213</v>
      </c>
      <c r="U41" s="63">
        <v>4641</v>
      </c>
      <c r="V41" s="63">
        <f>25417-U41-T41-S41</f>
        <v>5733</v>
      </c>
      <c r="W41" s="109">
        <f t="shared" si="47"/>
        <v>25417</v>
      </c>
      <c r="X41" s="63">
        <v>8844</v>
      </c>
      <c r="Y41" s="63">
        <v>9289</v>
      </c>
      <c r="Z41" s="63">
        <v>5935</v>
      </c>
      <c r="AA41" s="63">
        <f>29846-Z41-Y41-X41</f>
        <v>5778</v>
      </c>
      <c r="AB41" s="109">
        <f t="shared" si="48"/>
        <v>29846</v>
      </c>
      <c r="AC41" s="162">
        <v>5448</v>
      </c>
      <c r="AD41" s="162">
        <v>3457</v>
      </c>
      <c r="AE41" s="63">
        <v>2872</v>
      </c>
      <c r="AF41" s="63">
        <v>3929</v>
      </c>
      <c r="AG41" s="109">
        <f>SUM(AC41:AF41)</f>
        <v>15706</v>
      </c>
      <c r="AH41" s="63">
        <v>4794</v>
      </c>
      <c r="AI41" s="63">
        <v>4281</v>
      </c>
      <c r="AJ41" s="63">
        <v>3529</v>
      </c>
      <c r="AK41" s="63">
        <v>4324</v>
      </c>
      <c r="AL41" s="109">
        <f>SUM(AH41:AK41)</f>
        <v>16928</v>
      </c>
      <c r="AM41" s="63">
        <v>5766</v>
      </c>
      <c r="AN41" s="63">
        <v>4485</v>
      </c>
      <c r="AO41" s="63">
        <f>AL41/AL45*AO118</f>
        <v>3530.3725949387626</v>
      </c>
      <c r="AP41" s="63">
        <f>AL41/AL45*AP118</f>
        <v>3983.719160263217</v>
      </c>
      <c r="AQ41" s="109">
        <f>SUM(AM41:AP41)</f>
        <v>17765.091755201978</v>
      </c>
      <c r="AR41" s="63">
        <f>AQ41/AQ45*AR118</f>
        <v>6570.5463698987087</v>
      </c>
      <c r="AS41" s="63">
        <f>AQ41/AQ45*AS118</f>
        <v>4716.3600222123605</v>
      </c>
      <c r="AT41" s="63">
        <f>AQ41/AQ45*AT118</f>
        <v>4043.627170413255</v>
      </c>
      <c r="AU41" s="63">
        <f>AQ41/AQ45*AU118</f>
        <v>4273.7163087478211</v>
      </c>
      <c r="AV41" s="109">
        <f>SUM(AR41:AU41)</f>
        <v>19604.249871272146</v>
      </c>
      <c r="AW41" s="63">
        <f>AV41/AV45*AW118</f>
        <v>6687.3773159801585</v>
      </c>
      <c r="AX41" s="63">
        <f>AV41/AV45*AX118</f>
        <v>4336.6283422008873</v>
      </c>
      <c r="AY41" s="63">
        <f>AV41/AV45*AY118</f>
        <v>3685.6204010082329</v>
      </c>
      <c r="AZ41" s="63">
        <f>AV41/AV45*AZ118</f>
        <v>4320.9799973850568</v>
      </c>
      <c r="BA41" s="109">
        <f>SUM(AW41:AZ41)</f>
        <v>19030.606056574336</v>
      </c>
      <c r="BB41" s="63">
        <f>BA41/BA45*BB118</f>
        <v>6669.1792813143493</v>
      </c>
      <c r="BC41" s="63">
        <f>BA41/BA45*BC118</f>
        <v>3884.7914234773034</v>
      </c>
      <c r="BD41" s="63">
        <f>BA41/BA45*BD118</f>
        <v>3429.4961679969228</v>
      </c>
      <c r="BE41" s="63">
        <f>BA41/BA45*BE118</f>
        <v>4384.4331985887366</v>
      </c>
      <c r="BF41" s="109">
        <f>SUM(BB41:BE41)</f>
        <v>18367.900071377313</v>
      </c>
      <c r="BG41" s="63">
        <f>BF41/BF45*BG118</f>
        <v>6384.3585062960983</v>
      </c>
      <c r="BH41" s="63">
        <f>BF41/BF45*BH118</f>
        <v>3622.5442556108337</v>
      </c>
      <c r="BI41" s="63">
        <f>BF41/BF45*BI118</f>
        <v>3252.8332170923622</v>
      </c>
      <c r="BJ41" s="63">
        <f>BF41/BF45*BJ118</f>
        <v>4295.4181962526545</v>
      </c>
      <c r="BK41" s="109">
        <f>SUM(BG41:BJ41)</f>
        <v>17555.154175251948</v>
      </c>
    </row>
    <row r="42" spans="2:63" ht="16.2" hidden="1" outlineLevel="1" x14ac:dyDescent="0.45">
      <c r="B42" s="714" t="s">
        <v>192</v>
      </c>
      <c r="C42" s="715"/>
      <c r="D42" s="255">
        <v>0</v>
      </c>
      <c r="E42" s="255">
        <v>0</v>
      </c>
      <c r="F42" s="255">
        <v>0</v>
      </c>
      <c r="G42" s="255">
        <v>0</v>
      </c>
      <c r="H42" s="256">
        <v>0</v>
      </c>
      <c r="I42" s="255">
        <v>0</v>
      </c>
      <c r="J42" s="255">
        <v>0</v>
      </c>
      <c r="K42" s="255">
        <v>0</v>
      </c>
      <c r="L42" s="255">
        <v>0</v>
      </c>
      <c r="M42" s="256"/>
      <c r="N42" s="255">
        <v>3550</v>
      </c>
      <c r="O42" s="255">
        <v>2645</v>
      </c>
      <c r="P42" s="255">
        <v>2009</v>
      </c>
      <c r="Q42" s="255">
        <f>10571-P42-O42-N42</f>
        <v>2367</v>
      </c>
      <c r="R42" s="256">
        <f t="shared" si="46"/>
        <v>10571</v>
      </c>
      <c r="S42" s="255">
        <v>4443</v>
      </c>
      <c r="T42" s="255">
        <v>3135</v>
      </c>
      <c r="U42" s="255">
        <v>2543</v>
      </c>
      <c r="V42" s="255">
        <f>13462-U42-T42-S42</f>
        <v>3341</v>
      </c>
      <c r="W42" s="256">
        <f t="shared" si="47"/>
        <v>13462</v>
      </c>
      <c r="X42" s="255">
        <v>4948</v>
      </c>
      <c r="Y42" s="255">
        <v>3963</v>
      </c>
      <c r="Z42" s="255">
        <v>2564</v>
      </c>
      <c r="AA42" s="255">
        <f>14982-Z42-Y42-X42</f>
        <v>3507</v>
      </c>
      <c r="AB42" s="256">
        <f t="shared" si="48"/>
        <v>14982</v>
      </c>
      <c r="AC42" s="257">
        <v>5227</v>
      </c>
      <c r="AD42" s="257">
        <v>4210</v>
      </c>
      <c r="AE42" s="255">
        <v>2952</v>
      </c>
      <c r="AF42" s="255">
        <v>2704</v>
      </c>
      <c r="AG42" s="256">
        <f>SUM(AC42:AF42)</f>
        <v>15093</v>
      </c>
      <c r="AH42" s="255">
        <v>5448</v>
      </c>
      <c r="AI42" s="255">
        <v>3159</v>
      </c>
      <c r="AJ42" s="255">
        <v>2375</v>
      </c>
      <c r="AK42" s="255">
        <v>2672</v>
      </c>
      <c r="AL42" s="256">
        <f>SUM(AH42:AK42)</f>
        <v>13654</v>
      </c>
      <c r="AM42" s="255">
        <v>5863</v>
      </c>
      <c r="AN42" s="255">
        <v>3795</v>
      </c>
      <c r="AO42" s="255">
        <f>AL42/AL45*AO118</f>
        <v>2847.5725077560173</v>
      </c>
      <c r="AP42" s="255">
        <f>AL42/AL45*AP118</f>
        <v>3213.2385050941612</v>
      </c>
      <c r="AQ42" s="256">
        <f>SUM(AM42:AP42)</f>
        <v>15718.811012850178</v>
      </c>
      <c r="AR42" s="255">
        <f>AQ42/AQ45*AR118</f>
        <v>5813.7147875616092</v>
      </c>
      <c r="AS42" s="255">
        <f>AQ42/AQ45*AS118</f>
        <v>4173.103797001756</v>
      </c>
      <c r="AT42" s="255">
        <f>AQ42/AQ45*AT118</f>
        <v>3577.8600062417422</v>
      </c>
      <c r="AU42" s="255">
        <f>AQ42/AQ45*AU118</f>
        <v>3781.4462151636035</v>
      </c>
      <c r="AV42" s="256">
        <f>SUM(AR42:AU42)</f>
        <v>17346.124805968713</v>
      </c>
      <c r="AW42" s="255">
        <f>AV42/AV45*AW118</f>
        <v>5917.0885042421933</v>
      </c>
      <c r="AX42" s="255">
        <f>AV42/AV45*AX118</f>
        <v>3837.1116954160934</v>
      </c>
      <c r="AY42" s="255">
        <f>AV42/AV45*AY118</f>
        <v>3261.0904208580509</v>
      </c>
      <c r="AZ42" s="255">
        <f>AV42/AV45*AZ118</f>
        <v>3823.2658128159133</v>
      </c>
      <c r="BA42" s="256">
        <f>SUM(AW42:AZ42)</f>
        <v>16838.556433332251</v>
      </c>
      <c r="BB42" s="255">
        <f>BA42/BA45*BB118</f>
        <v>5900.9866190586627</v>
      </c>
      <c r="BC42" s="255">
        <f>BA42/BA45*BC118</f>
        <v>3437.3198321421619</v>
      </c>
      <c r="BD42" s="255">
        <f>BA42/BA45*BD118</f>
        <v>3034.467982314377</v>
      </c>
      <c r="BE42" s="255">
        <f>BA42/BA45*BE118</f>
        <v>3879.4101261482065</v>
      </c>
      <c r="BF42" s="256">
        <f>SUM(BB42:BE42)</f>
        <v>16252.184559663408</v>
      </c>
      <c r="BG42" s="255">
        <f>BF42/BF45*BG118</f>
        <v>5648.973063669373</v>
      </c>
      <c r="BH42" s="255">
        <f>BF42/BF45*BH118</f>
        <v>3205.2797319754309</v>
      </c>
      <c r="BI42" s="255">
        <f>BF42/BF45*BI118</f>
        <v>2878.1540394140779</v>
      </c>
      <c r="BJ42" s="255">
        <f>BF42/BF45*BJ118</f>
        <v>3800.648360191125</v>
      </c>
      <c r="BK42" s="256">
        <f>SUM(BG42:BJ42)</f>
        <v>15533.055195250006</v>
      </c>
    </row>
    <row r="43" spans="2:63" ht="13.2" hidden="1" customHeight="1" outlineLevel="1" x14ac:dyDescent="0.3">
      <c r="B43" s="714" t="s">
        <v>187</v>
      </c>
      <c r="C43" s="715"/>
      <c r="D43" s="63">
        <v>1813</v>
      </c>
      <c r="E43" s="63">
        <v>1886</v>
      </c>
      <c r="F43" s="63">
        <v>1825</v>
      </c>
      <c r="G43" s="63">
        <f>8256-F43-E43-D43</f>
        <v>2732</v>
      </c>
      <c r="H43" s="109">
        <f t="shared" si="49"/>
        <v>8256</v>
      </c>
      <c r="I43" s="63">
        <v>4987</v>
      </c>
      <c r="J43" s="63">
        <v>4743</v>
      </c>
      <c r="K43" s="63">
        <v>6332</v>
      </c>
      <c r="L43" s="63">
        <f>22592-K43-J43-I43</f>
        <v>6530</v>
      </c>
      <c r="M43" s="109">
        <f t="shared" si="45"/>
        <v>22592</v>
      </c>
      <c r="N43" s="63">
        <v>3617</v>
      </c>
      <c r="O43" s="63">
        <v>2516</v>
      </c>
      <c r="P43" s="63">
        <v>2498</v>
      </c>
      <c r="Q43" s="63">
        <f>10741-P43-O43-N43</f>
        <v>2110</v>
      </c>
      <c r="R43" s="109">
        <f t="shared" si="46"/>
        <v>10741</v>
      </c>
      <c r="S43" s="63">
        <v>3993</v>
      </c>
      <c r="T43" s="63">
        <v>3162</v>
      </c>
      <c r="U43" s="63">
        <v>2046</v>
      </c>
      <c r="V43" s="63">
        <f>11181-U43-T43-S43</f>
        <v>1980</v>
      </c>
      <c r="W43" s="109">
        <f t="shared" si="47"/>
        <v>11181</v>
      </c>
      <c r="X43" s="63">
        <v>3633</v>
      </c>
      <c r="Y43" s="63">
        <v>2627</v>
      </c>
      <c r="Z43" s="63">
        <v>2161</v>
      </c>
      <c r="AA43" s="63">
        <f>10344-Z43-Y43-X43</f>
        <v>1923</v>
      </c>
      <c r="AB43" s="109">
        <f t="shared" si="48"/>
        <v>10344</v>
      </c>
      <c r="AC43" s="162"/>
      <c r="AD43" s="162"/>
      <c r="AE43" s="63"/>
      <c r="AF43" s="63"/>
      <c r="AG43" s="109"/>
      <c r="AH43" s="63"/>
      <c r="AI43" s="63"/>
      <c r="AJ43" s="63"/>
      <c r="AK43" s="63"/>
      <c r="AL43" s="109"/>
      <c r="AM43" s="63"/>
      <c r="AN43" s="63"/>
      <c r="AO43" s="63"/>
      <c r="AP43" s="63"/>
      <c r="AQ43" s="109"/>
      <c r="AR43" s="63"/>
      <c r="AS43" s="63"/>
      <c r="AT43" s="63"/>
      <c r="AU43" s="63"/>
      <c r="AV43" s="109"/>
      <c r="AW43" s="63"/>
      <c r="AX43" s="63"/>
      <c r="AY43" s="63"/>
      <c r="AZ43" s="63"/>
      <c r="BA43" s="109"/>
      <c r="BB43" s="63"/>
      <c r="BC43" s="63"/>
      <c r="BD43" s="63"/>
      <c r="BE43" s="63"/>
      <c r="BF43" s="109"/>
      <c r="BG43" s="63"/>
      <c r="BH43" s="63"/>
      <c r="BI43" s="63"/>
      <c r="BJ43" s="63"/>
      <c r="BK43" s="109"/>
    </row>
    <row r="44" spans="2:63" ht="13.2" hidden="1" customHeight="1" outlineLevel="1" x14ac:dyDescent="0.3">
      <c r="B44" s="714" t="s">
        <v>188</v>
      </c>
      <c r="C44" s="715"/>
      <c r="D44" s="63">
        <v>1971</v>
      </c>
      <c r="E44" s="63">
        <v>1683</v>
      </c>
      <c r="F44" s="63">
        <v>2578</v>
      </c>
      <c r="G44" s="63">
        <f>9798-F44-E44-D44</f>
        <v>3566</v>
      </c>
      <c r="H44" s="109">
        <f t="shared" si="49"/>
        <v>9798</v>
      </c>
      <c r="I44" s="63">
        <v>3847</v>
      </c>
      <c r="J44" s="63">
        <v>3191</v>
      </c>
      <c r="K44" s="63">
        <v>3505</v>
      </c>
      <c r="L44" s="63">
        <f>14127-K44-J44-I44</f>
        <v>3584</v>
      </c>
      <c r="M44" s="109">
        <f t="shared" si="45"/>
        <v>14127</v>
      </c>
      <c r="N44" s="63">
        <v>6116</v>
      </c>
      <c r="O44" s="63">
        <v>4399</v>
      </c>
      <c r="P44" s="63">
        <v>4084</v>
      </c>
      <c r="Q44" s="63">
        <f>18828-P44-O44-N44</f>
        <v>4229</v>
      </c>
      <c r="R44" s="109">
        <f t="shared" si="46"/>
        <v>18828</v>
      </c>
      <c r="S44" s="63">
        <v>6441</v>
      </c>
      <c r="T44" s="63">
        <v>5241</v>
      </c>
      <c r="U44" s="63">
        <v>4074</v>
      </c>
      <c r="V44" s="63">
        <f>20228-U44-T44-S44</f>
        <v>4472</v>
      </c>
      <c r="W44" s="109">
        <f t="shared" si="47"/>
        <v>20228</v>
      </c>
      <c r="X44" s="63">
        <v>6998</v>
      </c>
      <c r="Y44" s="63">
        <v>5227</v>
      </c>
      <c r="Z44" s="63">
        <v>4104</v>
      </c>
      <c r="AA44" s="63">
        <f>21462-Z44-Y44-X44</f>
        <v>5133</v>
      </c>
      <c r="AB44" s="109">
        <f t="shared" si="48"/>
        <v>21462</v>
      </c>
      <c r="AC44" s="162"/>
      <c r="AD44" s="162"/>
      <c r="AE44" s="63"/>
      <c r="AF44" s="63"/>
      <c r="AG44" s="109"/>
      <c r="AH44" s="63"/>
      <c r="AI44" s="63"/>
      <c r="AJ44" s="63"/>
      <c r="AK44" s="63"/>
      <c r="AL44" s="109"/>
      <c r="AM44" s="63"/>
      <c r="AN44" s="63"/>
      <c r="AO44" s="63"/>
      <c r="AP44" s="63"/>
      <c r="AQ44" s="109"/>
      <c r="AR44" s="63"/>
      <c r="AS44" s="63"/>
      <c r="AT44" s="63"/>
      <c r="AU44" s="63"/>
      <c r="AV44" s="109"/>
      <c r="AW44" s="63"/>
      <c r="AX44" s="63"/>
      <c r="AY44" s="63"/>
      <c r="AZ44" s="63"/>
      <c r="BA44" s="109"/>
      <c r="BB44" s="63"/>
      <c r="BC44" s="63"/>
      <c r="BD44" s="63"/>
      <c r="BE44" s="63"/>
      <c r="BF44" s="109"/>
      <c r="BG44" s="63"/>
      <c r="BH44" s="63"/>
      <c r="BI44" s="63"/>
      <c r="BJ44" s="63"/>
      <c r="BK44" s="109"/>
    </row>
    <row r="45" spans="2:63" collapsed="1" x14ac:dyDescent="0.3">
      <c r="B45" s="764" t="s">
        <v>183</v>
      </c>
      <c r="C45" s="765"/>
      <c r="D45" s="253">
        <f t="shared" ref="D45:AI45" si="50">SUM(D38:D44)</f>
        <v>15683</v>
      </c>
      <c r="E45" s="253">
        <f t="shared" si="50"/>
        <v>13499</v>
      </c>
      <c r="F45" s="253">
        <f t="shared" si="50"/>
        <v>15700</v>
      </c>
      <c r="G45" s="253">
        <f t="shared" si="50"/>
        <v>20343</v>
      </c>
      <c r="H45" s="254">
        <f t="shared" si="50"/>
        <v>65225</v>
      </c>
      <c r="I45" s="253">
        <f t="shared" si="50"/>
        <v>26741</v>
      </c>
      <c r="J45" s="253">
        <f t="shared" si="50"/>
        <v>24667</v>
      </c>
      <c r="K45" s="253">
        <f t="shared" si="50"/>
        <v>28571</v>
      </c>
      <c r="L45" s="253">
        <f t="shared" si="50"/>
        <v>28270</v>
      </c>
      <c r="M45" s="254">
        <f t="shared" si="50"/>
        <v>108249</v>
      </c>
      <c r="N45" s="253">
        <f t="shared" si="50"/>
        <v>46333</v>
      </c>
      <c r="O45" s="253">
        <f t="shared" si="50"/>
        <v>39186</v>
      </c>
      <c r="P45" s="253">
        <f t="shared" si="50"/>
        <v>35023</v>
      </c>
      <c r="Q45" s="253">
        <f t="shared" si="50"/>
        <v>35966</v>
      </c>
      <c r="R45" s="254">
        <f t="shared" si="50"/>
        <v>156508</v>
      </c>
      <c r="S45" s="253">
        <f t="shared" si="50"/>
        <v>54512</v>
      </c>
      <c r="T45" s="253">
        <f t="shared" si="50"/>
        <v>43603</v>
      </c>
      <c r="U45" s="253">
        <f t="shared" si="50"/>
        <v>35323</v>
      </c>
      <c r="V45" s="253">
        <f t="shared" si="50"/>
        <v>37472</v>
      </c>
      <c r="W45" s="254">
        <f t="shared" si="50"/>
        <v>170910</v>
      </c>
      <c r="X45" s="253">
        <f t="shared" si="50"/>
        <v>57594</v>
      </c>
      <c r="Y45" s="253">
        <f t="shared" si="50"/>
        <v>45646</v>
      </c>
      <c r="Z45" s="253">
        <f t="shared" si="50"/>
        <v>37432</v>
      </c>
      <c r="AA45" s="253">
        <f t="shared" si="50"/>
        <v>42123</v>
      </c>
      <c r="AB45" s="254">
        <f t="shared" si="50"/>
        <v>182795</v>
      </c>
      <c r="AC45" s="253">
        <f t="shared" si="50"/>
        <v>74599</v>
      </c>
      <c r="AD45" s="253">
        <f t="shared" si="50"/>
        <v>58010</v>
      </c>
      <c r="AE45" s="253">
        <f t="shared" si="50"/>
        <v>49605</v>
      </c>
      <c r="AF45" s="253">
        <f t="shared" si="50"/>
        <v>51501</v>
      </c>
      <c r="AG45" s="254">
        <f t="shared" si="50"/>
        <v>233715</v>
      </c>
      <c r="AH45" s="253">
        <f t="shared" si="50"/>
        <v>75872</v>
      </c>
      <c r="AI45" s="253">
        <f t="shared" si="50"/>
        <v>50557</v>
      </c>
      <c r="AJ45" s="253">
        <f t="shared" ref="AJ45:BA45" si="51">SUM(AJ38:AJ44)</f>
        <v>42358</v>
      </c>
      <c r="AK45" s="253">
        <f t="shared" si="51"/>
        <v>46852</v>
      </c>
      <c r="AL45" s="254">
        <f t="shared" si="51"/>
        <v>215639</v>
      </c>
      <c r="AM45" s="253">
        <f>SUM(AM38:AM42)</f>
        <v>78351</v>
      </c>
      <c r="AN45" s="253">
        <f t="shared" si="51"/>
        <v>52896</v>
      </c>
      <c r="AO45" s="253">
        <f t="shared" si="51"/>
        <v>44972</v>
      </c>
      <c r="AP45" s="253">
        <f t="shared" si="51"/>
        <v>50746.999999999985</v>
      </c>
      <c r="AQ45" s="254">
        <f t="shared" si="51"/>
        <v>226965.99999999997</v>
      </c>
      <c r="AR45" s="253">
        <f t="shared" si="51"/>
        <v>83945.000000000015</v>
      </c>
      <c r="AS45" s="253">
        <f t="shared" si="51"/>
        <v>60256.000000000007</v>
      </c>
      <c r="AT45" s="253">
        <f t="shared" si="51"/>
        <v>51661.195844444446</v>
      </c>
      <c r="AU45" s="253">
        <f t="shared" si="51"/>
        <v>54600.804155555554</v>
      </c>
      <c r="AV45" s="254">
        <f t="shared" si="51"/>
        <v>250463.00000000006</v>
      </c>
      <c r="AW45" s="253">
        <f t="shared" si="51"/>
        <v>85437.626825333326</v>
      </c>
      <c r="AX45" s="253">
        <f t="shared" si="51"/>
        <v>55404.565418456288</v>
      </c>
      <c r="AY45" s="253">
        <f t="shared" si="51"/>
        <v>47087.317727491471</v>
      </c>
      <c r="AZ45" s="253">
        <f t="shared" si="51"/>
        <v>55204.642880570733</v>
      </c>
      <c r="BA45" s="254">
        <f t="shared" si="51"/>
        <v>243134.1528518518</v>
      </c>
      <c r="BB45" s="253">
        <f t="shared" ref="BB45:BK45" si="52">SUM(BB38:BB44)</f>
        <v>85205.129566502656</v>
      </c>
      <c r="BC45" s="253">
        <f t="shared" si="52"/>
        <v>49631.917603958638</v>
      </c>
      <c r="BD45" s="253">
        <f t="shared" si="52"/>
        <v>43815.086237179959</v>
      </c>
      <c r="BE45" s="253">
        <f t="shared" si="52"/>
        <v>56015.318077909767</v>
      </c>
      <c r="BF45" s="254">
        <f t="shared" si="52"/>
        <v>234667.45148555105</v>
      </c>
      <c r="BG45" s="253">
        <f t="shared" si="52"/>
        <v>81566.272367588201</v>
      </c>
      <c r="BH45" s="253">
        <f t="shared" si="52"/>
        <v>46281.459777893535</v>
      </c>
      <c r="BI45" s="253">
        <f t="shared" si="52"/>
        <v>41558.048453895601</v>
      </c>
      <c r="BJ45" s="253">
        <f t="shared" si="52"/>
        <v>54878.066478052686</v>
      </c>
      <c r="BK45" s="254">
        <f t="shared" si="52"/>
        <v>224283.84707743002</v>
      </c>
    </row>
    <row r="46" spans="2:63" s="199" customFormat="1" x14ac:dyDescent="0.3">
      <c r="B46" s="383" t="s">
        <v>250</v>
      </c>
      <c r="C46" s="370"/>
      <c r="D46" s="386"/>
      <c r="E46" s="386"/>
      <c r="F46" s="386"/>
      <c r="G46" s="386"/>
      <c r="H46" s="387"/>
      <c r="I46" s="386"/>
      <c r="J46" s="386"/>
      <c r="K46" s="386"/>
      <c r="L46" s="386"/>
      <c r="M46" s="387"/>
      <c r="N46" s="386"/>
      <c r="O46" s="386"/>
      <c r="P46" s="386"/>
      <c r="Q46" s="386"/>
      <c r="R46" s="387"/>
      <c r="S46" s="388"/>
      <c r="T46" s="386"/>
      <c r="U46" s="386"/>
      <c r="V46" s="386"/>
      <c r="W46" s="387"/>
      <c r="X46" s="388"/>
      <c r="Y46" s="386"/>
      <c r="Z46" s="386"/>
      <c r="AA46" s="386"/>
      <c r="AB46" s="387"/>
      <c r="AC46" s="388"/>
      <c r="AD46" s="388"/>
      <c r="AE46" s="388"/>
      <c r="AF46" s="388"/>
      <c r="AG46" s="387"/>
      <c r="AH46" s="388"/>
      <c r="AI46" s="388"/>
      <c r="AJ46" s="388"/>
      <c r="AK46" s="388"/>
      <c r="AL46" s="387"/>
      <c r="AM46" s="388"/>
      <c r="AN46" s="388"/>
      <c r="AO46" s="388"/>
      <c r="AP46" s="388"/>
      <c r="AQ46" s="387"/>
      <c r="AR46" s="388"/>
      <c r="AS46" s="388"/>
      <c r="AT46" s="388"/>
      <c r="AU46" s="388"/>
      <c r="AV46" s="387"/>
      <c r="AW46" s="388"/>
      <c r="AX46" s="388"/>
      <c r="AY46" s="388"/>
      <c r="AZ46" s="388"/>
      <c r="BA46" s="387"/>
      <c r="BB46" s="388"/>
      <c r="BC46" s="388"/>
      <c r="BD46" s="388"/>
      <c r="BE46" s="388"/>
      <c r="BF46" s="387"/>
      <c r="BG46" s="388"/>
      <c r="BH46" s="388"/>
      <c r="BI46" s="388"/>
      <c r="BJ46" s="388"/>
      <c r="BK46" s="387"/>
    </row>
    <row r="47" spans="2:63" s="62" customFormat="1" hidden="1" outlineLevel="1" x14ac:dyDescent="0.3">
      <c r="B47" s="714" t="s">
        <v>252</v>
      </c>
      <c r="C47" s="715"/>
      <c r="D47" s="64">
        <v>5578</v>
      </c>
      <c r="E47" s="64">
        <v>5445</v>
      </c>
      <c r="F47" s="64">
        <v>5334</v>
      </c>
      <c r="G47" s="64">
        <f>25179-F47-E47-D47</f>
        <v>8822</v>
      </c>
      <c r="H47" s="109">
        <f>SUM(D47:G47)</f>
        <v>25179</v>
      </c>
      <c r="I47" s="64">
        <v>10468</v>
      </c>
      <c r="J47" s="64">
        <v>12298</v>
      </c>
      <c r="K47" s="64">
        <v>13311</v>
      </c>
      <c r="L47" s="64">
        <f>47057-K47-J47-I47</f>
        <v>10980</v>
      </c>
      <c r="M47" s="109">
        <f>SUM(I47:L47)</f>
        <v>47057</v>
      </c>
      <c r="N47" s="64">
        <v>23950</v>
      </c>
      <c r="O47" s="64">
        <v>22276</v>
      </c>
      <c r="P47" s="64">
        <v>15821</v>
      </c>
      <c r="Q47" s="64">
        <f>78692-P47-O47-N47</f>
        <v>16645</v>
      </c>
      <c r="R47" s="109">
        <f>SUM(N47:Q47)</f>
        <v>78692</v>
      </c>
      <c r="S47" s="64">
        <v>30660</v>
      </c>
      <c r="T47" s="64">
        <v>22955</v>
      </c>
      <c r="U47" s="64">
        <v>18154</v>
      </c>
      <c r="V47" s="64">
        <f>91279-U47-T47-S47</f>
        <v>19510</v>
      </c>
      <c r="W47" s="109">
        <f>SUM(S47:V47)</f>
        <v>91279</v>
      </c>
      <c r="X47" s="64">
        <v>32498</v>
      </c>
      <c r="Y47" s="64">
        <v>26064</v>
      </c>
      <c r="Z47" s="64">
        <v>19751</v>
      </c>
      <c r="AA47" s="64">
        <f>101991-Z47-Y47-X47</f>
        <v>23678</v>
      </c>
      <c r="AB47" s="109">
        <f>SUM(X47:AA47)</f>
        <v>101991</v>
      </c>
      <c r="AC47" s="64">
        <v>51182</v>
      </c>
      <c r="AD47" s="64">
        <v>40282</v>
      </c>
      <c r="AE47" s="64">
        <v>31368</v>
      </c>
      <c r="AF47" s="64">
        <v>32209</v>
      </c>
      <c r="AG47" s="109">
        <f>SUM(AC47:AF47)</f>
        <v>155041</v>
      </c>
      <c r="AH47" s="64">
        <v>51635</v>
      </c>
      <c r="AI47" s="64">
        <v>32857</v>
      </c>
      <c r="AJ47" s="64">
        <v>24048</v>
      </c>
      <c r="AK47" s="64">
        <v>28160</v>
      </c>
      <c r="AL47" s="109">
        <f>SUM(AH47:AK47)</f>
        <v>136700</v>
      </c>
      <c r="AM47" s="64">
        <v>54378</v>
      </c>
      <c r="AN47" s="64">
        <v>33249</v>
      </c>
      <c r="AO47" s="64">
        <f>AO48*AO51/1000</f>
        <v>26650.000000000004</v>
      </c>
      <c r="AP47" s="64">
        <f>AP48*AP51/1000</f>
        <v>31920.000000000004</v>
      </c>
      <c r="AQ47" s="109">
        <f>SUM(AM47:AP47)</f>
        <v>146197</v>
      </c>
      <c r="AR47" s="64">
        <f>AR48*AR51/1000</f>
        <v>59150.000000000007</v>
      </c>
      <c r="AS47" s="64">
        <f>AS48*AS51/1000</f>
        <v>39993.860740740747</v>
      </c>
      <c r="AT47" s="64">
        <f>AT48*AT51/1000</f>
        <v>31826.250000000004</v>
      </c>
      <c r="AU47" s="64">
        <f>AU48*AU51/1000</f>
        <v>33804.817268888888</v>
      </c>
      <c r="AV47" s="109">
        <f>SUM(AR47:AU47)</f>
        <v>164774.92800962966</v>
      </c>
      <c r="AW47" s="64">
        <f>AW48*AW51/1000</f>
        <v>59889.375000000007</v>
      </c>
      <c r="AX47" s="64">
        <f>AX48*AX51/1000</f>
        <v>33994.78162962963</v>
      </c>
      <c r="AY47" s="64">
        <f>AY48*AY51/1000</f>
        <v>26050.375000000004</v>
      </c>
      <c r="AZ47" s="64">
        <f>AZ48*AZ51/1000</f>
        <v>33093.400872954699</v>
      </c>
      <c r="BA47" s="109">
        <f>SUM(AW47:AZ47)</f>
        <v>153027.93250258433</v>
      </c>
      <c r="BB47" s="64">
        <f>BB48*BB51/1000</f>
        <v>58225.781250000007</v>
      </c>
      <c r="BC47" s="64">
        <f>BC48*BC51/1000</f>
        <v>26755.152208504798</v>
      </c>
      <c r="BD47" s="64">
        <f>BD48*BD51/1000</f>
        <v>21291.171875000004</v>
      </c>
      <c r="BE47" s="64">
        <f>BE48*BE51/1000</f>
        <v>32349.031617865727</v>
      </c>
      <c r="BF47" s="109">
        <f>SUM(BB47:BE47)</f>
        <v>138621.13695137054</v>
      </c>
      <c r="BG47" s="64">
        <f>BG48*BG51/1000</f>
        <v>53101.912500000006</v>
      </c>
      <c r="BH47" s="64">
        <f>BH48*BH51/1000</f>
        <v>21832.204202139917</v>
      </c>
      <c r="BI47" s="64">
        <f>BI48*BI51/1000</f>
        <v>17373.596250000002</v>
      </c>
      <c r="BJ47" s="64">
        <f>BJ48*BJ51/1000</f>
        <v>29502.316835493537</v>
      </c>
      <c r="BK47" s="109">
        <f>SUM(BG47:BJ47)</f>
        <v>121810.02978763347</v>
      </c>
    </row>
    <row r="48" spans="2:63" s="62" customFormat="1" hidden="1" outlineLevel="1" x14ac:dyDescent="0.3">
      <c r="B48" s="714" t="s">
        <v>190</v>
      </c>
      <c r="C48" s="715"/>
      <c r="D48" s="64">
        <v>8737</v>
      </c>
      <c r="E48" s="64">
        <v>8752</v>
      </c>
      <c r="F48" s="64">
        <v>8398</v>
      </c>
      <c r="G48" s="64">
        <f>39989-F48-E48-D48</f>
        <v>14102</v>
      </c>
      <c r="H48" s="109">
        <f>SUM(D48:G48)</f>
        <v>39989</v>
      </c>
      <c r="I48" s="64">
        <v>16235</v>
      </c>
      <c r="J48" s="64">
        <v>18647</v>
      </c>
      <c r="K48" s="64">
        <v>20338</v>
      </c>
      <c r="L48" s="64">
        <f>72293-K48-J48-I48</f>
        <v>17073</v>
      </c>
      <c r="M48" s="109">
        <f>SUM(I48:L48)</f>
        <v>72293</v>
      </c>
      <c r="N48" s="64">
        <v>37044</v>
      </c>
      <c r="O48" s="64">
        <v>35064</v>
      </c>
      <c r="P48" s="64">
        <v>26028</v>
      </c>
      <c r="Q48" s="64">
        <f>125046-P48-O48-N48</f>
        <v>26910</v>
      </c>
      <c r="R48" s="109">
        <f>SUM(N48:Q48)</f>
        <v>125046</v>
      </c>
      <c r="S48" s="64">
        <v>47789</v>
      </c>
      <c r="T48" s="64">
        <v>37430</v>
      </c>
      <c r="U48" s="64">
        <v>31241</v>
      </c>
      <c r="V48" s="64">
        <f>150257-U48-T48-S48</f>
        <v>33797</v>
      </c>
      <c r="W48" s="109">
        <f>SUM(S48:V48)</f>
        <v>150257</v>
      </c>
      <c r="X48" s="64">
        <v>51025</v>
      </c>
      <c r="Y48" s="64">
        <v>43719</v>
      </c>
      <c r="Z48" s="64">
        <v>35203</v>
      </c>
      <c r="AA48" s="64">
        <f>169219-Z48-Y48-X48</f>
        <v>39272</v>
      </c>
      <c r="AB48" s="109">
        <f>SUM(X48:AA48)</f>
        <v>169219</v>
      </c>
      <c r="AC48" s="124">
        <v>74468</v>
      </c>
      <c r="AD48" s="124">
        <v>61170</v>
      </c>
      <c r="AE48" s="64">
        <v>47534</v>
      </c>
      <c r="AF48" s="64">
        <v>48046</v>
      </c>
      <c r="AG48" s="109">
        <f>SUM(AC48:AF48)</f>
        <v>231218</v>
      </c>
      <c r="AH48" s="124">
        <v>74779</v>
      </c>
      <c r="AI48" s="124">
        <v>51193</v>
      </c>
      <c r="AJ48" s="64">
        <v>40399</v>
      </c>
      <c r="AK48" s="64">
        <v>45513</v>
      </c>
      <c r="AL48" s="109">
        <f>SUM(AH48:AK48)</f>
        <v>211884</v>
      </c>
      <c r="AM48" s="124">
        <v>78290</v>
      </c>
      <c r="AN48" s="124">
        <v>50763</v>
      </c>
      <c r="AO48" s="64">
        <f>AJ48*(1+AO50)</f>
        <v>41000.000000000007</v>
      </c>
      <c r="AP48" s="64">
        <f>AK48*(1+AP50)</f>
        <v>48000.000000000007</v>
      </c>
      <c r="AQ48" s="109">
        <f>SUM(AM48:AP48)</f>
        <v>218053</v>
      </c>
      <c r="AR48" s="124">
        <f>AM48*(1+AR50)</f>
        <v>84500.000000000015</v>
      </c>
      <c r="AS48" s="124">
        <f>AN48*(1+AS50)</f>
        <v>59250.164060356656</v>
      </c>
      <c r="AT48" s="64">
        <f>AO48*(1+AT50)</f>
        <v>47150.000000000007</v>
      </c>
      <c r="AU48" s="64">
        <f>AP48*(1+AU50)</f>
        <v>50081.210768724282</v>
      </c>
      <c r="AV48" s="109">
        <f>SUM(AR48:AU48)</f>
        <v>240981.37482908095</v>
      </c>
      <c r="AW48" s="124">
        <f>AR48*(1+AW50)</f>
        <v>88725.000000000015</v>
      </c>
      <c r="AX48" s="124">
        <f>AS48*(1+AX50)</f>
        <v>50362.639451303156</v>
      </c>
      <c r="AY48" s="64">
        <f>AT48*(1+AY50)</f>
        <v>40077.500000000007</v>
      </c>
      <c r="AZ48" s="64">
        <f>AU48*(1+AZ50)</f>
        <v>50912.924419930299</v>
      </c>
      <c r="BA48" s="109">
        <f>SUM(AW48:AZ48)</f>
        <v>230078.06387123346</v>
      </c>
      <c r="BB48" s="124">
        <f>AW48*(1+BB50)</f>
        <v>93161.250000000015</v>
      </c>
      <c r="BC48" s="124">
        <f>AX48*(1+BC50)</f>
        <v>42808.243533607681</v>
      </c>
      <c r="BD48" s="64">
        <f>AY48*(1+BD50)</f>
        <v>34065.875000000007</v>
      </c>
      <c r="BE48" s="64">
        <f>AZ48*(1+BE50)</f>
        <v>51758.450588585161</v>
      </c>
      <c r="BF48" s="109">
        <f>SUM(BB48:BE48)</f>
        <v>221793.81912219286</v>
      </c>
      <c r="BG48" s="124">
        <f>BB48*(1+BG50)</f>
        <v>88503.187500000015</v>
      </c>
      <c r="BH48" s="124">
        <f>BC48*(1+BH50)</f>
        <v>36387.007003566527</v>
      </c>
      <c r="BI48" s="64">
        <f>BD48*(1+BI50)</f>
        <v>28955.993750000005</v>
      </c>
      <c r="BJ48" s="64">
        <f>BE48*(1+BJ50)</f>
        <v>49170.528059155899</v>
      </c>
      <c r="BK48" s="109">
        <f>SUM(BG48:BJ48)</f>
        <v>203016.71631272242</v>
      </c>
    </row>
    <row r="49" spans="2:64" s="122" customFormat="1" hidden="1" outlineLevel="1" x14ac:dyDescent="0.3">
      <c r="B49" s="756" t="s">
        <v>430</v>
      </c>
      <c r="C49" s="757"/>
      <c r="D49" s="566"/>
      <c r="E49" s="566">
        <f>E48/D48-1</f>
        <v>1.7168364427149196E-3</v>
      </c>
      <c r="F49" s="566">
        <f>F48/E48-1</f>
        <v>-4.0447897623400397E-2</v>
      </c>
      <c r="G49" s="566">
        <f>G48/F48-1</f>
        <v>0.67920933555608487</v>
      </c>
      <c r="H49" s="567"/>
      <c r="I49" s="566">
        <f>I48/G48-1</f>
        <v>0.15125514111473559</v>
      </c>
      <c r="J49" s="566">
        <f>J48/I48-1</f>
        <v>0.14856790883892823</v>
      </c>
      <c r="K49" s="566">
        <f>K48/J48-1</f>
        <v>9.0684828658765593E-2</v>
      </c>
      <c r="L49" s="566">
        <f>L48/K48-1</f>
        <v>-0.16053692595142099</v>
      </c>
      <c r="M49" s="567">
        <f>M48/H48-1</f>
        <v>0.8078221510915502</v>
      </c>
      <c r="N49" s="566">
        <f>N48/L48-1</f>
        <v>1.1697416974169741</v>
      </c>
      <c r="O49" s="566">
        <f>O48/N48-1</f>
        <v>-5.344995140913511E-2</v>
      </c>
      <c r="P49" s="566">
        <f>P48/O48-1</f>
        <v>-0.257700205338809</v>
      </c>
      <c r="Q49" s="566">
        <f>Q48/P48-1</f>
        <v>3.3886583679114901E-2</v>
      </c>
      <c r="R49" s="567">
        <f>R48/M48-1</f>
        <v>0.72971103702986451</v>
      </c>
      <c r="S49" s="566">
        <f>S48/Q48-1</f>
        <v>0.77588257153474549</v>
      </c>
      <c r="T49" s="566">
        <f>T48/S48-1</f>
        <v>-0.21676536441440497</v>
      </c>
      <c r="U49" s="566">
        <f>U48/T48-1</f>
        <v>-0.16534865081485439</v>
      </c>
      <c r="V49" s="566">
        <f>V48/U48-1</f>
        <v>8.1815562882110004E-2</v>
      </c>
      <c r="W49" s="567">
        <f>W48/R48-1</f>
        <v>0.20161380611934798</v>
      </c>
      <c r="X49" s="566">
        <f>X48/V48-1</f>
        <v>0.50974938604018116</v>
      </c>
      <c r="Y49" s="566">
        <f>Y48/X48-1</f>
        <v>-0.14318471337579619</v>
      </c>
      <c r="Z49" s="566">
        <f>Z48/Y48-1</f>
        <v>-0.1947894508108603</v>
      </c>
      <c r="AA49" s="566">
        <f>AA48/Z48-1</f>
        <v>0.11558673976649714</v>
      </c>
      <c r="AB49" s="567">
        <f>AB48/W48-1</f>
        <v>0.12619711560859059</v>
      </c>
      <c r="AC49" s="566">
        <f>AC48/AA48-1</f>
        <v>0.89621104094520265</v>
      </c>
      <c r="AD49" s="566">
        <f>AD48/AC48-1</f>
        <v>-0.17857334694096794</v>
      </c>
      <c r="AE49" s="568">
        <f>AE48/AD48-1</f>
        <v>-0.22291973189471959</v>
      </c>
      <c r="AF49" s="568">
        <f>AF48/AE48-1</f>
        <v>1.0771237430050151E-2</v>
      </c>
      <c r="AG49" s="569"/>
      <c r="AH49" s="568">
        <f>AH48/AF48-1</f>
        <v>0.55640427923240221</v>
      </c>
      <c r="AI49" s="568">
        <f>AI48/AG48-1</f>
        <v>-0.77859422709304638</v>
      </c>
      <c r="AJ49" s="568">
        <f>AJ48/AH48-1</f>
        <v>-0.45975474397892457</v>
      </c>
      <c r="AK49" s="568">
        <f>AK48/AI48-1</f>
        <v>-0.11095266931025727</v>
      </c>
      <c r="AL49" s="569"/>
      <c r="AM49" s="568">
        <f>AM48/AK48-1</f>
        <v>0.72016786412673306</v>
      </c>
      <c r="AN49" s="568">
        <f>AN48/AL48-1</f>
        <v>-0.76042079628475956</v>
      </c>
      <c r="AO49" s="568">
        <f>AO48/AN48-1</f>
        <v>-0.19232511868880864</v>
      </c>
      <c r="AP49" s="568">
        <f>AP48/AO48-1</f>
        <v>0.1707317073170731</v>
      </c>
      <c r="AQ49" s="569"/>
      <c r="AR49" s="568">
        <f>AR48/AP48-1</f>
        <v>0.76041666666666674</v>
      </c>
      <c r="AS49" s="568">
        <f>AS48/AR48-1</f>
        <v>-0.29881462650465507</v>
      </c>
      <c r="AT49" s="568">
        <f t="shared" ref="AT49" si="53">AT48/AS48-1</f>
        <v>-0.20422161275419448</v>
      </c>
      <c r="AU49" s="568">
        <f>AU48/AT48-1</f>
        <v>6.2167778764035564E-2</v>
      </c>
      <c r="AV49" s="569"/>
      <c r="AW49" s="568">
        <f>AW48/AU48-1</f>
        <v>0.77162250349204387</v>
      </c>
      <c r="AX49" s="568">
        <f>AX48/AW48-1</f>
        <v>-0.43237374526567318</v>
      </c>
      <c r="AY49" s="568">
        <f t="shared" ref="AY49" si="54">AY48/AX48-1</f>
        <v>-0.20422161275419448</v>
      </c>
      <c r="AZ49" s="568">
        <f>AZ48/AY48-1</f>
        <v>0.27036178454070958</v>
      </c>
      <c r="BA49" s="569"/>
      <c r="BB49" s="568">
        <f>BB48/AZ48-1</f>
        <v>0.82981533788169615</v>
      </c>
      <c r="BC49" s="568">
        <f>BC48/BB48-1</f>
        <v>-0.54049303188173536</v>
      </c>
      <c r="BD49" s="568">
        <f t="shared" ref="BD49" si="55">BD48/BC48-1</f>
        <v>-0.20422161275419437</v>
      </c>
      <c r="BE49" s="568">
        <f>BE48/BD48-1</f>
        <v>0.5193636032711666</v>
      </c>
      <c r="BF49" s="569"/>
      <c r="BG49" s="568">
        <f>BG48/BE48-1</f>
        <v>0.70992729677110078</v>
      </c>
      <c r="BH49" s="568">
        <f>BH48/BG48-1</f>
        <v>-0.58886218642050014</v>
      </c>
      <c r="BI49" s="568">
        <f t="shared" ref="BI49" si="56">BI48/BH48-1</f>
        <v>-0.20422161275419437</v>
      </c>
      <c r="BJ49" s="568">
        <f>BJ48/BI48-1</f>
        <v>0.69811226247953906</v>
      </c>
      <c r="BK49" s="569"/>
    </row>
    <row r="50" spans="2:64" s="122" customFormat="1" hidden="1" outlineLevel="1" x14ac:dyDescent="0.3">
      <c r="B50" s="762" t="s">
        <v>569</v>
      </c>
      <c r="C50" s="763"/>
      <c r="D50" s="566"/>
      <c r="E50" s="566"/>
      <c r="F50" s="566"/>
      <c r="G50" s="566"/>
      <c r="H50" s="567"/>
      <c r="I50" s="566">
        <f>I48/D48-1</f>
        <v>0.85818930983175012</v>
      </c>
      <c r="J50" s="566">
        <f t="shared" ref="J50" si="57">J48/E48-1</f>
        <v>1.1305987202925047</v>
      </c>
      <c r="K50" s="568">
        <f t="shared" ref="K50" si="58">K48/F48-1</f>
        <v>1.4217670874017623</v>
      </c>
      <c r="L50" s="568">
        <f t="shared" ref="L50" si="59">L48/G48-1</f>
        <v>0.21067933626435975</v>
      </c>
      <c r="M50" s="567"/>
      <c r="N50" s="566">
        <f>N48/I48-1</f>
        <v>1.2817369879889129</v>
      </c>
      <c r="O50" s="566">
        <f t="shared" ref="O50" si="60">O48/J48-1</f>
        <v>0.88040971738081186</v>
      </c>
      <c r="P50" s="568">
        <f t="shared" ref="P50" si="61">P48/K48-1</f>
        <v>0.27977185563968932</v>
      </c>
      <c r="Q50" s="568">
        <f t="shared" ref="Q50" si="62">Q48/L48-1</f>
        <v>0.57617290458618875</v>
      </c>
      <c r="R50" s="567"/>
      <c r="S50" s="566">
        <f>S48/N48-1</f>
        <v>0.29006046863189727</v>
      </c>
      <c r="T50" s="566">
        <f t="shared" ref="T50" si="63">T48/O48-1</f>
        <v>6.7476614191193329E-2</v>
      </c>
      <c r="U50" s="568">
        <f t="shared" ref="U50" si="64">U48/P48-1</f>
        <v>0.20028430920547113</v>
      </c>
      <c r="V50" s="568">
        <f t="shared" ref="V50" si="65">V48/Q48-1</f>
        <v>0.25592716462281673</v>
      </c>
      <c r="W50" s="567"/>
      <c r="X50" s="566">
        <f>X48/S48-1</f>
        <v>6.7714327564920795E-2</v>
      </c>
      <c r="Y50" s="566">
        <f t="shared" ref="Y50" si="66">Y48/T48-1</f>
        <v>0.16802030456852801</v>
      </c>
      <c r="Z50" s="568">
        <f t="shared" ref="Z50" si="67">Z48/U48-1</f>
        <v>0.12682052431100166</v>
      </c>
      <c r="AA50" s="568">
        <f t="shared" ref="AA50" si="68">AA48/V48-1</f>
        <v>0.16199662691954897</v>
      </c>
      <c r="AB50" s="567"/>
      <c r="AC50" s="568">
        <f>AC48/X48-1</f>
        <v>0.45944145026947569</v>
      </c>
      <c r="AD50" s="568">
        <f t="shared" ref="AD50:AF50" si="69">AD48/Y48-1</f>
        <v>0.39916283538049813</v>
      </c>
      <c r="AE50" s="568">
        <f t="shared" si="69"/>
        <v>0.35028264636536655</v>
      </c>
      <c r="AF50" s="568">
        <f t="shared" si="69"/>
        <v>0.22341617437359962</v>
      </c>
      <c r="AG50" s="569"/>
      <c r="AH50" s="568">
        <f>AH48/AC48-1</f>
        <v>4.1762904871891493E-3</v>
      </c>
      <c r="AI50" s="568">
        <f t="shared" ref="AI50" si="70">AI48/AD48-1</f>
        <v>-0.16310282818375021</v>
      </c>
      <c r="AJ50" s="568">
        <f t="shared" ref="AJ50" si="71">AJ48/AE48-1</f>
        <v>-0.15010308410821727</v>
      </c>
      <c r="AK50" s="568">
        <f t="shared" ref="AK50" si="72">AK48/AF48-1</f>
        <v>-5.2720309703201074E-2</v>
      </c>
      <c r="AL50" s="569">
        <f>AL48/AG48-1</f>
        <v>-8.361805741767514E-2</v>
      </c>
      <c r="AM50" s="568">
        <f>AM48/AH48-1</f>
        <v>4.6951684296393292E-2</v>
      </c>
      <c r="AN50" s="566">
        <f t="shared" ref="AN50" si="73">AN48/AI48-1</f>
        <v>-8.3995858808821877E-3</v>
      </c>
      <c r="AO50" s="570">
        <v>1.4876605856580793E-2</v>
      </c>
      <c r="AP50" s="570">
        <v>5.4643728165579164E-2</v>
      </c>
      <c r="AQ50" s="569"/>
      <c r="AR50" s="570">
        <v>7.9320475156469783E-2</v>
      </c>
      <c r="AS50" s="570">
        <v>0.1671919323199309</v>
      </c>
      <c r="AT50" s="570">
        <v>0.15</v>
      </c>
      <c r="AU50" s="570">
        <v>4.335855768175572E-2</v>
      </c>
      <c r="AV50" s="569"/>
      <c r="AW50" s="570">
        <v>0.05</v>
      </c>
      <c r="AX50" s="570">
        <v>-0.15</v>
      </c>
      <c r="AY50" s="570">
        <v>-0.15</v>
      </c>
      <c r="AZ50" s="570">
        <v>1.6607299193441706E-2</v>
      </c>
      <c r="BA50" s="569"/>
      <c r="BB50" s="570">
        <v>0.05</v>
      </c>
      <c r="BC50" s="570">
        <v>-0.15</v>
      </c>
      <c r="BD50" s="570">
        <v>-0.15</v>
      </c>
      <c r="BE50" s="570">
        <v>1.6607299193441706E-2</v>
      </c>
      <c r="BF50" s="569"/>
      <c r="BG50" s="570">
        <v>-0.05</v>
      </c>
      <c r="BH50" s="570">
        <v>-0.15</v>
      </c>
      <c r="BI50" s="570">
        <v>-0.15</v>
      </c>
      <c r="BJ50" s="570">
        <v>-0.05</v>
      </c>
      <c r="BK50" s="569"/>
    </row>
    <row r="51" spans="2:64" s="62" customFormat="1" hidden="1" outlineLevel="1" x14ac:dyDescent="0.3">
      <c r="B51" s="758" t="s">
        <v>259</v>
      </c>
      <c r="C51" s="759"/>
      <c r="D51" s="258">
        <f t="shared" ref="D51:AJ51" si="74">D47/D48*1000</f>
        <v>638.43424516424409</v>
      </c>
      <c r="E51" s="258">
        <f t="shared" si="74"/>
        <v>622.14351005484457</v>
      </c>
      <c r="F51" s="258">
        <f t="shared" si="74"/>
        <v>635.15122648249576</v>
      </c>
      <c r="G51" s="258">
        <f t="shared" si="74"/>
        <v>625.58502340093605</v>
      </c>
      <c r="H51" s="259">
        <f t="shared" si="74"/>
        <v>629.64815324214157</v>
      </c>
      <c r="I51" s="258">
        <f t="shared" si="74"/>
        <v>644.77979673544803</v>
      </c>
      <c r="J51" s="258">
        <f t="shared" si="74"/>
        <v>659.51627607658065</v>
      </c>
      <c r="K51" s="258">
        <f t="shared" si="74"/>
        <v>654.48913364145938</v>
      </c>
      <c r="L51" s="258">
        <f t="shared" si="74"/>
        <v>643.12071692145491</v>
      </c>
      <c r="M51" s="259">
        <f t="shared" si="74"/>
        <v>650.92055939025909</v>
      </c>
      <c r="N51" s="258">
        <f t="shared" si="74"/>
        <v>646.52845265090161</v>
      </c>
      <c r="O51" s="258">
        <f t="shared" si="74"/>
        <v>635.29545973077802</v>
      </c>
      <c r="P51" s="258">
        <f t="shared" si="74"/>
        <v>607.8453972644844</v>
      </c>
      <c r="Q51" s="258">
        <f t="shared" si="74"/>
        <v>618.54329245633585</v>
      </c>
      <c r="R51" s="259">
        <f t="shared" si="74"/>
        <v>629.30441597492131</v>
      </c>
      <c r="S51" s="258">
        <f t="shared" si="74"/>
        <v>641.57023582832869</v>
      </c>
      <c r="T51" s="258">
        <f t="shared" si="74"/>
        <v>613.27811915575739</v>
      </c>
      <c r="U51" s="258">
        <f t="shared" si="74"/>
        <v>581.09535546237316</v>
      </c>
      <c r="V51" s="258">
        <f t="shared" si="74"/>
        <v>577.27017190874926</v>
      </c>
      <c r="W51" s="259">
        <f t="shared" si="74"/>
        <v>607.48584092588032</v>
      </c>
      <c r="X51" s="258">
        <f t="shared" si="74"/>
        <v>636.90347868691822</v>
      </c>
      <c r="Y51" s="258">
        <f t="shared" si="74"/>
        <v>596.17100116654092</v>
      </c>
      <c r="Z51" s="258">
        <f t="shared" si="74"/>
        <v>561.06013692014892</v>
      </c>
      <c r="AA51" s="258">
        <f t="shared" si="74"/>
        <v>602.92320228152369</v>
      </c>
      <c r="AB51" s="259">
        <f t="shared" si="74"/>
        <v>602.71600706776428</v>
      </c>
      <c r="AC51" s="258">
        <f t="shared" si="74"/>
        <v>687.30192834506101</v>
      </c>
      <c r="AD51" s="258">
        <f t="shared" si="74"/>
        <v>658.52542095798594</v>
      </c>
      <c r="AE51" s="258">
        <f t="shared" si="74"/>
        <v>659.90659317541133</v>
      </c>
      <c r="AF51" s="260">
        <f t="shared" si="74"/>
        <v>670.378387378762</v>
      </c>
      <c r="AG51" s="259">
        <f t="shared" si="74"/>
        <v>670.54035585464794</v>
      </c>
      <c r="AH51" s="260">
        <f t="shared" si="74"/>
        <v>690.50134396020269</v>
      </c>
      <c r="AI51" s="260">
        <f t="shared" si="74"/>
        <v>641.82603090266241</v>
      </c>
      <c r="AJ51" s="260">
        <f t="shared" si="74"/>
        <v>595.26225896680603</v>
      </c>
      <c r="AK51" s="260">
        <f>AK47/AK48*1000</f>
        <v>618.72432052380645</v>
      </c>
      <c r="AL51" s="259">
        <f>AL47/AL48*1000</f>
        <v>645.16433520228043</v>
      </c>
      <c r="AM51" s="260">
        <f>AM47/AM48*1000</f>
        <v>694.57146506578101</v>
      </c>
      <c r="AN51" s="260">
        <f t="shared" ref="AN51" si="75">AN47/AN48*1000</f>
        <v>654.98492996867799</v>
      </c>
      <c r="AO51" s="261">
        <v>650</v>
      </c>
      <c r="AP51" s="261">
        <v>665</v>
      </c>
      <c r="AQ51" s="259">
        <f>AQ47/AQ48*1000</f>
        <v>670.46543730194026</v>
      </c>
      <c r="AR51" s="261">
        <v>700</v>
      </c>
      <c r="AS51" s="261">
        <v>675</v>
      </c>
      <c r="AT51" s="261">
        <v>675</v>
      </c>
      <c r="AU51" s="261">
        <v>675</v>
      </c>
      <c r="AV51" s="259">
        <f>AV47/AV48*1000</f>
        <v>683.76623764595229</v>
      </c>
      <c r="AW51" s="261">
        <v>675</v>
      </c>
      <c r="AX51" s="261">
        <v>675</v>
      </c>
      <c r="AY51" s="261">
        <v>650</v>
      </c>
      <c r="AZ51" s="261">
        <v>650</v>
      </c>
      <c r="BA51" s="259">
        <f>BA47/BA48*1000</f>
        <v>665.11309217304893</v>
      </c>
      <c r="BB51" s="261">
        <v>625</v>
      </c>
      <c r="BC51" s="261">
        <v>625</v>
      </c>
      <c r="BD51" s="261">
        <v>625</v>
      </c>
      <c r="BE51" s="261">
        <v>625</v>
      </c>
      <c r="BF51" s="259">
        <f>BF47/BF48*1000</f>
        <v>625</v>
      </c>
      <c r="BG51" s="261">
        <v>600</v>
      </c>
      <c r="BH51" s="261">
        <v>600</v>
      </c>
      <c r="BI51" s="261">
        <v>600</v>
      </c>
      <c r="BJ51" s="261">
        <v>600</v>
      </c>
      <c r="BK51" s="259">
        <f>BK47/BK48*1000</f>
        <v>600.00000000000011</v>
      </c>
    </row>
    <row r="52" spans="2:64" s="199" customFormat="1" hidden="1" outlineLevel="1" x14ac:dyDescent="0.3">
      <c r="B52" s="760" t="s">
        <v>570</v>
      </c>
      <c r="C52" s="761"/>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3"/>
      <c r="BJ52" s="303"/>
      <c r="BK52" s="374"/>
      <c r="BL52" s="137"/>
    </row>
    <row r="53" spans="2:64" s="199" customFormat="1" hidden="1" outlineLevel="1" x14ac:dyDescent="0.3">
      <c r="B53" s="636" t="s">
        <v>305</v>
      </c>
      <c r="C53" s="637"/>
      <c r="D53" s="330" t="s">
        <v>307</v>
      </c>
      <c r="E53" s="330"/>
      <c r="F53" s="330"/>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300"/>
      <c r="BL53" s="137"/>
    </row>
    <row r="54" spans="2:64" s="84" customFormat="1" hidden="1" outlineLevel="1" x14ac:dyDescent="0.3">
      <c r="B54" s="638" t="s">
        <v>306</v>
      </c>
      <c r="C54" s="640"/>
      <c r="D54" s="295"/>
      <c r="E54" s="295"/>
      <c r="F54" s="298" t="s">
        <v>308</v>
      </c>
      <c r="G54" s="298"/>
      <c r="H54" s="298"/>
      <c r="I54" s="298"/>
      <c r="J54" s="298"/>
      <c r="K54" s="298"/>
      <c r="L54" s="293" t="s">
        <v>316</v>
      </c>
      <c r="M54" s="293"/>
      <c r="N54" s="293"/>
      <c r="O54" s="293"/>
      <c r="P54" s="293"/>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301"/>
      <c r="BL54" s="296"/>
    </row>
    <row r="55" spans="2:64" s="84" customFormat="1" hidden="1" outlineLevel="1" x14ac:dyDescent="0.3">
      <c r="B55" s="638" t="s">
        <v>326</v>
      </c>
      <c r="C55" s="640"/>
      <c r="D55" s="295"/>
      <c r="E55" s="295"/>
      <c r="F55" s="295"/>
      <c r="G55" s="295"/>
      <c r="H55" s="295"/>
      <c r="I55" s="295"/>
      <c r="J55" s="295"/>
      <c r="K55" s="295"/>
      <c r="L55" s="295"/>
      <c r="M55" s="295"/>
      <c r="N55" s="295"/>
      <c r="O55" s="295"/>
      <c r="P55" s="295"/>
      <c r="Q55" s="348" t="s">
        <v>327</v>
      </c>
      <c r="R55" s="348"/>
      <c r="S55" s="348"/>
      <c r="T55" s="312"/>
      <c r="U55" s="312"/>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5"/>
      <c r="BE55" s="295"/>
      <c r="BF55" s="295"/>
      <c r="BG55" s="295"/>
      <c r="BH55" s="295"/>
      <c r="BI55" s="295"/>
      <c r="BJ55" s="295"/>
      <c r="BK55" s="301"/>
      <c r="BL55" s="296"/>
    </row>
    <row r="56" spans="2:64" s="84" customFormat="1" hidden="1" outlineLevel="1" x14ac:dyDescent="0.3">
      <c r="B56" s="638" t="s">
        <v>334</v>
      </c>
      <c r="C56" s="640"/>
      <c r="D56" s="295"/>
      <c r="E56" s="295"/>
      <c r="F56" s="295"/>
      <c r="G56" s="295"/>
      <c r="H56" s="295"/>
      <c r="I56" s="295"/>
      <c r="J56" s="295"/>
      <c r="K56" s="295"/>
      <c r="L56" s="295"/>
      <c r="M56" s="295"/>
      <c r="N56" s="295"/>
      <c r="O56" s="295"/>
      <c r="P56" s="295"/>
      <c r="Q56" s="295"/>
      <c r="R56" s="295"/>
      <c r="S56" s="295"/>
      <c r="T56" s="295"/>
      <c r="U56" s="295"/>
      <c r="V56" s="314" t="s">
        <v>333</v>
      </c>
      <c r="W56" s="314"/>
      <c r="X56" s="314"/>
      <c r="Y56" s="314"/>
      <c r="Z56" s="338" t="s">
        <v>348</v>
      </c>
      <c r="AA56" s="338"/>
      <c r="AB56" s="338"/>
      <c r="AC56" s="338"/>
      <c r="AD56" s="338"/>
      <c r="AE56" s="338"/>
      <c r="AF56" s="338"/>
      <c r="AG56" s="338"/>
      <c r="AH56" s="338"/>
      <c r="AI56" s="314" t="s">
        <v>373</v>
      </c>
      <c r="AJ56" s="314"/>
      <c r="AK56" s="314"/>
      <c r="AL56" s="314"/>
      <c r="AM56" s="314"/>
      <c r="AN56" s="295"/>
      <c r="AO56" s="295"/>
      <c r="AP56" s="295"/>
      <c r="AQ56" s="295"/>
      <c r="AR56" s="295"/>
      <c r="AS56" s="295"/>
      <c r="AT56" s="295"/>
      <c r="AU56" s="295"/>
      <c r="AV56" s="295"/>
      <c r="AW56" s="295"/>
      <c r="AX56" s="295"/>
      <c r="AY56" s="295"/>
      <c r="AZ56" s="295"/>
      <c r="BA56" s="295"/>
      <c r="BB56" s="295"/>
      <c r="BC56" s="295"/>
      <c r="BD56" s="295"/>
      <c r="BE56" s="295"/>
      <c r="BF56" s="295"/>
      <c r="BG56" s="295"/>
      <c r="BH56" s="295"/>
      <c r="BI56" s="295"/>
      <c r="BJ56" s="295"/>
      <c r="BK56" s="301"/>
      <c r="BL56" s="296"/>
    </row>
    <row r="57" spans="2:64" s="84" customFormat="1" hidden="1" outlineLevel="1" x14ac:dyDescent="0.3">
      <c r="B57" s="638" t="s">
        <v>335</v>
      </c>
      <c r="C57" s="640"/>
      <c r="D57" s="295"/>
      <c r="E57" s="295"/>
      <c r="F57" s="295"/>
      <c r="G57" s="295"/>
      <c r="H57" s="295"/>
      <c r="I57" s="295"/>
      <c r="J57" s="295"/>
      <c r="K57" s="295"/>
      <c r="L57" s="295"/>
      <c r="M57" s="295"/>
      <c r="N57" s="295"/>
      <c r="O57" s="295"/>
      <c r="P57" s="295"/>
      <c r="Q57" s="295"/>
      <c r="R57" s="295"/>
      <c r="S57" s="295"/>
      <c r="T57" s="295"/>
      <c r="U57" s="295"/>
      <c r="V57" s="344" t="s">
        <v>336</v>
      </c>
      <c r="W57" s="344"/>
      <c r="X57" s="344"/>
      <c r="Y57" s="344"/>
      <c r="Z57" s="344"/>
      <c r="AA57" s="295"/>
      <c r="AB57" s="295"/>
      <c r="AC57" s="295"/>
      <c r="AD57" s="295"/>
      <c r="AE57" s="295"/>
      <c r="AF57" s="295"/>
      <c r="AG57" s="295"/>
      <c r="AH57" s="295"/>
      <c r="AI57" s="295"/>
      <c r="AJ57" s="295"/>
      <c r="AK57" s="295"/>
      <c r="AL57" s="295"/>
      <c r="AM57" s="295"/>
      <c r="AN57" s="295"/>
      <c r="AO57" s="295"/>
      <c r="AP57" s="295"/>
      <c r="AQ57" s="295"/>
      <c r="AR57" s="295"/>
      <c r="AS57" s="295"/>
      <c r="AT57" s="295"/>
      <c r="AU57" s="295"/>
      <c r="AV57" s="295"/>
      <c r="AW57" s="295"/>
      <c r="AX57" s="295"/>
      <c r="AY57" s="295"/>
      <c r="AZ57" s="295"/>
      <c r="BA57" s="295"/>
      <c r="BB57" s="295"/>
      <c r="BC57" s="295"/>
      <c r="BD57" s="295"/>
      <c r="BE57" s="295"/>
      <c r="BF57" s="295"/>
      <c r="BG57" s="295"/>
      <c r="BH57" s="295"/>
      <c r="BI57" s="295"/>
      <c r="BJ57" s="295"/>
      <c r="BK57" s="301"/>
      <c r="BL57" s="296"/>
    </row>
    <row r="58" spans="2:64" s="84" customFormat="1" hidden="1" outlineLevel="1" x14ac:dyDescent="0.3">
      <c r="B58" s="638" t="s">
        <v>342</v>
      </c>
      <c r="C58" s="640"/>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355" t="s">
        <v>361</v>
      </c>
      <c r="AB58" s="355"/>
      <c r="AC58" s="355"/>
      <c r="AD58" s="355"/>
      <c r="AE58" s="355"/>
      <c r="AF58" s="365" t="s">
        <v>365</v>
      </c>
      <c r="AG58" s="365"/>
      <c r="AH58" s="365"/>
      <c r="AI58" s="365"/>
      <c r="AJ58" s="365"/>
      <c r="AK58" s="295"/>
      <c r="AL58" s="295"/>
      <c r="AM58" s="295"/>
      <c r="AN58" s="295"/>
      <c r="AO58" s="295"/>
      <c r="AP58" s="295"/>
      <c r="AQ58" s="295"/>
      <c r="AR58" s="295"/>
      <c r="AS58" s="295"/>
      <c r="AT58" s="295"/>
      <c r="AU58" s="295"/>
      <c r="AV58" s="295"/>
      <c r="AW58" s="295"/>
      <c r="AX58" s="295"/>
      <c r="AY58" s="295"/>
      <c r="AZ58" s="295"/>
      <c r="BA58" s="295"/>
      <c r="BB58" s="295"/>
      <c r="BC58" s="295"/>
      <c r="BD58" s="295"/>
      <c r="BE58" s="295"/>
      <c r="BF58" s="295"/>
      <c r="BG58" s="295"/>
      <c r="BH58" s="295"/>
      <c r="BI58" s="295"/>
      <c r="BJ58" s="295"/>
      <c r="BK58" s="301"/>
      <c r="BL58" s="296"/>
    </row>
    <row r="59" spans="2:64" s="84" customFormat="1" hidden="1" outlineLevel="1" x14ac:dyDescent="0.3">
      <c r="B59" s="500" t="s">
        <v>349</v>
      </c>
      <c r="C59" s="649"/>
      <c r="D59" s="650"/>
      <c r="E59" s="650"/>
      <c r="F59" s="650"/>
      <c r="G59" s="650"/>
      <c r="H59" s="650"/>
      <c r="I59" s="650"/>
      <c r="J59" s="650"/>
      <c r="K59" s="650"/>
      <c r="L59" s="650"/>
      <c r="M59" s="650"/>
      <c r="N59" s="650"/>
      <c r="O59" s="650"/>
      <c r="P59" s="650"/>
      <c r="Q59" s="650"/>
      <c r="R59" s="650"/>
      <c r="S59" s="650"/>
      <c r="T59" s="650"/>
      <c r="U59" s="650"/>
      <c r="V59" s="650"/>
      <c r="W59" s="650"/>
      <c r="X59" s="650"/>
      <c r="Y59" s="650"/>
      <c r="Z59" s="650"/>
      <c r="AA59" s="650"/>
      <c r="AB59" s="650"/>
      <c r="AC59" s="650"/>
      <c r="AD59" s="650"/>
      <c r="AE59" s="650"/>
      <c r="AF59" s="650"/>
      <c r="AG59" s="650"/>
      <c r="AH59" s="650"/>
      <c r="AI59" s="650"/>
      <c r="AJ59" s="650"/>
      <c r="AK59" s="651" t="s">
        <v>366</v>
      </c>
      <c r="AL59" s="651"/>
      <c r="AM59" s="651"/>
      <c r="AN59" s="651"/>
      <c r="AO59" s="651"/>
      <c r="AP59" s="652" t="s">
        <v>431</v>
      </c>
      <c r="AQ59" s="650"/>
      <c r="AR59" s="650"/>
      <c r="AS59" s="650"/>
      <c r="AT59" s="650"/>
      <c r="AU59" s="652" t="s">
        <v>571</v>
      </c>
      <c r="AV59" s="650"/>
      <c r="AW59" s="650"/>
      <c r="AX59" s="650"/>
      <c r="AY59" s="650"/>
      <c r="AZ59" s="652" t="s">
        <v>374</v>
      </c>
      <c r="BA59" s="650"/>
      <c r="BB59" s="650"/>
      <c r="BC59" s="650"/>
      <c r="BD59" s="650"/>
      <c r="BE59" s="652" t="s">
        <v>375</v>
      </c>
      <c r="BF59" s="650"/>
      <c r="BG59" s="650"/>
      <c r="BH59" s="650"/>
      <c r="BI59" s="650"/>
      <c r="BJ59" s="652" t="s">
        <v>376</v>
      </c>
      <c r="BK59" s="653"/>
      <c r="BL59" s="296"/>
    </row>
    <row r="60" spans="2:64" s="62" customFormat="1" collapsed="1" x14ac:dyDescent="0.3">
      <c r="B60" s="239" t="s">
        <v>251</v>
      </c>
      <c r="C60" s="236"/>
      <c r="D60" s="64"/>
      <c r="E60" s="64"/>
      <c r="F60" s="64"/>
      <c r="G60" s="64"/>
      <c r="H60" s="112"/>
      <c r="I60" s="64"/>
      <c r="J60" s="64"/>
      <c r="K60" s="64"/>
      <c r="L60" s="64"/>
      <c r="M60" s="112"/>
      <c r="N60" s="64"/>
      <c r="O60" s="64"/>
      <c r="P60" s="64"/>
      <c r="Q60" s="64"/>
      <c r="R60" s="112"/>
      <c r="S60" s="64"/>
      <c r="T60" s="64"/>
      <c r="U60" s="64"/>
      <c r="V60" s="64"/>
      <c r="W60" s="112"/>
      <c r="X60" s="64"/>
      <c r="Y60" s="64"/>
      <c r="Z60" s="64"/>
      <c r="AA60" s="64"/>
      <c r="AB60" s="112"/>
      <c r="AC60" s="64"/>
      <c r="AD60" s="64"/>
      <c r="AE60" s="64"/>
      <c r="AF60" s="124"/>
      <c r="AG60" s="112"/>
      <c r="AH60" s="124"/>
      <c r="AI60" s="124"/>
      <c r="AJ60" s="124"/>
      <c r="AK60" s="124"/>
      <c r="AL60" s="172"/>
      <c r="AM60" s="124"/>
      <c r="AN60" s="124"/>
      <c r="AO60" s="124"/>
      <c r="AP60" s="124"/>
      <c r="AQ60" s="172"/>
      <c r="AR60" s="124"/>
      <c r="AS60" s="124"/>
      <c r="AT60" s="124"/>
      <c r="AU60" s="124"/>
      <c r="AV60" s="172"/>
      <c r="AW60" s="124"/>
      <c r="AX60" s="124"/>
      <c r="AY60" s="124"/>
      <c r="AZ60" s="124"/>
      <c r="BA60" s="172"/>
      <c r="BB60" s="124"/>
      <c r="BC60" s="124"/>
      <c r="BD60" s="124"/>
      <c r="BE60" s="124"/>
      <c r="BF60" s="112"/>
      <c r="BG60" s="124"/>
      <c r="BH60" s="124"/>
      <c r="BI60" s="124"/>
      <c r="BJ60" s="124"/>
      <c r="BK60" s="112"/>
    </row>
    <row r="61" spans="2:64" s="62" customFormat="1" hidden="1" outlineLevel="1" x14ac:dyDescent="0.3">
      <c r="B61" s="714" t="s">
        <v>253</v>
      </c>
      <c r="C61" s="715"/>
      <c r="D61" s="64">
        <v>0</v>
      </c>
      <c r="E61" s="64">
        <v>0</v>
      </c>
      <c r="F61" s="64">
        <v>2166</v>
      </c>
      <c r="G61" s="64">
        <f>4958-F61-E61-D61</f>
        <v>2792</v>
      </c>
      <c r="H61" s="109">
        <f>SUM(D61:G61)</f>
        <v>4958</v>
      </c>
      <c r="I61" s="64">
        <v>4608</v>
      </c>
      <c r="J61" s="64">
        <v>2836</v>
      </c>
      <c r="K61" s="64">
        <v>6046</v>
      </c>
      <c r="L61" s="64">
        <f>20358-K61-J61-I61</f>
        <v>6868</v>
      </c>
      <c r="M61" s="109">
        <f>SUM(I61:L61)</f>
        <v>20358</v>
      </c>
      <c r="N61" s="64">
        <v>8769</v>
      </c>
      <c r="O61" s="64">
        <v>6264</v>
      </c>
      <c r="P61" s="64">
        <v>8779</v>
      </c>
      <c r="Q61" s="64">
        <f>30945-P61-O61-N61</f>
        <v>7133</v>
      </c>
      <c r="R61" s="109">
        <f>SUM(N61:Q61)</f>
        <v>30945</v>
      </c>
      <c r="S61" s="64">
        <v>10674</v>
      </c>
      <c r="T61" s="64">
        <v>8746</v>
      </c>
      <c r="U61" s="64">
        <v>6374</v>
      </c>
      <c r="V61" s="64">
        <f>31980-U61-T61-S61</f>
        <v>6186</v>
      </c>
      <c r="W61" s="109">
        <f>SUM(S61:V61)</f>
        <v>31980</v>
      </c>
      <c r="X61" s="64">
        <v>11468</v>
      </c>
      <c r="Y61" s="64">
        <v>7610</v>
      </c>
      <c r="Z61" s="64">
        <v>5889</v>
      </c>
      <c r="AA61" s="64">
        <f>30283-Z61-Y61-X61</f>
        <v>5316</v>
      </c>
      <c r="AB61" s="109">
        <f>SUM(X61:AA61)</f>
        <v>30283</v>
      </c>
      <c r="AC61" s="64">
        <v>8985</v>
      </c>
      <c r="AD61" s="64">
        <v>5428</v>
      </c>
      <c r="AE61" s="64">
        <v>4538</v>
      </c>
      <c r="AF61" s="64">
        <v>4276</v>
      </c>
      <c r="AG61" s="109">
        <f>SUM(AC61:AF61)</f>
        <v>23227</v>
      </c>
      <c r="AH61" s="64">
        <v>7084</v>
      </c>
      <c r="AI61" s="64">
        <v>4413</v>
      </c>
      <c r="AJ61" s="64">
        <v>4876</v>
      </c>
      <c r="AK61" s="64">
        <v>4255</v>
      </c>
      <c r="AL61" s="109">
        <f>SUM(AH61:AK61)</f>
        <v>20628</v>
      </c>
      <c r="AM61" s="64">
        <v>5533</v>
      </c>
      <c r="AN61" s="64">
        <v>3889</v>
      </c>
      <c r="AO61" s="64">
        <f>AO62*AO65/1000</f>
        <v>3697.5</v>
      </c>
      <c r="AP61" s="64">
        <f>AP62*AP65/1000</f>
        <v>3480</v>
      </c>
      <c r="AQ61" s="109">
        <f>SUM(AM61:AP61)</f>
        <v>16599.5</v>
      </c>
      <c r="AR61" s="64">
        <f>AR62*AR65/1000</f>
        <v>6090.0000000000009</v>
      </c>
      <c r="AS61" s="64">
        <f>AS62*AS65/1000</f>
        <v>3867.5</v>
      </c>
      <c r="AT61" s="64">
        <f>AT62*AT65/1000</f>
        <v>3674.125</v>
      </c>
      <c r="AU61" s="64">
        <f>AU62*AU65/1000</f>
        <v>3306.7125000000001</v>
      </c>
      <c r="AV61" s="109">
        <f>SUM(AR61:AU61)</f>
        <v>16938.337500000001</v>
      </c>
      <c r="AW61" s="64">
        <f>AW62*AW65/1000</f>
        <v>5446.3500000000013</v>
      </c>
      <c r="AX61" s="64">
        <f>AX62*AX65/1000</f>
        <v>3540.1275000000001</v>
      </c>
      <c r="AY61" s="64">
        <f>AY62*AY65/1000</f>
        <v>3363.1211250000001</v>
      </c>
      <c r="AZ61" s="64">
        <f>AZ62*AZ65/1000</f>
        <v>3026.8090125000003</v>
      </c>
      <c r="BA61" s="109">
        <f>SUM(AW61:AZ61)</f>
        <v>15376.4076375</v>
      </c>
      <c r="BB61" s="64">
        <f>BB62*BB65/1000</f>
        <v>5296.9157718750012</v>
      </c>
      <c r="BC61" s="64">
        <f>BC62*BC65/1000</f>
        <v>3442.9952517187508</v>
      </c>
      <c r="BD61" s="64">
        <f>BD62*BD65/1000</f>
        <v>3270.8454891328129</v>
      </c>
      <c r="BE61" s="64">
        <f>BE62*BE65/1000</f>
        <v>2943.7609402195317</v>
      </c>
      <c r="BF61" s="109">
        <f>SUM(BB61:BE61)</f>
        <v>14954.517452946096</v>
      </c>
      <c r="BG61" s="64">
        <f>BG62*BG65/1000</f>
        <v>5032.0699832812506</v>
      </c>
      <c r="BH61" s="64">
        <f>BH62*BH65/1000</f>
        <v>3270.8454891328129</v>
      </c>
      <c r="BI61" s="64">
        <f>BI62*BI65/1000</f>
        <v>3107.303214676172</v>
      </c>
      <c r="BJ61" s="64">
        <f>BJ62*BJ65/1000</f>
        <v>2796.5728932085549</v>
      </c>
      <c r="BK61" s="109">
        <f>SUM(BG61:BJ61)</f>
        <v>14206.791580298792</v>
      </c>
    </row>
    <row r="62" spans="2:64" s="62" customFormat="1" hidden="1" outlineLevel="1" x14ac:dyDescent="0.3">
      <c r="B62" s="714" t="s">
        <v>191</v>
      </c>
      <c r="C62" s="715"/>
      <c r="D62" s="64"/>
      <c r="E62" s="64">
        <v>0</v>
      </c>
      <c r="F62" s="64">
        <v>3270</v>
      </c>
      <c r="G62" s="64">
        <f>7458-F62-E62-D62</f>
        <v>4188</v>
      </c>
      <c r="H62" s="109">
        <f>SUM(D62:G62)</f>
        <v>7458</v>
      </c>
      <c r="I62" s="64">
        <v>7331</v>
      </c>
      <c r="J62" s="64">
        <v>4694</v>
      </c>
      <c r="K62" s="64">
        <v>9246</v>
      </c>
      <c r="L62" s="64">
        <f>32394-K62-J62-I62</f>
        <v>11123</v>
      </c>
      <c r="M62" s="109">
        <f>SUM(I62:L62)</f>
        <v>32394</v>
      </c>
      <c r="N62" s="64">
        <v>15434</v>
      </c>
      <c r="O62" s="64">
        <v>11798</v>
      </c>
      <c r="P62" s="64">
        <v>17042</v>
      </c>
      <c r="Q62" s="64">
        <f>58310-P62-O62-N62</f>
        <v>14036</v>
      </c>
      <c r="R62" s="109">
        <f>SUM(N62:Q62)</f>
        <v>58310</v>
      </c>
      <c r="S62" s="64">
        <v>22860</v>
      </c>
      <c r="T62" s="64">
        <v>19477</v>
      </c>
      <c r="U62" s="64">
        <v>14617</v>
      </c>
      <c r="V62" s="64">
        <f>71033-U62-T62-S62</f>
        <v>14079</v>
      </c>
      <c r="W62" s="109">
        <f>SUM(S62:V62)</f>
        <v>71033</v>
      </c>
      <c r="X62" s="64">
        <v>26035</v>
      </c>
      <c r="Y62" s="64">
        <v>16350</v>
      </c>
      <c r="Z62" s="64">
        <v>13276</v>
      </c>
      <c r="AA62" s="64">
        <f>67977-Z62-Y62-X62</f>
        <v>12316</v>
      </c>
      <c r="AB62" s="109">
        <f>SUM(X62:AA62)</f>
        <v>67977</v>
      </c>
      <c r="AC62" s="124">
        <v>21419</v>
      </c>
      <c r="AD62" s="124">
        <v>12623</v>
      </c>
      <c r="AE62" s="64">
        <v>10931</v>
      </c>
      <c r="AF62" s="64">
        <v>9883</v>
      </c>
      <c r="AG62" s="109">
        <f>SUM(AC62:AF62)</f>
        <v>54856</v>
      </c>
      <c r="AH62" s="124">
        <v>16122</v>
      </c>
      <c r="AI62" s="124">
        <v>10251</v>
      </c>
      <c r="AJ62" s="64">
        <v>9950</v>
      </c>
      <c r="AK62" s="64">
        <v>9267</v>
      </c>
      <c r="AL62" s="109">
        <f>SUM(AH62:AK62)</f>
        <v>45590</v>
      </c>
      <c r="AM62" s="124">
        <v>13081</v>
      </c>
      <c r="AN62" s="124">
        <v>8922</v>
      </c>
      <c r="AO62" s="64">
        <f>AJ62*(1+AO64)</f>
        <v>8500</v>
      </c>
      <c r="AP62" s="64">
        <f>AK62*(1+AP64)</f>
        <v>8000</v>
      </c>
      <c r="AQ62" s="109">
        <f>SUM(AM62:AP62)</f>
        <v>38503</v>
      </c>
      <c r="AR62" s="124">
        <f>AM62*(1+AR64)</f>
        <v>14000.000000000002</v>
      </c>
      <c r="AS62" s="124">
        <f>AN62*(1+AS64)</f>
        <v>9100</v>
      </c>
      <c r="AT62" s="64">
        <f>AO62*(1+AT64)</f>
        <v>8645</v>
      </c>
      <c r="AU62" s="64">
        <f>AP62*(1+AU64)</f>
        <v>7780.5</v>
      </c>
      <c r="AV62" s="109">
        <f>SUM(AR62:AU62)</f>
        <v>39525.5</v>
      </c>
      <c r="AW62" s="124">
        <f>AR62*(1+AW64)</f>
        <v>13615.875000000002</v>
      </c>
      <c r="AX62" s="124">
        <f>AS62*(1+AX64)</f>
        <v>8850.3187500000004</v>
      </c>
      <c r="AY62" s="64">
        <f>AT62*(1+AY64)</f>
        <v>8407.8028125000001</v>
      </c>
      <c r="AZ62" s="64">
        <f>AU62*(1+AZ64)</f>
        <v>7567.0225312500006</v>
      </c>
      <c r="BA62" s="109">
        <f>SUM(AW62:AZ62)</f>
        <v>38441.019093750001</v>
      </c>
      <c r="BB62" s="124">
        <f>AW62*(1+BB64)</f>
        <v>13242.289429687504</v>
      </c>
      <c r="BC62" s="124">
        <f>AX62*(1+BC64)</f>
        <v>8607.4881292968767</v>
      </c>
      <c r="BD62" s="64">
        <f>AY62*(1+BD64)</f>
        <v>8177.1137228320322</v>
      </c>
      <c r="BE62" s="64">
        <f>AZ62*(1+BE64)</f>
        <v>7359.4023505488294</v>
      </c>
      <c r="BF62" s="109">
        <f>SUM(BB62:BE62)</f>
        <v>37386.293632365239</v>
      </c>
      <c r="BG62" s="124">
        <f>BB62*(1+BG64)</f>
        <v>12580.174958203128</v>
      </c>
      <c r="BH62" s="124">
        <f>BC62*(1+BH64)</f>
        <v>8177.1137228320322</v>
      </c>
      <c r="BI62" s="64">
        <f>BD62*(1+BI64)</f>
        <v>7768.2580366904303</v>
      </c>
      <c r="BJ62" s="64">
        <f>BE62*(1+BJ64)</f>
        <v>6991.4322330213872</v>
      </c>
      <c r="BK62" s="109">
        <f>SUM(BG62:BJ62)</f>
        <v>35516.978950746976</v>
      </c>
    </row>
    <row r="63" spans="2:64" s="122" customFormat="1" hidden="1" outlineLevel="1" x14ac:dyDescent="0.3">
      <c r="B63" s="756" t="s">
        <v>433</v>
      </c>
      <c r="C63" s="757"/>
      <c r="D63" s="566"/>
      <c r="E63" s="566"/>
      <c r="F63" s="566"/>
      <c r="G63" s="566">
        <f>G62/F62-1</f>
        <v>0.2807339449541284</v>
      </c>
      <c r="H63" s="567"/>
      <c r="I63" s="566">
        <f>I62/G62-1</f>
        <v>0.75047755491881563</v>
      </c>
      <c r="J63" s="566">
        <f>J62/I62-1</f>
        <v>-0.35970536079661708</v>
      </c>
      <c r="K63" s="566">
        <f>K62/J62-1</f>
        <v>0.96974861525351508</v>
      </c>
      <c r="L63" s="566">
        <f>L62/K62-1</f>
        <v>0.20300670560242273</v>
      </c>
      <c r="M63" s="567">
        <f>M62/H62-1</f>
        <v>3.3435237329042637</v>
      </c>
      <c r="N63" s="566">
        <f>N62/L62-1</f>
        <v>0.38757529443495464</v>
      </c>
      <c r="O63" s="566">
        <f>O62/N62-1</f>
        <v>-0.23558377607878711</v>
      </c>
      <c r="P63" s="566">
        <f>P62/O62-1</f>
        <v>0.44448211561281581</v>
      </c>
      <c r="Q63" s="566">
        <f>Q62/P62-1</f>
        <v>-0.17638774791691114</v>
      </c>
      <c r="R63" s="567">
        <f>R62/M62-1</f>
        <v>0.80002469593134529</v>
      </c>
      <c r="S63" s="566">
        <f>S62/Q62-1</f>
        <v>0.62866913650612699</v>
      </c>
      <c r="T63" s="566">
        <f>T62/S62-1</f>
        <v>-0.14798775153105859</v>
      </c>
      <c r="U63" s="566">
        <f>U62/T62-1</f>
        <v>-0.24952508086460956</v>
      </c>
      <c r="V63" s="566">
        <f>V62/U62-1</f>
        <v>-3.6806458233563655E-2</v>
      </c>
      <c r="W63" s="567">
        <f>W62/R62-1</f>
        <v>0.21819584976847883</v>
      </c>
      <c r="X63" s="566">
        <f>X62/V62-1</f>
        <v>0.84920804034377451</v>
      </c>
      <c r="Y63" s="566">
        <f>Y62/X62-1</f>
        <v>-0.3719992318033416</v>
      </c>
      <c r="Z63" s="566">
        <f>Z62/Y62-1</f>
        <v>-0.18801223241590215</v>
      </c>
      <c r="AA63" s="566">
        <f>AA62/Z62-1</f>
        <v>-7.2310937029225641E-2</v>
      </c>
      <c r="AB63" s="567">
        <f>AB62/W62-1</f>
        <v>-4.3022257260709851E-2</v>
      </c>
      <c r="AC63" s="566">
        <f>AC62/AA62-1</f>
        <v>0.73911984410522891</v>
      </c>
      <c r="AD63" s="566">
        <f>AD62/AC62-1</f>
        <v>-0.41066342966525049</v>
      </c>
      <c r="AE63" s="568">
        <f>AE62/AD62-1</f>
        <v>-0.13404103620375507</v>
      </c>
      <c r="AF63" s="568">
        <f>AF62/AE62-1</f>
        <v>-9.5874119476717645E-2</v>
      </c>
      <c r="AG63" s="569">
        <f>AG62/AB62-1</f>
        <v>-0.19302116892478338</v>
      </c>
      <c r="AH63" s="568">
        <f>AH62/AF62-1</f>
        <v>0.63128604674693922</v>
      </c>
      <c r="AI63" s="568">
        <f>AI62/AG62-1</f>
        <v>-0.81312891935248655</v>
      </c>
      <c r="AJ63" s="568">
        <f>AJ62/AH62-1</f>
        <v>-0.38283091427862548</v>
      </c>
      <c r="AK63" s="568">
        <f>AK62/AI62-1</f>
        <v>-9.5990635059994167E-2</v>
      </c>
      <c r="AL63" s="569">
        <f>AL62/AG62-1</f>
        <v>-0.16891497739536243</v>
      </c>
      <c r="AM63" s="568">
        <f>AM62/AK62-1</f>
        <v>0.41156792921117935</v>
      </c>
      <c r="AN63" s="568">
        <f>AN62/AL62-1</f>
        <v>-0.80429918841851289</v>
      </c>
      <c r="AO63" s="568">
        <f>AO62/AN62-1</f>
        <v>-4.7298811925577278E-2</v>
      </c>
      <c r="AP63" s="568">
        <f>AP62/AO62-1</f>
        <v>-5.8823529411764719E-2</v>
      </c>
      <c r="AQ63" s="569">
        <f>AQ62/AL62-1</f>
        <v>-0.15545075674490016</v>
      </c>
      <c r="AR63" s="568">
        <f>AR62/AP62-1</f>
        <v>0.75000000000000022</v>
      </c>
      <c r="AS63" s="568">
        <f>AS62/AR62-1</f>
        <v>-0.35000000000000009</v>
      </c>
      <c r="AT63" s="568">
        <f t="shared" ref="AT63" si="76">AT62/AS62-1</f>
        <v>-5.0000000000000044E-2</v>
      </c>
      <c r="AU63" s="568">
        <f>AU62/AT62-1</f>
        <v>-9.9999999999999978E-2</v>
      </c>
      <c r="AV63" s="569">
        <f>AV62/AQ62-1</f>
        <v>2.655637223073537E-2</v>
      </c>
      <c r="AW63" s="568">
        <f>AW62/AU62-1</f>
        <v>0.75000000000000022</v>
      </c>
      <c r="AX63" s="568">
        <f>AX62/AW62-1</f>
        <v>-0.35000000000000009</v>
      </c>
      <c r="AY63" s="568">
        <f t="shared" ref="AY63" si="77">AY62/AX62-1</f>
        <v>-5.0000000000000044E-2</v>
      </c>
      <c r="AZ63" s="568">
        <f>AZ62/AY62-1</f>
        <v>-9.9999999999999978E-2</v>
      </c>
      <c r="BA63" s="569">
        <f>BA62/AV62-1</f>
        <v>-2.7437500000000004E-2</v>
      </c>
      <c r="BB63" s="568">
        <f>BB62/AZ62-1</f>
        <v>0.75000000000000044</v>
      </c>
      <c r="BC63" s="568">
        <f>BC62/BB62-1</f>
        <v>-0.35000000000000009</v>
      </c>
      <c r="BD63" s="568">
        <f t="shared" ref="BD63" si="78">BD62/BC62-1</f>
        <v>-5.0000000000000044E-2</v>
      </c>
      <c r="BE63" s="568">
        <f>BE62/BD62-1</f>
        <v>-9.9999999999999978E-2</v>
      </c>
      <c r="BF63" s="569">
        <f>BF62/BA62-1</f>
        <v>-2.7437499999999893E-2</v>
      </c>
      <c r="BG63" s="568">
        <f>BG62/BE62-1</f>
        <v>0.70940170940170955</v>
      </c>
      <c r="BH63" s="568">
        <f>BH62/BG62-1</f>
        <v>-0.35000000000000009</v>
      </c>
      <c r="BI63" s="568">
        <f t="shared" ref="BI63" si="79">BI62/BH62-1</f>
        <v>-5.0000000000000044E-2</v>
      </c>
      <c r="BJ63" s="568">
        <f>BJ62/BI62-1</f>
        <v>-9.9999999999999978E-2</v>
      </c>
      <c r="BK63" s="569">
        <f>BK62/BF62-1</f>
        <v>-5.0000000000000044E-2</v>
      </c>
    </row>
    <row r="64" spans="2:64" s="122" customFormat="1" hidden="1" outlineLevel="1" x14ac:dyDescent="0.3">
      <c r="B64" s="762" t="s">
        <v>432</v>
      </c>
      <c r="C64" s="763"/>
      <c r="D64" s="566"/>
      <c r="E64" s="566"/>
      <c r="F64" s="566"/>
      <c r="G64" s="566"/>
      <c r="H64" s="567"/>
      <c r="I64" s="566"/>
      <c r="J64" s="566"/>
      <c r="K64" s="568">
        <f t="shared" ref="K64" si="80">K62/F62-1</f>
        <v>1.8275229357798164</v>
      </c>
      <c r="L64" s="568">
        <f t="shared" ref="L64" si="81">L62/G62-1</f>
        <v>1.6559216809933144</v>
      </c>
      <c r="M64" s="567"/>
      <c r="N64" s="566">
        <f>N62/I62-1</f>
        <v>1.1053062338016644</v>
      </c>
      <c r="O64" s="566">
        <f t="shared" ref="O64" si="82">O62/J62-1</f>
        <v>1.5134213890072434</v>
      </c>
      <c r="P64" s="568">
        <f t="shared" ref="P64" si="83">P62/K62-1</f>
        <v>0.8431754272117673</v>
      </c>
      <c r="Q64" s="568">
        <f t="shared" ref="Q64" si="84">Q62/L62-1</f>
        <v>0.26188977793760682</v>
      </c>
      <c r="R64" s="567"/>
      <c r="S64" s="566">
        <f>S62/N62-1</f>
        <v>0.48114552287158219</v>
      </c>
      <c r="T64" s="566">
        <f t="shared" ref="T64" si="85">T62/O62-1</f>
        <v>0.65087302932700464</v>
      </c>
      <c r="U64" s="568">
        <f t="shared" ref="U64" si="86">U62/P62-1</f>
        <v>-0.14229550522239176</v>
      </c>
      <c r="V64" s="568">
        <f t="shared" ref="V64" si="87">V62/Q62-1</f>
        <v>3.0635508691934099E-3</v>
      </c>
      <c r="W64" s="567"/>
      <c r="X64" s="566">
        <f>X62/S62-1</f>
        <v>0.13888888888888884</v>
      </c>
      <c r="Y64" s="566">
        <f t="shared" ref="Y64" si="88">Y62/T62-1</f>
        <v>-0.16054833906659138</v>
      </c>
      <c r="Z64" s="568">
        <f t="shared" ref="Z64" si="89">Z62/U62-1</f>
        <v>-9.1742491619347333E-2</v>
      </c>
      <c r="AA64" s="568">
        <f t="shared" ref="AA64" si="90">AA62/V62-1</f>
        <v>-0.12522196178705869</v>
      </c>
      <c r="AB64" s="567"/>
      <c r="AC64" s="568">
        <f>AC62/X62-1</f>
        <v>-0.17729978874591901</v>
      </c>
      <c r="AD64" s="568">
        <f t="shared" ref="AD64" si="91">AD62/Y62-1</f>
        <v>-0.22795107033639139</v>
      </c>
      <c r="AE64" s="568">
        <f t="shared" ref="AE64" si="92">AE62/Z62-1</f>
        <v>-0.17663452847243144</v>
      </c>
      <c r="AF64" s="568">
        <f t="shared" ref="AF64" si="93">AF62/AA62-1</f>
        <v>-0.19754790516401433</v>
      </c>
      <c r="AG64" s="569"/>
      <c r="AH64" s="568">
        <f>AH62/AC62-1</f>
        <v>-0.24730379569541061</v>
      </c>
      <c r="AI64" s="568">
        <f t="shared" ref="AI64" si="94">AI62/AD62-1</f>
        <v>-0.18791095619107978</v>
      </c>
      <c r="AJ64" s="568">
        <f t="shared" ref="AJ64" si="95">AJ62/AE62-1</f>
        <v>-8.9744762601774775E-2</v>
      </c>
      <c r="AK64" s="568">
        <f t="shared" ref="AK64" si="96">AK62/AF62-1</f>
        <v>-6.2329252251340672E-2</v>
      </c>
      <c r="AL64" s="569">
        <f>AL62/AG62-1</f>
        <v>-0.16891497739536243</v>
      </c>
      <c r="AM64" s="568">
        <f>AM62/AH62-1</f>
        <v>-0.1886242401687136</v>
      </c>
      <c r="AN64" s="568">
        <f t="shared" ref="AN64" si="97">AN62/AI62-1</f>
        <v>-0.12964588820602863</v>
      </c>
      <c r="AO64" s="570">
        <v>-0.14572864321608037</v>
      </c>
      <c r="AP64" s="570">
        <v>-0.13672170065824973</v>
      </c>
      <c r="AQ64" s="569"/>
      <c r="AR64" s="570">
        <v>7.02545676936015E-2</v>
      </c>
      <c r="AS64" s="570">
        <v>1.9950683703205518E-2</v>
      </c>
      <c r="AT64" s="570">
        <v>1.7058823529411793E-2</v>
      </c>
      <c r="AU64" s="570">
        <v>-2.7437500000000004E-2</v>
      </c>
      <c r="AV64" s="569"/>
      <c r="AW64" s="570">
        <v>-2.7437500000000004E-2</v>
      </c>
      <c r="AX64" s="570">
        <v>-2.7437500000000004E-2</v>
      </c>
      <c r="AY64" s="570">
        <v>-2.7437500000000004E-2</v>
      </c>
      <c r="AZ64" s="570">
        <v>-2.7437499999999893E-2</v>
      </c>
      <c r="BA64" s="569"/>
      <c r="BB64" s="570">
        <v>-2.7437499999999893E-2</v>
      </c>
      <c r="BC64" s="570">
        <v>-2.7437499999999893E-2</v>
      </c>
      <c r="BD64" s="570">
        <v>-2.7437499999999893E-2</v>
      </c>
      <c r="BE64" s="570">
        <v>-2.7437499999999893E-2</v>
      </c>
      <c r="BF64" s="569"/>
      <c r="BG64" s="570">
        <v>-0.05</v>
      </c>
      <c r="BH64" s="570">
        <v>-0.05</v>
      </c>
      <c r="BI64" s="570">
        <v>-0.05</v>
      </c>
      <c r="BJ64" s="570">
        <v>-0.05</v>
      </c>
      <c r="BK64" s="569"/>
    </row>
    <row r="65" spans="2:64" s="62" customFormat="1" hidden="1" outlineLevel="1" x14ac:dyDescent="0.3">
      <c r="B65" s="758" t="s">
        <v>260</v>
      </c>
      <c r="C65" s="759"/>
      <c r="D65" s="258"/>
      <c r="E65" s="258"/>
      <c r="F65" s="258">
        <f t="shared" ref="F65:AJ65" si="98">F61/F62*1000</f>
        <v>662.38532110091739</v>
      </c>
      <c r="G65" s="258">
        <f t="shared" si="98"/>
        <v>666.66666666666663</v>
      </c>
      <c r="H65" s="259">
        <f t="shared" si="98"/>
        <v>664.7894877983374</v>
      </c>
      <c r="I65" s="258">
        <f t="shared" si="98"/>
        <v>628.56363388350849</v>
      </c>
      <c r="J65" s="258">
        <f t="shared" si="98"/>
        <v>604.17554324669788</v>
      </c>
      <c r="K65" s="258">
        <f t="shared" si="98"/>
        <v>653.9043910880381</v>
      </c>
      <c r="L65" s="258">
        <f t="shared" si="98"/>
        <v>617.45931852917374</v>
      </c>
      <c r="M65" s="259">
        <f t="shared" si="98"/>
        <v>628.44971290979811</v>
      </c>
      <c r="N65" s="258">
        <f t="shared" si="98"/>
        <v>568.16120253984718</v>
      </c>
      <c r="O65" s="258">
        <f t="shared" si="98"/>
        <v>530.93744702491949</v>
      </c>
      <c r="P65" s="258">
        <f t="shared" si="98"/>
        <v>515.13906818448538</v>
      </c>
      <c r="Q65" s="258">
        <f t="shared" si="98"/>
        <v>508.19321744086631</v>
      </c>
      <c r="R65" s="259">
        <f t="shared" si="98"/>
        <v>530.69799348310755</v>
      </c>
      <c r="S65" s="258">
        <f t="shared" si="98"/>
        <v>466.92913385826773</v>
      </c>
      <c r="T65" s="258">
        <f t="shared" si="98"/>
        <v>449.04246033783437</v>
      </c>
      <c r="U65" s="258">
        <f t="shared" si="98"/>
        <v>436.06759252924678</v>
      </c>
      <c r="V65" s="258">
        <f t="shared" si="98"/>
        <v>439.37779671851695</v>
      </c>
      <c r="W65" s="259">
        <f t="shared" si="98"/>
        <v>450.21328115101431</v>
      </c>
      <c r="X65" s="258">
        <f t="shared" si="98"/>
        <v>440.4839638947571</v>
      </c>
      <c r="Y65" s="258">
        <f t="shared" si="98"/>
        <v>465.44342507645257</v>
      </c>
      <c r="Z65" s="258">
        <f t="shared" si="98"/>
        <v>443.5824043386562</v>
      </c>
      <c r="AA65" s="258">
        <f t="shared" si="98"/>
        <v>431.63364728808057</v>
      </c>
      <c r="AB65" s="259">
        <f t="shared" si="98"/>
        <v>445.48891536843342</v>
      </c>
      <c r="AC65" s="258">
        <f t="shared" si="98"/>
        <v>419.48737102572483</v>
      </c>
      <c r="AD65" s="258">
        <f t="shared" si="98"/>
        <v>430.00871425176268</v>
      </c>
      <c r="AE65" s="258">
        <f t="shared" si="98"/>
        <v>415.14957460433629</v>
      </c>
      <c r="AF65" s="260">
        <f t="shared" si="98"/>
        <v>432.66214712131944</v>
      </c>
      <c r="AG65" s="259">
        <f t="shared" si="98"/>
        <v>423.41767536823681</v>
      </c>
      <c r="AH65" s="260">
        <f t="shared" si="98"/>
        <v>439.39957821610221</v>
      </c>
      <c r="AI65" s="260">
        <f t="shared" si="98"/>
        <v>430.49458589405907</v>
      </c>
      <c r="AJ65" s="260">
        <f t="shared" si="98"/>
        <v>490.05025125628146</v>
      </c>
      <c r="AK65" s="260">
        <f>AK61/AK62*1000</f>
        <v>459.1561454623934</v>
      </c>
      <c r="AL65" s="259">
        <f>AL61/AL62*1000</f>
        <v>452.46764641368719</v>
      </c>
      <c r="AM65" s="260">
        <f>AM61/AM62*1000</f>
        <v>422.97989450347836</v>
      </c>
      <c r="AN65" s="260">
        <f t="shared" ref="AN65" si="99">AN61/AN62*1000</f>
        <v>435.88881416722705</v>
      </c>
      <c r="AO65" s="261">
        <v>435</v>
      </c>
      <c r="AP65" s="261">
        <v>435</v>
      </c>
      <c r="AQ65" s="259">
        <f>AQ61/AQ62*1000</f>
        <v>431.12225021426906</v>
      </c>
      <c r="AR65" s="261">
        <v>435</v>
      </c>
      <c r="AS65" s="261">
        <v>425</v>
      </c>
      <c r="AT65" s="261">
        <v>425</v>
      </c>
      <c r="AU65" s="261">
        <v>425</v>
      </c>
      <c r="AV65" s="259">
        <f>AV61/AV62*1000</f>
        <v>428.5420171787834</v>
      </c>
      <c r="AW65" s="261">
        <v>400</v>
      </c>
      <c r="AX65" s="261">
        <v>400</v>
      </c>
      <c r="AY65" s="261">
        <v>400</v>
      </c>
      <c r="AZ65" s="261">
        <v>400</v>
      </c>
      <c r="BA65" s="259">
        <f>BA61/BA62*1000</f>
        <v>400</v>
      </c>
      <c r="BB65" s="261">
        <v>400</v>
      </c>
      <c r="BC65" s="261">
        <v>400</v>
      </c>
      <c r="BD65" s="261">
        <v>400</v>
      </c>
      <c r="BE65" s="261">
        <v>400</v>
      </c>
      <c r="BF65" s="259">
        <f>BF61/BF62*1000</f>
        <v>400</v>
      </c>
      <c r="BG65" s="261">
        <v>400</v>
      </c>
      <c r="BH65" s="261">
        <v>400</v>
      </c>
      <c r="BI65" s="261">
        <v>400</v>
      </c>
      <c r="BJ65" s="261">
        <v>400</v>
      </c>
      <c r="BK65" s="259">
        <f>BK61/BK62*1000</f>
        <v>400</v>
      </c>
    </row>
    <row r="66" spans="2:64" s="98" customFormat="1" hidden="1" outlineLevel="1" x14ac:dyDescent="0.3">
      <c r="B66" s="754" t="s">
        <v>572</v>
      </c>
      <c r="C66" s="755"/>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9"/>
      <c r="BL66" s="296"/>
    </row>
    <row r="67" spans="2:64" s="199" customFormat="1" hidden="1" outlineLevel="1" x14ac:dyDescent="0.3">
      <c r="B67" s="636" t="s">
        <v>282</v>
      </c>
      <c r="C67" s="637"/>
      <c r="D67" s="288"/>
      <c r="E67" s="325" t="s">
        <v>312</v>
      </c>
      <c r="F67" s="325"/>
      <c r="G67" s="327"/>
      <c r="H67" s="327"/>
      <c r="I67" s="327"/>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300"/>
      <c r="BL67" s="137"/>
    </row>
    <row r="68" spans="2:64" s="199" customFormat="1" hidden="1" outlineLevel="1" x14ac:dyDescent="0.3">
      <c r="B68" s="636" t="s">
        <v>319</v>
      </c>
      <c r="C68" s="637"/>
      <c r="D68" s="288"/>
      <c r="E68" s="288"/>
      <c r="F68" s="178"/>
      <c r="G68" s="288"/>
      <c r="H68" s="288"/>
      <c r="I68" s="288"/>
      <c r="J68" s="298" t="s">
        <v>320</v>
      </c>
      <c r="K68" s="299"/>
      <c r="L68" s="299"/>
      <c r="M68" s="299"/>
      <c r="N68" s="299"/>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300"/>
      <c r="BL68" s="137"/>
    </row>
    <row r="69" spans="2:64" s="199" customFormat="1" hidden="1" outlineLevel="1" x14ac:dyDescent="0.3">
      <c r="B69" s="636" t="s">
        <v>321</v>
      </c>
      <c r="C69" s="637"/>
      <c r="D69" s="288"/>
      <c r="E69" s="288"/>
      <c r="F69" s="288"/>
      <c r="G69" s="288"/>
      <c r="H69" s="288"/>
      <c r="I69" s="288"/>
      <c r="J69" s="288"/>
      <c r="K69" s="288"/>
      <c r="L69" s="288"/>
      <c r="M69" s="288"/>
      <c r="N69" s="288"/>
      <c r="O69" s="348" t="s">
        <v>322</v>
      </c>
      <c r="P69" s="349"/>
      <c r="Q69" s="349"/>
      <c r="R69" s="349"/>
      <c r="S69" s="290"/>
      <c r="T69" s="288"/>
      <c r="U69" s="288"/>
      <c r="V69" s="288"/>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300"/>
      <c r="BL69" s="137"/>
    </row>
    <row r="70" spans="2:64" s="199" customFormat="1" hidden="1" outlineLevel="1" x14ac:dyDescent="0.3">
      <c r="B70" s="636" t="s">
        <v>330</v>
      </c>
      <c r="C70" s="637"/>
      <c r="D70" s="288"/>
      <c r="E70" s="305"/>
      <c r="F70" s="288"/>
      <c r="G70" s="288"/>
      <c r="H70" s="288"/>
      <c r="I70" s="288"/>
      <c r="J70" s="288"/>
      <c r="K70" s="288"/>
      <c r="L70" s="288"/>
      <c r="M70" s="288"/>
      <c r="N70" s="288"/>
      <c r="O70" s="288"/>
      <c r="P70" s="288"/>
      <c r="Q70" s="288"/>
      <c r="R70" s="288"/>
      <c r="S70" s="314" t="s">
        <v>331</v>
      </c>
      <c r="T70" s="315"/>
      <c r="U70" s="315"/>
      <c r="V70" s="315"/>
      <c r="W70" s="315"/>
      <c r="X70" s="290"/>
      <c r="Y70" s="288"/>
      <c r="Z70" s="288"/>
      <c r="AA70" s="288"/>
      <c r="AB70" s="288"/>
      <c r="AC70" s="290"/>
      <c r="AD70" s="288"/>
      <c r="AE70" s="288"/>
      <c r="AF70" s="290"/>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300"/>
      <c r="BL70" s="137"/>
    </row>
    <row r="71" spans="2:64" s="199" customFormat="1" hidden="1" outlineLevel="1" x14ac:dyDescent="0.3">
      <c r="B71" s="636" t="s">
        <v>339</v>
      </c>
      <c r="C71" s="637"/>
      <c r="D71" s="288"/>
      <c r="E71" s="305"/>
      <c r="F71" s="288"/>
      <c r="G71" s="288"/>
      <c r="H71" s="288"/>
      <c r="I71" s="288"/>
      <c r="J71" s="288"/>
      <c r="K71" s="288"/>
      <c r="L71" s="288"/>
      <c r="M71" s="288"/>
      <c r="N71" s="288"/>
      <c r="O71" s="288"/>
      <c r="P71" s="288"/>
      <c r="Q71" s="288"/>
      <c r="R71" s="288"/>
      <c r="S71" s="344" t="s">
        <v>332</v>
      </c>
      <c r="T71" s="345"/>
      <c r="U71" s="345"/>
      <c r="V71" s="353"/>
      <c r="W71" s="345"/>
      <c r="X71" s="352" t="s">
        <v>343</v>
      </c>
      <c r="Y71" s="350"/>
      <c r="Z71" s="350"/>
      <c r="AA71" s="350"/>
      <c r="AB71" s="350"/>
      <c r="AC71" s="356" t="s">
        <v>346</v>
      </c>
      <c r="AD71" s="357"/>
      <c r="AE71" s="357"/>
      <c r="AF71" s="357"/>
      <c r="AG71" s="358" t="s">
        <v>364</v>
      </c>
      <c r="AH71" s="359"/>
      <c r="AI71" s="359"/>
      <c r="AJ71" s="359"/>
      <c r="AK71" s="359"/>
      <c r="AL71" s="359"/>
      <c r="AM71" s="359"/>
      <c r="AN71" s="288"/>
      <c r="AO71" s="288"/>
      <c r="AP71" s="288"/>
      <c r="AQ71" s="288"/>
      <c r="AR71" s="288"/>
      <c r="AS71" s="288"/>
      <c r="AT71" s="288"/>
      <c r="AU71" s="288"/>
      <c r="AV71" s="288"/>
      <c r="AW71" s="288"/>
      <c r="AX71" s="288"/>
      <c r="AY71" s="288"/>
      <c r="AZ71" s="288"/>
      <c r="BA71" s="288"/>
      <c r="BB71" s="288"/>
      <c r="BC71" s="288"/>
      <c r="BD71" s="288"/>
      <c r="BE71" s="288"/>
      <c r="BF71" s="288"/>
      <c r="BG71" s="288"/>
      <c r="BH71" s="288"/>
      <c r="BI71" s="288"/>
      <c r="BJ71" s="288"/>
      <c r="BK71" s="300"/>
      <c r="BL71" s="137"/>
    </row>
    <row r="72" spans="2:64" s="199" customFormat="1" hidden="1" outlineLevel="1" x14ac:dyDescent="0.3">
      <c r="B72" s="636" t="s">
        <v>337</v>
      </c>
      <c r="C72" s="637"/>
      <c r="D72" s="288"/>
      <c r="E72" s="305"/>
      <c r="F72" s="288"/>
      <c r="G72" s="288"/>
      <c r="H72" s="288"/>
      <c r="I72" s="288"/>
      <c r="J72" s="288"/>
      <c r="K72" s="288"/>
      <c r="L72" s="288"/>
      <c r="M72" s="288"/>
      <c r="N72" s="288"/>
      <c r="O72" s="288"/>
      <c r="P72" s="288"/>
      <c r="Q72" s="288"/>
      <c r="R72" s="288"/>
      <c r="S72" s="295"/>
      <c r="T72" s="310"/>
      <c r="U72" s="310"/>
      <c r="V72" s="227"/>
      <c r="W72" s="310"/>
      <c r="X72" s="321" t="s">
        <v>338</v>
      </c>
      <c r="Y72" s="322"/>
      <c r="Z72" s="322"/>
      <c r="AA72" s="322"/>
      <c r="AB72" s="322"/>
      <c r="AC72" s="323" t="s">
        <v>363</v>
      </c>
      <c r="AD72" s="324"/>
      <c r="AE72" s="324"/>
      <c r="AF72" s="324"/>
      <c r="AG72" s="324"/>
      <c r="AH72" s="324"/>
      <c r="AI72" s="324"/>
      <c r="AJ72" s="324"/>
      <c r="AK72" s="324"/>
      <c r="AL72" s="324"/>
      <c r="AM72" s="324"/>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300"/>
      <c r="BL72" s="137"/>
    </row>
    <row r="73" spans="2:64" s="98" customFormat="1" hidden="1" outlineLevel="1" x14ac:dyDescent="0.3">
      <c r="B73" s="500" t="s">
        <v>347</v>
      </c>
      <c r="C73" s="649"/>
      <c r="D73" s="654"/>
      <c r="E73" s="655"/>
      <c r="F73" s="654"/>
      <c r="G73" s="654"/>
      <c r="H73" s="654"/>
      <c r="I73" s="654"/>
      <c r="J73" s="654"/>
      <c r="K73" s="654"/>
      <c r="L73" s="654"/>
      <c r="M73" s="654"/>
      <c r="N73" s="654"/>
      <c r="O73" s="654"/>
      <c r="P73" s="654"/>
      <c r="Q73" s="654"/>
      <c r="R73" s="654"/>
      <c r="S73" s="650"/>
      <c r="T73" s="654"/>
      <c r="U73" s="654"/>
      <c r="V73" s="656"/>
      <c r="W73" s="654"/>
      <c r="X73" s="650"/>
      <c r="Y73" s="654"/>
      <c r="Z73" s="654"/>
      <c r="AA73" s="654"/>
      <c r="AB73" s="654"/>
      <c r="AC73" s="650"/>
      <c r="AD73" s="654"/>
      <c r="AE73" s="654"/>
      <c r="AF73" s="654"/>
      <c r="AG73" s="654"/>
      <c r="AH73" s="657" t="s">
        <v>362</v>
      </c>
      <c r="AI73" s="658"/>
      <c r="AJ73" s="658"/>
      <c r="AK73" s="658"/>
      <c r="AL73" s="658"/>
      <c r="AM73" s="658"/>
      <c r="AN73" s="654"/>
      <c r="AO73" s="654"/>
      <c r="AP73" s="654"/>
      <c r="AQ73" s="654"/>
      <c r="AR73" s="654"/>
      <c r="AS73" s="654"/>
      <c r="AT73" s="654"/>
      <c r="AU73" s="654"/>
      <c r="AV73" s="654"/>
      <c r="AW73" s="654"/>
      <c r="AX73" s="654"/>
      <c r="AY73" s="654"/>
      <c r="AZ73" s="654"/>
      <c r="BA73" s="654"/>
      <c r="BB73" s="654"/>
      <c r="BC73" s="654"/>
      <c r="BD73" s="654"/>
      <c r="BE73" s="652" t="s">
        <v>379</v>
      </c>
      <c r="BF73" s="654"/>
      <c r="BG73" s="654"/>
      <c r="BH73" s="654"/>
      <c r="BI73" s="654"/>
      <c r="BJ73" s="654"/>
      <c r="BK73" s="659"/>
      <c r="BL73" s="296"/>
    </row>
    <row r="74" spans="2:64" s="62" customFormat="1" collapsed="1" x14ac:dyDescent="0.3">
      <c r="B74" s="239" t="s">
        <v>608</v>
      </c>
      <c r="C74" s="236"/>
      <c r="D74" s="64"/>
      <c r="E74" s="64"/>
      <c r="F74" s="64"/>
      <c r="G74" s="64"/>
      <c r="H74" s="112"/>
      <c r="I74" s="64"/>
      <c r="J74" s="64"/>
      <c r="K74" s="64"/>
      <c r="L74" s="64"/>
      <c r="M74" s="112"/>
      <c r="N74" s="64"/>
      <c r="O74" s="64"/>
      <c r="P74" s="64"/>
      <c r="Q74" s="64"/>
      <c r="R74" s="112"/>
      <c r="S74" s="64"/>
      <c r="T74" s="64"/>
      <c r="U74" s="64"/>
      <c r="V74" s="64"/>
      <c r="W74" s="112"/>
      <c r="X74" s="64"/>
      <c r="Y74" s="64"/>
      <c r="Z74" s="64"/>
      <c r="AA74" s="64"/>
      <c r="AB74" s="112"/>
      <c r="AC74" s="64"/>
      <c r="AD74" s="64"/>
      <c r="AE74" s="64"/>
      <c r="AF74" s="124"/>
      <c r="AG74" s="112"/>
      <c r="AH74" s="124"/>
      <c r="AI74" s="124"/>
      <c r="AJ74" s="124"/>
      <c r="AK74" s="124"/>
      <c r="AL74" s="172"/>
      <c r="AM74" s="124"/>
      <c r="AN74" s="124"/>
      <c r="AO74" s="124"/>
      <c r="AP74" s="124"/>
      <c r="AQ74" s="172"/>
      <c r="AR74" s="124"/>
      <c r="AS74" s="124"/>
      <c r="AT74" s="124"/>
      <c r="AU74" s="124"/>
      <c r="AV74" s="172"/>
      <c r="AW74" s="124"/>
      <c r="AX74" s="124"/>
      <c r="AY74" s="124"/>
      <c r="AZ74" s="124"/>
      <c r="BA74" s="172"/>
      <c r="BB74" s="124"/>
      <c r="BC74" s="124"/>
      <c r="BD74" s="124"/>
      <c r="BE74" s="124"/>
      <c r="BF74" s="112"/>
      <c r="BG74" s="124"/>
      <c r="BH74" s="124"/>
      <c r="BI74" s="124"/>
      <c r="BJ74" s="124"/>
      <c r="BK74" s="112"/>
    </row>
    <row r="75" spans="2:64" s="62" customFormat="1" hidden="1" outlineLevel="1" x14ac:dyDescent="0.3">
      <c r="B75" s="714" t="s">
        <v>262</v>
      </c>
      <c r="C75" s="715"/>
      <c r="D75" s="63">
        <v>4450</v>
      </c>
      <c r="E75" s="63">
        <v>3760</v>
      </c>
      <c r="F75" s="63">
        <v>4399</v>
      </c>
      <c r="G75" s="63">
        <v>4870</v>
      </c>
      <c r="H75" s="109">
        <v>17479</v>
      </c>
      <c r="I75" s="63">
        <v>5430</v>
      </c>
      <c r="J75" s="63">
        <v>4976</v>
      </c>
      <c r="K75" s="63">
        <v>5105</v>
      </c>
      <c r="L75" s="63">
        <v>6272</v>
      </c>
      <c r="M75" s="109">
        <v>21783</v>
      </c>
      <c r="N75" s="63">
        <v>6598</v>
      </c>
      <c r="O75" s="63">
        <v>5073</v>
      </c>
      <c r="P75" s="63">
        <v>4933</v>
      </c>
      <c r="Q75" s="63">
        <f>23221-P75-O75-N75</f>
        <v>6617</v>
      </c>
      <c r="R75" s="109">
        <f>SUM(N75:Q75)</f>
        <v>23221</v>
      </c>
      <c r="S75" s="63">
        <v>5519</v>
      </c>
      <c r="T75" s="63">
        <v>5447</v>
      </c>
      <c r="U75" s="63">
        <v>4893</v>
      </c>
      <c r="V75" s="63">
        <f>21483-U75-T75-S75</f>
        <v>5624</v>
      </c>
      <c r="W75" s="109">
        <f>SUM(S75:V75)</f>
        <v>21483</v>
      </c>
      <c r="X75" s="63">
        <v>6395</v>
      </c>
      <c r="Y75" s="63">
        <v>5519</v>
      </c>
      <c r="Z75" s="63">
        <v>5540</v>
      </c>
      <c r="AA75" s="63">
        <f>24079-Z75-Y75-X75</f>
        <v>6625</v>
      </c>
      <c r="AB75" s="109">
        <f>SUM(X75:AA75)</f>
        <v>24079</v>
      </c>
      <c r="AC75" s="64">
        <v>6944</v>
      </c>
      <c r="AD75" s="64">
        <v>5615</v>
      </c>
      <c r="AE75" s="64">
        <v>6030</v>
      </c>
      <c r="AF75" s="63">
        <v>6882</v>
      </c>
      <c r="AG75" s="109">
        <f>SUM(AC75:AF75)</f>
        <v>25471</v>
      </c>
      <c r="AH75" s="64">
        <v>6746</v>
      </c>
      <c r="AI75" s="64">
        <v>5107</v>
      </c>
      <c r="AJ75" s="64">
        <v>5239</v>
      </c>
      <c r="AK75" s="63">
        <v>5739</v>
      </c>
      <c r="AL75" s="109">
        <f>SUM(AH75:AK75)</f>
        <v>22831</v>
      </c>
      <c r="AM75" s="64">
        <v>7244</v>
      </c>
      <c r="AN75" s="64">
        <v>5844</v>
      </c>
      <c r="AO75" s="64">
        <f>AO76*AO79/1000</f>
        <v>4481.4814814814827</v>
      </c>
      <c r="AP75" s="63">
        <f>AP76*AP79/1000</f>
        <v>4814.8148148148139</v>
      </c>
      <c r="AQ75" s="109">
        <f>SUM(AM75:AP75)</f>
        <v>22384.296296296296</v>
      </c>
      <c r="AR75" s="64">
        <f>AR76*AR79/1000</f>
        <v>5902.7777777777756</v>
      </c>
      <c r="AS75" s="64">
        <f>AS76*AS79/1000</f>
        <v>4918.9814814814799</v>
      </c>
      <c r="AT75" s="64">
        <f>AT76*AT79/1000</f>
        <v>4427.0833333333312</v>
      </c>
      <c r="AU75" s="63">
        <f>AU76*AU79/1000</f>
        <v>5312.4999999999982</v>
      </c>
      <c r="AV75" s="109">
        <f>SUM(AR75:AU75)</f>
        <v>20561.342592592584</v>
      </c>
      <c r="AW75" s="64">
        <f>AW76*AW79/1000</f>
        <v>5843.7499999999973</v>
      </c>
      <c r="AX75" s="64">
        <f>AX76*AX79/1000</f>
        <v>4967.1874999999982</v>
      </c>
      <c r="AY75" s="64">
        <f>AY76*AY79/1000</f>
        <v>4470.4687499999982</v>
      </c>
      <c r="AZ75" s="63">
        <f>AZ76*AZ79/1000</f>
        <v>5364.5624999999982</v>
      </c>
      <c r="BA75" s="109">
        <f>SUM(AW75:AZ75)</f>
        <v>20645.968749999993</v>
      </c>
      <c r="BB75" s="64">
        <f>BB76*BB79/1000</f>
        <v>5726.8749999999973</v>
      </c>
      <c r="BC75" s="64">
        <f>BC76*BC79/1000</f>
        <v>4867.8437499999982</v>
      </c>
      <c r="BD75" s="64">
        <f>BD76*BD79/1000</f>
        <v>4336.3546874999984</v>
      </c>
      <c r="BE75" s="63">
        <f>BE76*BE79/1000</f>
        <v>5203.6256249999979</v>
      </c>
      <c r="BF75" s="109">
        <f>SUM(BB75:BE75)</f>
        <v>20134.699062499993</v>
      </c>
      <c r="BG75" s="64">
        <f>BG76*BG79/1000</f>
        <v>5497.7999999999975</v>
      </c>
      <c r="BH75" s="64">
        <f>BH76*BH79/1000</f>
        <v>4673.1299999999983</v>
      </c>
      <c r="BI75" s="64">
        <f>BI76*BI79/1000</f>
        <v>4162.9004999999979</v>
      </c>
      <c r="BJ75" s="63">
        <f>BJ76*BJ79/1000</f>
        <v>4962.8658356701853</v>
      </c>
      <c r="BK75" s="109">
        <f>SUM(BG75:BJ75)</f>
        <v>19296.696335670182</v>
      </c>
    </row>
    <row r="76" spans="2:64" s="113" customFormat="1" hidden="1" outlineLevel="1" x14ac:dyDescent="0.3">
      <c r="B76" s="714" t="s">
        <v>609</v>
      </c>
      <c r="C76" s="715"/>
      <c r="D76" s="63">
        <v>3362</v>
      </c>
      <c r="E76" s="63">
        <v>2943</v>
      </c>
      <c r="F76" s="63">
        <v>3472</v>
      </c>
      <c r="G76" s="63">
        <v>3885</v>
      </c>
      <c r="H76" s="109">
        <v>13662</v>
      </c>
      <c r="I76" s="63">
        <v>4134</v>
      </c>
      <c r="J76" s="63">
        <v>3760</v>
      </c>
      <c r="K76" s="63">
        <v>3947</v>
      </c>
      <c r="L76" s="63">
        <v>4894</v>
      </c>
      <c r="M76" s="109">
        <v>16735</v>
      </c>
      <c r="N76" s="63">
        <v>5198</v>
      </c>
      <c r="O76" s="63">
        <v>4017</v>
      </c>
      <c r="P76" s="63">
        <v>4020</v>
      </c>
      <c r="Q76" s="63">
        <f>18158-P76-O76-N76</f>
        <v>4923</v>
      </c>
      <c r="R76" s="109">
        <f>SUM(N76:Q76)</f>
        <v>18158</v>
      </c>
      <c r="S76" s="63">
        <v>4061</v>
      </c>
      <c r="T76" s="63">
        <v>3952</v>
      </c>
      <c r="U76" s="63">
        <v>3754</v>
      </c>
      <c r="V76" s="63">
        <f>16341-U76-T76-S76</f>
        <v>4574</v>
      </c>
      <c r="W76" s="109">
        <f>SUM(S76:V76)</f>
        <v>16341</v>
      </c>
      <c r="X76" s="63">
        <v>4837</v>
      </c>
      <c r="Y76" s="63">
        <v>4136</v>
      </c>
      <c r="Z76" s="63">
        <v>4413</v>
      </c>
      <c r="AA76" s="63">
        <f>18906-Z76-Y76-X76</f>
        <v>5520</v>
      </c>
      <c r="AB76" s="109">
        <f>SUM(X76:AA76)</f>
        <v>18906</v>
      </c>
      <c r="AC76" s="124">
        <v>5519</v>
      </c>
      <c r="AD76" s="124">
        <v>4563</v>
      </c>
      <c r="AE76" s="64">
        <v>4796</v>
      </c>
      <c r="AF76" s="64">
        <v>5709</v>
      </c>
      <c r="AG76" s="109">
        <f>SUM(AC76:AF76)</f>
        <v>20587</v>
      </c>
      <c r="AH76" s="124">
        <v>5312</v>
      </c>
      <c r="AI76" s="124">
        <v>4034</v>
      </c>
      <c r="AJ76" s="64">
        <v>4252</v>
      </c>
      <c r="AK76" s="64">
        <v>4886</v>
      </c>
      <c r="AL76" s="109">
        <f>SUM(AH76:AK76)</f>
        <v>18484</v>
      </c>
      <c r="AM76" s="124">
        <v>5374</v>
      </c>
      <c r="AN76" s="124">
        <v>4199</v>
      </c>
      <c r="AO76" s="64">
        <f>AJ76*(1+AO78)</f>
        <v>3259.2592592592596</v>
      </c>
      <c r="AP76" s="64">
        <f>AK76*(1+AP78)</f>
        <v>3703.7037037037026</v>
      </c>
      <c r="AQ76" s="109">
        <f>SUM(AM76:AP76)</f>
        <v>16535.962962962964</v>
      </c>
      <c r="AR76" s="124">
        <f t="shared" ref="AR76:AU76" si="100">AM76*(1+AR78)</f>
        <v>4629.6296296296277</v>
      </c>
      <c r="AS76" s="124">
        <f t="shared" si="100"/>
        <v>3935.1851851851834</v>
      </c>
      <c r="AT76" s="64">
        <f t="shared" si="100"/>
        <v>3541.6666666666647</v>
      </c>
      <c r="AU76" s="64">
        <f t="shared" si="100"/>
        <v>4249.9999999999982</v>
      </c>
      <c r="AV76" s="109">
        <f>SUM(AR76:AU76)</f>
        <v>16356.481481481473</v>
      </c>
      <c r="AW76" s="124">
        <f t="shared" ref="AW76:AZ76" si="101">AR76*(1+AW78)</f>
        <v>5312.4999999999973</v>
      </c>
      <c r="AX76" s="124">
        <f t="shared" si="101"/>
        <v>4515.6249999999982</v>
      </c>
      <c r="AY76" s="64">
        <f t="shared" si="101"/>
        <v>4064.0624999999982</v>
      </c>
      <c r="AZ76" s="64">
        <f t="shared" si="101"/>
        <v>4876.8749999999982</v>
      </c>
      <c r="BA76" s="109">
        <f>SUM(AW76:AZ76)</f>
        <v>18769.062499999993</v>
      </c>
      <c r="BB76" s="124">
        <f t="shared" ref="BB76:BE76" si="102">AW76*(1+BB78)</f>
        <v>5206.2499999999973</v>
      </c>
      <c r="BC76" s="124">
        <f t="shared" si="102"/>
        <v>4425.3124999999982</v>
      </c>
      <c r="BD76" s="64">
        <f t="shared" si="102"/>
        <v>3942.1406249999982</v>
      </c>
      <c r="BE76" s="64">
        <f t="shared" si="102"/>
        <v>4730.5687499999985</v>
      </c>
      <c r="BF76" s="109">
        <f>SUM(BB76:BE76)</f>
        <v>18304.271874999991</v>
      </c>
      <c r="BG76" s="124">
        <f>BB76*(1+BG78)</f>
        <v>4997.9999999999973</v>
      </c>
      <c r="BH76" s="124">
        <f>BC76*(1+BH78)</f>
        <v>4248.2999999999984</v>
      </c>
      <c r="BI76" s="64">
        <f t="shared" ref="BI76:BJ76" si="103">BD76*(1+BI78)</f>
        <v>3784.4549999999981</v>
      </c>
      <c r="BJ76" s="64">
        <f t="shared" si="103"/>
        <v>4511.6962142456232</v>
      </c>
      <c r="BK76" s="109">
        <f>SUM(BG76:BJ76)</f>
        <v>17542.451214245615</v>
      </c>
    </row>
    <row r="77" spans="2:64" s="122" customFormat="1" hidden="1" outlineLevel="1" x14ac:dyDescent="0.3">
      <c r="B77" s="756" t="s">
        <v>435</v>
      </c>
      <c r="C77" s="757"/>
      <c r="D77" s="566"/>
      <c r="E77" s="566">
        <f>E76/D76-1</f>
        <v>-0.12462819750148724</v>
      </c>
      <c r="F77" s="566">
        <f>F76/E76-1</f>
        <v>0.17974855589534489</v>
      </c>
      <c r="G77" s="566">
        <f>G76/F76-1</f>
        <v>0.11895161290322576</v>
      </c>
      <c r="H77" s="567"/>
      <c r="I77" s="566">
        <f>I76/G76-1</f>
        <v>6.4092664092664009E-2</v>
      </c>
      <c r="J77" s="566">
        <f>J76/I76-1</f>
        <v>-9.0469279148524429E-2</v>
      </c>
      <c r="K77" s="566">
        <f>K76/J76-1</f>
        <v>4.9734042553191582E-2</v>
      </c>
      <c r="L77" s="566">
        <f>L76/K76-1</f>
        <v>0.23992906004560433</v>
      </c>
      <c r="M77" s="567">
        <f>M76/H76-1</f>
        <v>0.22493046406089889</v>
      </c>
      <c r="N77" s="566">
        <f>N76/L76-1</f>
        <v>6.2116877809562654E-2</v>
      </c>
      <c r="O77" s="566">
        <f>O76/N76-1</f>
        <v>-0.22720277029626779</v>
      </c>
      <c r="P77" s="566">
        <f>P76/O76-1</f>
        <v>7.468259895444529E-4</v>
      </c>
      <c r="Q77" s="566">
        <f>Q76/P76-1</f>
        <v>0.2246268656716417</v>
      </c>
      <c r="R77" s="567">
        <f>R76/M76-1</f>
        <v>8.5031371377352949E-2</v>
      </c>
      <c r="S77" s="566">
        <f>S76/Q76-1</f>
        <v>-0.17509648588259197</v>
      </c>
      <c r="T77" s="566">
        <f>T76/S76-1</f>
        <v>-2.6840679635557696E-2</v>
      </c>
      <c r="U77" s="566">
        <f>U76/T76-1</f>
        <v>-5.01012145748988E-2</v>
      </c>
      <c r="V77" s="566">
        <f>V76/U76-1</f>
        <v>0.21843367075119868</v>
      </c>
      <c r="W77" s="567">
        <f>W76/R76-1</f>
        <v>-0.10006608657341121</v>
      </c>
      <c r="X77" s="566">
        <f>X76/V76-1</f>
        <v>5.7498906864888566E-2</v>
      </c>
      <c r="Y77" s="566">
        <f>Y76/X76-1</f>
        <v>-0.14492454000413479</v>
      </c>
      <c r="Z77" s="566">
        <f>Z76/Y76-1</f>
        <v>6.6972920696324989E-2</v>
      </c>
      <c r="AA77" s="566">
        <f>AA76/Z76-1</f>
        <v>0.25084976206662124</v>
      </c>
      <c r="AB77" s="567">
        <f>AB76/W76-1</f>
        <v>0.15696713787405914</v>
      </c>
      <c r="AC77" s="566">
        <f>AC76/AA76-1</f>
        <v>-1.8115942028984477E-4</v>
      </c>
      <c r="AD77" s="566">
        <f>AD76/AC76-1</f>
        <v>-0.17321978619315093</v>
      </c>
      <c r="AE77" s="568">
        <f>AE76/AD76-1</f>
        <v>5.1062897216743286E-2</v>
      </c>
      <c r="AF77" s="568">
        <f>AF76/AE76-1</f>
        <v>0.19036697247706424</v>
      </c>
      <c r="AG77" s="569">
        <f>AG76/AB76-1</f>
        <v>8.8913572410874941E-2</v>
      </c>
      <c r="AH77" s="568">
        <f>AH76/AF76-1</f>
        <v>-6.9539323874583947E-2</v>
      </c>
      <c r="AI77" s="568">
        <f>AI76/AG76-1</f>
        <v>-0.80405110020886972</v>
      </c>
      <c r="AJ77" s="568">
        <f>AJ76/AH76-1</f>
        <v>-0.19954819277108438</v>
      </c>
      <c r="AK77" s="568">
        <f>AK76/AI76-1</f>
        <v>0.21120475954387707</v>
      </c>
      <c r="AL77" s="569">
        <f>AL76/AG76-1</f>
        <v>-0.10215184339631811</v>
      </c>
      <c r="AM77" s="568">
        <f>AM76/AK76-1</f>
        <v>9.9877200163733137E-2</v>
      </c>
      <c r="AN77" s="568">
        <f>AN76/AL76-1</f>
        <v>-0.77283055615667606</v>
      </c>
      <c r="AO77" s="568">
        <f>AO76/AN76-1</f>
        <v>-0.22380108138622068</v>
      </c>
      <c r="AP77" s="568">
        <f>AP76/AO76-1</f>
        <v>0.1363636363636358</v>
      </c>
      <c r="AQ77" s="569">
        <f>AQ76/AL76-1</f>
        <v>-0.10539044779468931</v>
      </c>
      <c r="AR77" s="568">
        <f>AR76/AP76-1</f>
        <v>0.24999999999999978</v>
      </c>
      <c r="AS77" s="568">
        <f>AS76/AR76-1</f>
        <v>-0.15000000000000002</v>
      </c>
      <c r="AT77" s="568">
        <f>AT76/AS76-1</f>
        <v>-0.10000000000000009</v>
      </c>
      <c r="AU77" s="568">
        <f>AU76/AT76-1</f>
        <v>0.20000000000000018</v>
      </c>
      <c r="AV77" s="569">
        <f>AV76/AQ76-1</f>
        <v>-1.085400843503892E-2</v>
      </c>
      <c r="AW77" s="568">
        <f>AW76/AU76-1</f>
        <v>0.25</v>
      </c>
      <c r="AX77" s="568">
        <f>AX76/AW76-1</f>
        <v>-0.14999999999999991</v>
      </c>
      <c r="AY77" s="568">
        <f>AY76/AX76-1</f>
        <v>-0.10000000000000009</v>
      </c>
      <c r="AZ77" s="568">
        <f>AZ76/AY76-1</f>
        <v>0.20000000000000018</v>
      </c>
      <c r="BA77" s="569">
        <f>BA76/AV76-1</f>
        <v>0.14750000000000019</v>
      </c>
      <c r="BB77" s="568">
        <f>BB76/AZ76-1</f>
        <v>6.7538126361655682E-2</v>
      </c>
      <c r="BC77" s="568">
        <f>BC76/BB76-1</f>
        <v>-0.14999999999999991</v>
      </c>
      <c r="BD77" s="568">
        <f>BD76/BC76-1</f>
        <v>-0.10918367346938784</v>
      </c>
      <c r="BE77" s="568">
        <f>BE76/BD76-1</f>
        <v>0.20000000000000018</v>
      </c>
      <c r="BF77" s="569">
        <f>BF76/BA76-1</f>
        <v>-2.4763656948768809E-2</v>
      </c>
      <c r="BG77" s="568">
        <f>BG76/BE76-1</f>
        <v>5.6532578667205513E-2</v>
      </c>
      <c r="BH77" s="568">
        <f>BH76/BG76-1</f>
        <v>-0.14999999999999991</v>
      </c>
      <c r="BI77" s="568">
        <f>BI76/BH76-1</f>
        <v>-0.10918367346938784</v>
      </c>
      <c r="BJ77" s="568">
        <f>BJ76/BI76-1</f>
        <v>0.19216537500000008</v>
      </c>
      <c r="BK77" s="569">
        <f>BK76/BF76-1</f>
        <v>-4.1619828745817156E-2</v>
      </c>
    </row>
    <row r="78" spans="2:64" s="122" customFormat="1" hidden="1" outlineLevel="1" x14ac:dyDescent="0.3">
      <c r="B78" s="762" t="s">
        <v>434</v>
      </c>
      <c r="C78" s="763"/>
      <c r="D78" s="566"/>
      <c r="E78" s="566"/>
      <c r="F78" s="566"/>
      <c r="G78" s="566"/>
      <c r="H78" s="567"/>
      <c r="I78" s="566">
        <f>I76/D76-1</f>
        <v>0.22962522308149902</v>
      </c>
      <c r="J78" s="566">
        <f t="shared" ref="J78" si="104">J76/E76-1</f>
        <v>0.2776078831124702</v>
      </c>
      <c r="K78" s="568">
        <f t="shared" ref="K78" si="105">K76/F76-1</f>
        <v>0.13680875576036877</v>
      </c>
      <c r="L78" s="568">
        <f t="shared" ref="L78" si="106">L76/G76-1</f>
        <v>0.25971685971685976</v>
      </c>
      <c r="M78" s="567"/>
      <c r="N78" s="566">
        <f>N76/I76-1</f>
        <v>0.25737784228350269</v>
      </c>
      <c r="O78" s="566">
        <f t="shared" ref="O78" si="107">O76/J76-1</f>
        <v>6.8351063829787284E-2</v>
      </c>
      <c r="P78" s="568">
        <f t="shared" ref="P78" si="108">P76/K76-1</f>
        <v>1.8495059538890191E-2</v>
      </c>
      <c r="Q78" s="568">
        <f t="shared" ref="Q78" si="109">Q76/L76-1</f>
        <v>5.9256232120965535E-3</v>
      </c>
      <c r="R78" s="567"/>
      <c r="S78" s="566">
        <f>S76/N76-1</f>
        <v>-0.21873797614467105</v>
      </c>
      <c r="T78" s="566">
        <f t="shared" ref="T78" si="110">T76/O76-1</f>
        <v>-1.6181229773462813E-2</v>
      </c>
      <c r="U78" s="568">
        <f t="shared" ref="U78" si="111">U76/P76-1</f>
        <v>-6.616915422885572E-2</v>
      </c>
      <c r="V78" s="568">
        <f t="shared" ref="V78" si="112">V76/Q76-1</f>
        <v>-7.0891732683323161E-2</v>
      </c>
      <c r="W78" s="567"/>
      <c r="X78" s="566">
        <f>X76/S76-1</f>
        <v>0.19108593942378715</v>
      </c>
      <c r="Y78" s="566">
        <f t="shared" ref="Y78" si="113">Y76/T76-1</f>
        <v>4.6558704453441235E-2</v>
      </c>
      <c r="Z78" s="568">
        <f t="shared" ref="Z78" si="114">Z76/U76-1</f>
        <v>0.17554608417687789</v>
      </c>
      <c r="AA78" s="568">
        <f t="shared" ref="AA78" si="115">AA76/V76-1</f>
        <v>0.2068211630957586</v>
      </c>
      <c r="AB78" s="567"/>
      <c r="AC78" s="568">
        <f>AC76/X76-1</f>
        <v>0.14099648542485022</v>
      </c>
      <c r="AD78" s="568">
        <f>AD76/Y76-1</f>
        <v>0.10323984526112184</v>
      </c>
      <c r="AE78" s="568">
        <f t="shared" ref="AE78" si="116">AE76/Z76-1</f>
        <v>8.6789032404260169E-2</v>
      </c>
      <c r="AF78" s="568">
        <f t="shared" ref="AF78" si="117">AF76/AA76-1</f>
        <v>3.4239130434782661E-2</v>
      </c>
      <c r="AG78" s="569"/>
      <c r="AH78" s="568">
        <f>AH76/AC76-1</f>
        <v>-3.7506794709186497E-2</v>
      </c>
      <c r="AI78" s="568">
        <f t="shared" ref="AI78" si="118">AI76/AD76-1</f>
        <v>-0.11593250054788518</v>
      </c>
      <c r="AJ78" s="568">
        <f t="shared" ref="AJ78" si="119">AJ76/AE76-1</f>
        <v>-0.11342785654712262</v>
      </c>
      <c r="AK78" s="568">
        <f t="shared" ref="AK78" si="120">AK76/AF76-1</f>
        <v>-0.1441583464704852</v>
      </c>
      <c r="AL78" s="569">
        <f>AL76/AG76-1</f>
        <v>-0.10215184339631811</v>
      </c>
      <c r="AM78" s="568">
        <f>AM76/AH76-1</f>
        <v>1.167168674698793E-2</v>
      </c>
      <c r="AN78" s="568">
        <f t="shared" ref="AN78" si="121">AN76/AI76-1</f>
        <v>4.0902330193356429E-2</v>
      </c>
      <c r="AO78" s="570">
        <v>-0.23347618549876303</v>
      </c>
      <c r="AP78" s="570">
        <v>-0.24197631934021646</v>
      </c>
      <c r="AQ78" s="569"/>
      <c r="AR78" s="570">
        <v>-0.13851328067926538</v>
      </c>
      <c r="AS78" s="570">
        <v>-6.2828010196431694E-2</v>
      </c>
      <c r="AT78" s="570">
        <v>8.6647727272726627E-2</v>
      </c>
      <c r="AU78" s="570">
        <v>0.14749999999999996</v>
      </c>
      <c r="AV78" s="569"/>
      <c r="AW78" s="570">
        <v>0.14749999999999996</v>
      </c>
      <c r="AX78" s="570">
        <v>0.14749999999999996</v>
      </c>
      <c r="AY78" s="570">
        <v>0.14750000000000019</v>
      </c>
      <c r="AZ78" s="570">
        <v>0.14749999999999996</v>
      </c>
      <c r="BA78" s="569"/>
      <c r="BB78" s="570">
        <v>-0.02</v>
      </c>
      <c r="BC78" s="570">
        <v>-0.02</v>
      </c>
      <c r="BD78" s="570">
        <v>-0.03</v>
      </c>
      <c r="BE78" s="570">
        <v>-0.03</v>
      </c>
      <c r="BF78" s="569"/>
      <c r="BG78" s="570">
        <v>-0.04</v>
      </c>
      <c r="BH78" s="570">
        <v>-0.04</v>
      </c>
      <c r="BI78" s="570">
        <v>-0.04</v>
      </c>
      <c r="BJ78" s="570">
        <v>-4.6267700000000002E-2</v>
      </c>
      <c r="BK78" s="569"/>
    </row>
    <row r="79" spans="2:64" s="62" customFormat="1" hidden="1" outlineLevel="1" x14ac:dyDescent="0.3">
      <c r="B79" s="758" t="s">
        <v>607</v>
      </c>
      <c r="C79" s="759"/>
      <c r="D79" s="258">
        <f t="shared" ref="D79:AJ79" si="122">D75/D76*1000</f>
        <v>1323.6168947055326</v>
      </c>
      <c r="E79" s="258">
        <f t="shared" si="122"/>
        <v>1277.6078831124703</v>
      </c>
      <c r="F79" s="258">
        <f t="shared" si="122"/>
        <v>1266.9930875576038</v>
      </c>
      <c r="G79" s="258">
        <f t="shared" si="122"/>
        <v>1253.5392535392537</v>
      </c>
      <c r="H79" s="259">
        <f t="shared" si="122"/>
        <v>1279.3880837359097</v>
      </c>
      <c r="I79" s="258">
        <f t="shared" si="122"/>
        <v>1313.4978229317853</v>
      </c>
      <c r="J79" s="258">
        <f t="shared" si="122"/>
        <v>1323.4042553191489</v>
      </c>
      <c r="K79" s="258">
        <f t="shared" si="122"/>
        <v>1293.3873828223968</v>
      </c>
      <c r="L79" s="258">
        <f t="shared" si="122"/>
        <v>1281.5692684920309</v>
      </c>
      <c r="M79" s="259">
        <f t="shared" si="122"/>
        <v>1301.6432626232445</v>
      </c>
      <c r="N79" s="258">
        <f t="shared" si="122"/>
        <v>1269.3343593689881</v>
      </c>
      <c r="O79" s="258">
        <f t="shared" si="122"/>
        <v>1262.8827483196415</v>
      </c>
      <c r="P79" s="258">
        <f t="shared" si="122"/>
        <v>1227.1144278606964</v>
      </c>
      <c r="Q79" s="258">
        <f t="shared" si="122"/>
        <v>1344.0991265488522</v>
      </c>
      <c r="R79" s="259">
        <f t="shared" si="122"/>
        <v>1278.8302676506223</v>
      </c>
      <c r="S79" s="258">
        <f t="shared" si="122"/>
        <v>1359.0248707214971</v>
      </c>
      <c r="T79" s="258">
        <f t="shared" si="122"/>
        <v>1378.2894736842106</v>
      </c>
      <c r="U79" s="258">
        <f t="shared" si="122"/>
        <v>1303.4096963239213</v>
      </c>
      <c r="V79" s="258">
        <f t="shared" si="122"/>
        <v>1229.5583734149541</v>
      </c>
      <c r="W79" s="259">
        <f t="shared" si="122"/>
        <v>1314.6686249311547</v>
      </c>
      <c r="X79" s="258">
        <f t="shared" si="122"/>
        <v>1322.1004755013439</v>
      </c>
      <c r="Y79" s="258">
        <f t="shared" si="122"/>
        <v>1334.3810444874275</v>
      </c>
      <c r="Z79" s="258">
        <f t="shared" si="122"/>
        <v>1255.3818264219351</v>
      </c>
      <c r="AA79" s="258">
        <f t="shared" si="122"/>
        <v>1200.1811594202898</v>
      </c>
      <c r="AB79" s="259">
        <f t="shared" si="122"/>
        <v>1273.6168412144293</v>
      </c>
      <c r="AC79" s="258">
        <f t="shared" si="122"/>
        <v>1258.1989490849792</v>
      </c>
      <c r="AD79" s="258">
        <f t="shared" si="122"/>
        <v>1230.5500767039227</v>
      </c>
      <c r="AE79" s="258">
        <f t="shared" si="122"/>
        <v>1257.2977481234361</v>
      </c>
      <c r="AF79" s="260">
        <f t="shared" si="122"/>
        <v>1205.4650551760378</v>
      </c>
      <c r="AG79" s="259">
        <f t="shared" si="122"/>
        <v>1237.2370913683392</v>
      </c>
      <c r="AH79" s="260">
        <f t="shared" si="122"/>
        <v>1269.9548192771083</v>
      </c>
      <c r="AI79" s="260">
        <f t="shared" si="122"/>
        <v>1265.9890927119484</v>
      </c>
      <c r="AJ79" s="260">
        <f t="shared" si="122"/>
        <v>1232.1260583254939</v>
      </c>
      <c r="AK79" s="260">
        <f>AK75/AK76*1000</f>
        <v>1174.5804338927549</v>
      </c>
      <c r="AL79" s="259">
        <f>AL75/AL76*1000</f>
        <v>1235.1763687513526</v>
      </c>
      <c r="AM79" s="260">
        <f>AM75/AM76*1000</f>
        <v>1347.9717156680313</v>
      </c>
      <c r="AN79" s="260">
        <f t="shared" ref="AN79" si="123">AN75/AN76*1000</f>
        <v>1391.7599428435342</v>
      </c>
      <c r="AO79" s="261">
        <v>1375</v>
      </c>
      <c r="AP79" s="261">
        <v>1300</v>
      </c>
      <c r="AQ79" s="259">
        <f>AQ75/AQ76*1000</f>
        <v>1353.6735868623045</v>
      </c>
      <c r="AR79" s="261">
        <v>1275</v>
      </c>
      <c r="AS79" s="261">
        <v>1250</v>
      </c>
      <c r="AT79" s="261">
        <v>1250</v>
      </c>
      <c r="AU79" s="261">
        <v>1250</v>
      </c>
      <c r="AV79" s="259">
        <f>AV75/AV76*1000</f>
        <v>1257.0761392584207</v>
      </c>
      <c r="AW79" s="261">
        <v>1100</v>
      </c>
      <c r="AX79" s="261">
        <v>1100</v>
      </c>
      <c r="AY79" s="261">
        <v>1100</v>
      </c>
      <c r="AZ79" s="261">
        <v>1100</v>
      </c>
      <c r="BA79" s="259">
        <f>BA75/BA76*1000</f>
        <v>1100</v>
      </c>
      <c r="BB79" s="261">
        <v>1100</v>
      </c>
      <c r="BC79" s="261">
        <v>1100</v>
      </c>
      <c r="BD79" s="261">
        <v>1100</v>
      </c>
      <c r="BE79" s="261">
        <v>1100</v>
      </c>
      <c r="BF79" s="259">
        <f>BF75/BF76*1000</f>
        <v>1100</v>
      </c>
      <c r="BG79" s="261">
        <v>1100</v>
      </c>
      <c r="BH79" s="261">
        <v>1100</v>
      </c>
      <c r="BI79" s="261">
        <v>1100</v>
      </c>
      <c r="BJ79" s="261">
        <v>1100</v>
      </c>
      <c r="BK79" s="259">
        <f>BK75/BK76*1000</f>
        <v>1100.0000000000002</v>
      </c>
    </row>
    <row r="80" spans="2:64" s="84" customFormat="1" hidden="1" outlineLevel="1" x14ac:dyDescent="0.3">
      <c r="B80" s="754" t="s">
        <v>573</v>
      </c>
      <c r="C80" s="755"/>
      <c r="D80" s="380"/>
      <c r="E80" s="380"/>
      <c r="F80" s="380"/>
      <c r="G80" s="380"/>
      <c r="H80" s="380"/>
      <c r="I80" s="380"/>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380"/>
      <c r="AM80" s="380"/>
      <c r="AN80" s="380"/>
      <c r="AO80" s="380"/>
      <c r="AP80" s="380"/>
      <c r="AQ80" s="380"/>
      <c r="AR80" s="380"/>
      <c r="AS80" s="380"/>
      <c r="AT80" s="380"/>
      <c r="AU80" s="380"/>
      <c r="AV80" s="380"/>
      <c r="AW80" s="380"/>
      <c r="AX80" s="380"/>
      <c r="AY80" s="380"/>
      <c r="AZ80" s="380"/>
      <c r="BA80" s="380"/>
      <c r="BB80" s="380"/>
      <c r="BC80" s="380"/>
      <c r="BD80" s="380"/>
      <c r="BE80" s="380"/>
      <c r="BF80" s="380"/>
      <c r="BG80" s="380"/>
      <c r="BH80" s="380"/>
      <c r="BI80" s="380"/>
      <c r="BJ80" s="380"/>
      <c r="BK80" s="381"/>
      <c r="BL80" s="296"/>
    </row>
    <row r="81" spans="2:64" s="199" customFormat="1" hidden="1" outlineLevel="1" x14ac:dyDescent="0.3">
      <c r="B81" s="636" t="s">
        <v>287</v>
      </c>
      <c r="C81" s="637"/>
      <c r="D81" s="330" t="s">
        <v>288</v>
      </c>
      <c r="E81" s="330"/>
      <c r="F81" s="330"/>
      <c r="G81" s="330"/>
      <c r="H81" s="330"/>
      <c r="I81" s="330"/>
      <c r="J81" s="330"/>
      <c r="K81" s="291" t="s">
        <v>313</v>
      </c>
      <c r="L81" s="291"/>
      <c r="M81" s="291"/>
      <c r="N81" s="291"/>
      <c r="O81" s="291"/>
      <c r="P81" s="330"/>
      <c r="Q81" s="330"/>
      <c r="R81" s="330"/>
      <c r="S81" s="291" t="s">
        <v>354</v>
      </c>
      <c r="T81" s="291"/>
      <c r="U81" s="291"/>
      <c r="V81" s="361" t="s">
        <v>355</v>
      </c>
      <c r="W81" s="361"/>
      <c r="X81" s="361"/>
      <c r="Y81" s="361"/>
      <c r="Z81" s="361"/>
      <c r="AA81" s="362" t="s">
        <v>356</v>
      </c>
      <c r="AB81" s="362"/>
      <c r="AC81" s="362"/>
      <c r="AD81" s="325" t="s">
        <v>357</v>
      </c>
      <c r="AE81" s="325"/>
      <c r="AF81" s="325"/>
      <c r="AG81" s="325"/>
      <c r="AH81" s="325"/>
      <c r="AI81" s="325"/>
      <c r="AJ81" s="325"/>
      <c r="AK81" s="325"/>
      <c r="AL81" s="325"/>
      <c r="AM81" s="325"/>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300"/>
      <c r="BL81" s="137"/>
    </row>
    <row r="82" spans="2:64" s="199" customFormat="1" hidden="1" outlineLevel="1" x14ac:dyDescent="0.3">
      <c r="B82" s="636" t="s">
        <v>290</v>
      </c>
      <c r="C82" s="637"/>
      <c r="D82" s="298" t="s">
        <v>309</v>
      </c>
      <c r="E82" s="298"/>
      <c r="F82" s="293" t="s">
        <v>310</v>
      </c>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360" t="s">
        <v>353</v>
      </c>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300"/>
      <c r="BL82" s="137"/>
    </row>
    <row r="83" spans="2:64" s="199" customFormat="1" hidden="1" outlineLevel="1" x14ac:dyDescent="0.3">
      <c r="B83" s="636" t="s">
        <v>286</v>
      </c>
      <c r="C83" s="637"/>
      <c r="D83" s="326"/>
      <c r="E83" s="326"/>
      <c r="F83" s="326" t="s">
        <v>311</v>
      </c>
      <c r="G83" s="326"/>
      <c r="H83" s="326"/>
      <c r="I83" s="326"/>
      <c r="J83" s="335" t="s">
        <v>318</v>
      </c>
      <c r="K83" s="334"/>
      <c r="L83" s="334"/>
      <c r="M83" s="334"/>
      <c r="N83" s="343" t="s">
        <v>317</v>
      </c>
      <c r="O83" s="332"/>
      <c r="P83" s="354" t="s">
        <v>324</v>
      </c>
      <c r="Q83" s="354"/>
      <c r="R83" s="354"/>
      <c r="S83" s="354"/>
      <c r="T83" s="354"/>
      <c r="U83" s="354"/>
      <c r="V83" s="326" t="s">
        <v>340</v>
      </c>
      <c r="W83" s="326"/>
      <c r="X83" s="326"/>
      <c r="Y83" s="326"/>
      <c r="Z83" s="326"/>
      <c r="AA83" s="335" t="s">
        <v>341</v>
      </c>
      <c r="AB83" s="335"/>
      <c r="AC83" s="335"/>
      <c r="AD83" s="382"/>
      <c r="AE83" s="343" t="s">
        <v>344</v>
      </c>
      <c r="AF83" s="343"/>
      <c r="AG83" s="343"/>
      <c r="AH83" s="343"/>
      <c r="AI83" s="343"/>
      <c r="AJ83" s="343"/>
      <c r="AK83" s="343"/>
      <c r="AL83" s="343"/>
      <c r="AM83" s="326" t="s">
        <v>358</v>
      </c>
      <c r="AN83" s="304"/>
      <c r="AO83" s="304"/>
      <c r="AP83" s="304"/>
      <c r="AQ83" s="304"/>
      <c r="AR83" s="304"/>
      <c r="AS83" s="304"/>
      <c r="AT83" s="288"/>
      <c r="AU83" s="295"/>
      <c r="AV83" s="310"/>
      <c r="AW83" s="288"/>
      <c r="AX83" s="288"/>
      <c r="AY83" s="288"/>
      <c r="AZ83" s="288"/>
      <c r="BA83" s="288"/>
      <c r="BB83" s="288"/>
      <c r="BC83" s="288"/>
      <c r="BD83" s="288"/>
      <c r="BE83" s="294" t="s">
        <v>377</v>
      </c>
      <c r="BF83" s="289"/>
      <c r="BG83" s="288"/>
      <c r="BH83" s="288"/>
      <c r="BI83" s="288"/>
      <c r="BJ83" s="288"/>
      <c r="BK83" s="300"/>
      <c r="BL83" s="137"/>
    </row>
    <row r="84" spans="2:64" s="199" customFormat="1" hidden="1" outlineLevel="1" x14ac:dyDescent="0.3">
      <c r="B84" s="636" t="s">
        <v>289</v>
      </c>
      <c r="C84" s="637"/>
      <c r="D84" s="315"/>
      <c r="E84" s="315"/>
      <c r="F84" s="314"/>
      <c r="G84" s="314" t="s">
        <v>297</v>
      </c>
      <c r="H84" s="315"/>
      <c r="I84" s="315"/>
      <c r="J84" s="315"/>
      <c r="K84" s="338" t="s">
        <v>314</v>
      </c>
      <c r="L84" s="339"/>
      <c r="M84" s="339"/>
      <c r="N84" s="339"/>
      <c r="O84" s="339"/>
      <c r="P84" s="351" t="s">
        <v>323</v>
      </c>
      <c r="Q84" s="351"/>
      <c r="R84" s="351"/>
      <c r="S84" s="351"/>
      <c r="T84" s="351"/>
      <c r="U84" s="314" t="s">
        <v>350</v>
      </c>
      <c r="V84" s="315"/>
      <c r="W84" s="315"/>
      <c r="X84" s="315"/>
      <c r="Y84" s="315"/>
      <c r="Z84" s="336" t="s">
        <v>351</v>
      </c>
      <c r="AA84" s="337"/>
      <c r="AB84" s="337"/>
      <c r="AC84" s="337"/>
      <c r="AD84" s="338" t="s">
        <v>352</v>
      </c>
      <c r="AE84" s="339"/>
      <c r="AF84" s="339"/>
      <c r="AG84" s="339"/>
      <c r="AH84" s="339"/>
      <c r="AI84" s="339"/>
      <c r="AJ84" s="339"/>
      <c r="AK84" s="339"/>
      <c r="AL84" s="339"/>
      <c r="AM84" s="339"/>
      <c r="AN84" s="288"/>
      <c r="AO84" s="288"/>
      <c r="AP84" s="288"/>
      <c r="AQ84" s="288"/>
      <c r="AR84" s="288"/>
      <c r="AS84" s="288"/>
      <c r="AT84" s="288"/>
      <c r="AU84" s="294" t="s">
        <v>378</v>
      </c>
      <c r="AV84" s="289"/>
      <c r="AW84" s="288"/>
      <c r="AX84" s="288"/>
      <c r="AY84" s="288"/>
      <c r="AZ84" s="288"/>
      <c r="BA84" s="288"/>
      <c r="BB84" s="288"/>
      <c r="BC84" s="288"/>
      <c r="BD84" s="288"/>
      <c r="BE84" s="288"/>
      <c r="BF84" s="288"/>
      <c r="BG84" s="288"/>
      <c r="BH84" s="288"/>
      <c r="BI84" s="288"/>
      <c r="BJ84" s="288"/>
      <c r="BK84" s="300"/>
      <c r="BL84" s="137"/>
    </row>
    <row r="85" spans="2:64" s="199" customFormat="1" hidden="1" outlineLevel="1" x14ac:dyDescent="0.3">
      <c r="B85" s="636" t="s">
        <v>303</v>
      </c>
      <c r="C85" s="637"/>
      <c r="D85" s="340"/>
      <c r="E85" s="340"/>
      <c r="F85" s="340" t="s">
        <v>304</v>
      </c>
      <c r="G85" s="340"/>
      <c r="H85" s="340"/>
      <c r="I85" s="340"/>
      <c r="J85" s="340"/>
      <c r="K85" s="340"/>
      <c r="L85" s="341" t="s">
        <v>315</v>
      </c>
      <c r="M85" s="342"/>
      <c r="N85" s="342"/>
      <c r="O85" s="342"/>
      <c r="P85" s="342"/>
      <c r="Q85" s="342"/>
      <c r="R85" s="342"/>
      <c r="S85" s="342"/>
      <c r="T85" s="342"/>
      <c r="U85" s="342"/>
      <c r="V85" s="342"/>
      <c r="W85" s="342"/>
      <c r="X85" s="342"/>
      <c r="Y85" s="342"/>
      <c r="Z85" s="342"/>
      <c r="AA85" s="342"/>
      <c r="AB85" s="342"/>
      <c r="AC85" s="364" t="s">
        <v>360</v>
      </c>
      <c r="AD85" s="363"/>
      <c r="AE85" s="363"/>
      <c r="AF85" s="363"/>
      <c r="AG85" s="363"/>
      <c r="AH85" s="363"/>
      <c r="AI85" s="363"/>
      <c r="AJ85" s="363"/>
      <c r="AK85" s="363"/>
      <c r="AL85" s="363"/>
      <c r="AM85" s="363"/>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300"/>
      <c r="BL85" s="137"/>
    </row>
    <row r="86" spans="2:64" s="98" customFormat="1" hidden="1" outlineLevel="1" x14ac:dyDescent="0.3">
      <c r="B86" s="500" t="s">
        <v>301</v>
      </c>
      <c r="C86" s="649"/>
      <c r="D86" s="319"/>
      <c r="E86" s="319"/>
      <c r="F86" s="318" t="s">
        <v>302</v>
      </c>
      <c r="G86" s="319"/>
      <c r="H86" s="318"/>
      <c r="I86" s="318"/>
      <c r="J86" s="318"/>
      <c r="K86" s="318"/>
      <c r="L86" s="318"/>
      <c r="M86" s="318"/>
      <c r="N86" s="318"/>
      <c r="O86" s="318"/>
      <c r="P86" s="660" t="s">
        <v>325</v>
      </c>
      <c r="Q86" s="661"/>
      <c r="R86" s="661"/>
      <c r="S86" s="661"/>
      <c r="T86" s="661"/>
      <c r="U86" s="661"/>
      <c r="V86" s="661"/>
      <c r="W86" s="661"/>
      <c r="X86" s="662" t="s">
        <v>359</v>
      </c>
      <c r="Y86" s="663"/>
      <c r="Z86" s="663"/>
      <c r="AA86" s="663"/>
      <c r="AB86" s="663"/>
      <c r="AC86" s="663"/>
      <c r="AD86" s="663"/>
      <c r="AE86" s="663"/>
      <c r="AF86" s="663"/>
      <c r="AG86" s="663"/>
      <c r="AH86" s="663"/>
      <c r="AI86" s="663"/>
      <c r="AJ86" s="663"/>
      <c r="AK86" s="663"/>
      <c r="AL86" s="663"/>
      <c r="AM86" s="663"/>
      <c r="AN86" s="654"/>
      <c r="AO86" s="654"/>
      <c r="AP86" s="654"/>
      <c r="AQ86" s="654"/>
      <c r="AR86" s="654"/>
      <c r="AS86" s="654"/>
      <c r="AT86" s="654"/>
      <c r="AU86" s="654"/>
      <c r="AV86" s="654"/>
      <c r="AW86" s="654"/>
      <c r="AX86" s="654"/>
      <c r="AY86" s="654"/>
      <c r="AZ86" s="654"/>
      <c r="BA86" s="654"/>
      <c r="BB86" s="654"/>
      <c r="BC86" s="654"/>
      <c r="BD86" s="654"/>
      <c r="BE86" s="654"/>
      <c r="BF86" s="654"/>
      <c r="BG86" s="654"/>
      <c r="BH86" s="654"/>
      <c r="BI86" s="654"/>
      <c r="BJ86" s="654"/>
      <c r="BK86" s="659"/>
      <c r="BL86" s="296"/>
    </row>
    <row r="87" spans="2:64" s="62" customFormat="1" collapsed="1" x14ac:dyDescent="0.3">
      <c r="B87" s="239" t="s">
        <v>261</v>
      </c>
      <c r="C87" s="236"/>
      <c r="D87" s="64"/>
      <c r="E87" s="64"/>
      <c r="F87" s="64"/>
      <c r="G87" s="64"/>
      <c r="H87" s="112"/>
      <c r="I87" s="64"/>
      <c r="J87" s="64"/>
      <c r="K87" s="64"/>
      <c r="L87" s="64"/>
      <c r="M87" s="172"/>
      <c r="N87" s="124"/>
      <c r="O87" s="124"/>
      <c r="P87" s="124"/>
      <c r="Q87" s="124"/>
      <c r="R87" s="172"/>
      <c r="S87" s="124"/>
      <c r="T87" s="124"/>
      <c r="U87" s="124"/>
      <c r="V87" s="124"/>
      <c r="W87" s="172"/>
      <c r="X87" s="124"/>
      <c r="Y87" s="124"/>
      <c r="Z87" s="124"/>
      <c r="AA87" s="124"/>
      <c r="AB87" s="172"/>
      <c r="AC87" s="124"/>
      <c r="AD87" s="124"/>
      <c r="AE87" s="124"/>
      <c r="AF87" s="124"/>
      <c r="AG87" s="172"/>
      <c r="AH87" s="124"/>
      <c r="AI87" s="124"/>
      <c r="AJ87" s="124"/>
      <c r="AK87" s="124"/>
      <c r="AL87" s="172"/>
      <c r="AM87" s="124"/>
      <c r="AN87" s="124"/>
      <c r="AO87" s="124"/>
      <c r="AP87" s="124"/>
      <c r="AQ87" s="172"/>
      <c r="AR87" s="124"/>
      <c r="AS87" s="124"/>
      <c r="AT87" s="124"/>
      <c r="AU87" s="124"/>
      <c r="AV87" s="172"/>
      <c r="AW87" s="124"/>
      <c r="AX87" s="124"/>
      <c r="AY87" s="124"/>
      <c r="AZ87" s="124"/>
      <c r="BA87" s="172"/>
      <c r="BB87" s="124"/>
      <c r="BC87" s="124"/>
      <c r="BD87" s="124"/>
      <c r="BE87" s="124"/>
      <c r="BF87" s="172"/>
      <c r="BG87" s="124"/>
      <c r="BH87" s="124"/>
      <c r="BI87" s="124"/>
      <c r="BJ87" s="124"/>
      <c r="BK87" s="172"/>
    </row>
    <row r="88" spans="2:64" s="62" customFormat="1" hidden="1" outlineLevel="1" x14ac:dyDescent="0.3">
      <c r="B88" s="714" t="s">
        <v>254</v>
      </c>
      <c r="C88" s="715"/>
      <c r="D88" s="64">
        <v>3391</v>
      </c>
      <c r="E88" s="64">
        <v>1861</v>
      </c>
      <c r="F88" s="64">
        <v>1545</v>
      </c>
      <c r="G88" s="64">
        <f>8274-F88-E88-D88</f>
        <v>1477</v>
      </c>
      <c r="H88" s="109">
        <f>SUM(D88:G88)</f>
        <v>8274</v>
      </c>
      <c r="I88" s="64">
        <v>3425</v>
      </c>
      <c r="J88" s="64">
        <v>1600</v>
      </c>
      <c r="K88" s="64">
        <v>1325</v>
      </c>
      <c r="L88" s="64">
        <f>7453-K88-J88-I88</f>
        <v>1103</v>
      </c>
      <c r="M88" s="109">
        <f>SUM(I88:L88)</f>
        <v>7453</v>
      </c>
      <c r="N88" s="64">
        <v>2528</v>
      </c>
      <c r="O88" s="64">
        <v>1207</v>
      </c>
      <c r="P88" s="64">
        <v>1060</v>
      </c>
      <c r="Q88" s="64">
        <f>5615-P88-O88-N88</f>
        <v>820</v>
      </c>
      <c r="R88" s="109">
        <f>SUM(N88:Q88)</f>
        <v>5615</v>
      </c>
      <c r="S88" s="64">
        <v>2143</v>
      </c>
      <c r="T88" s="64">
        <v>962</v>
      </c>
      <c r="U88" s="64">
        <v>733</v>
      </c>
      <c r="V88" s="64">
        <f>4411-U88-T88-S88</f>
        <v>573</v>
      </c>
      <c r="W88" s="109">
        <f>SUM(S88:V88)</f>
        <v>4411</v>
      </c>
      <c r="X88" s="64">
        <v>973</v>
      </c>
      <c r="Y88" s="64">
        <v>461</v>
      </c>
      <c r="Z88" s="64">
        <v>442</v>
      </c>
      <c r="AA88" s="64">
        <f>2286-Z88-Y88-X88</f>
        <v>410</v>
      </c>
      <c r="AB88" s="109">
        <f>SUM(X88:AA88)</f>
        <v>2286</v>
      </c>
      <c r="AC88" s="64"/>
      <c r="AD88" s="64"/>
      <c r="AE88" s="64">
        <f>AE89*AE91/1000</f>
        <v>0</v>
      </c>
      <c r="AF88" s="64">
        <f>AF89*AF91/1000</f>
        <v>0</v>
      </c>
      <c r="AG88" s="109">
        <f>SUM(AC88:AF88)</f>
        <v>0</v>
      </c>
      <c r="AH88" s="64">
        <f>AH89*AH91/1000</f>
        <v>0</v>
      </c>
      <c r="AI88" s="64">
        <f>AI89*AI91/1000</f>
        <v>0</v>
      </c>
      <c r="AJ88" s="64">
        <f>AJ89*AJ91/1000</f>
        <v>0</v>
      </c>
      <c r="AK88" s="64">
        <f>AK89*AK91/1000</f>
        <v>0</v>
      </c>
      <c r="AL88" s="109">
        <f>SUM(AH88:AK88)</f>
        <v>0</v>
      </c>
      <c r="AM88" s="64">
        <f>AM89*AM91/1000</f>
        <v>0</v>
      </c>
      <c r="AN88" s="64">
        <f>AN89*AN91/1000</f>
        <v>0</v>
      </c>
      <c r="AO88" s="64">
        <f>AO89*AO91/1000</f>
        <v>0</v>
      </c>
      <c r="AP88" s="64">
        <f>AP89*AP91/1000</f>
        <v>0</v>
      </c>
      <c r="AQ88" s="109">
        <f>SUM(AM88:AP88)</f>
        <v>0</v>
      </c>
      <c r="AR88" s="64">
        <f>AR89*AR91/1000</f>
        <v>0</v>
      </c>
      <c r="AS88" s="64">
        <f>AS89*AS91/1000</f>
        <v>0</v>
      </c>
      <c r="AT88" s="64">
        <f>AT89*AT91/1000</f>
        <v>0</v>
      </c>
      <c r="AU88" s="64">
        <f>AU89*AU91/1000</f>
        <v>0</v>
      </c>
      <c r="AV88" s="109">
        <f>SUM(AR88:AU88)</f>
        <v>0</v>
      </c>
      <c r="AW88" s="64">
        <f>AW89*AW91/1000</f>
        <v>0</v>
      </c>
      <c r="AX88" s="64">
        <f>AX89*AX91/1000</f>
        <v>0</v>
      </c>
      <c r="AY88" s="64">
        <f>AY89*AY91/1000</f>
        <v>0</v>
      </c>
      <c r="AZ88" s="64">
        <f>AZ89*AZ91/1000</f>
        <v>0</v>
      </c>
      <c r="BA88" s="109">
        <f>SUM(AW88:AZ88)</f>
        <v>0</v>
      </c>
      <c r="BB88" s="64">
        <f>BB89*BB91/1000</f>
        <v>0</v>
      </c>
      <c r="BC88" s="64">
        <f>BC89*BC91/1000</f>
        <v>0</v>
      </c>
      <c r="BD88" s="64">
        <f>BD89*BD91/1000</f>
        <v>0</v>
      </c>
      <c r="BE88" s="64">
        <f>BE89*BE91/1000</f>
        <v>0</v>
      </c>
      <c r="BF88" s="109">
        <f>SUM(BB88:BE88)</f>
        <v>0</v>
      </c>
      <c r="BG88" s="64">
        <f>BG89*BG91/1000</f>
        <v>0</v>
      </c>
      <c r="BH88" s="64">
        <f>BH89*BH91/1000</f>
        <v>0</v>
      </c>
      <c r="BI88" s="64">
        <f>BI89*BI91/1000</f>
        <v>0</v>
      </c>
      <c r="BJ88" s="64">
        <f>BJ89*BJ91/1000</f>
        <v>0</v>
      </c>
      <c r="BK88" s="109">
        <f>SUM(BG88:BJ88)</f>
        <v>0</v>
      </c>
    </row>
    <row r="89" spans="2:64" s="62" customFormat="1" hidden="1" outlineLevel="1" x14ac:dyDescent="0.3">
      <c r="B89" s="714" t="s">
        <v>189</v>
      </c>
      <c r="C89" s="715"/>
      <c r="D89" s="64">
        <v>20970</v>
      </c>
      <c r="E89" s="64">
        <v>10885</v>
      </c>
      <c r="F89" s="64">
        <v>9406</v>
      </c>
      <c r="G89" s="64">
        <f>50312-F89-E89-D89</f>
        <v>9051</v>
      </c>
      <c r="H89" s="109">
        <f>SUM(D89:G89)</f>
        <v>50312</v>
      </c>
      <c r="I89" s="64">
        <v>19446</v>
      </c>
      <c r="J89" s="64">
        <v>9017</v>
      </c>
      <c r="K89" s="64">
        <v>7535</v>
      </c>
      <c r="L89" s="64">
        <f>42620-K89-J89-I89</f>
        <v>6622</v>
      </c>
      <c r="M89" s="109">
        <f>SUM(I89:L89)</f>
        <v>42620</v>
      </c>
      <c r="N89" s="64">
        <v>15397</v>
      </c>
      <c r="O89" s="64">
        <v>7673</v>
      </c>
      <c r="P89" s="64">
        <v>6751</v>
      </c>
      <c r="Q89" s="64">
        <f>35165-P89-O89-N89</f>
        <v>5344</v>
      </c>
      <c r="R89" s="109">
        <f>SUM(N89:Q89)</f>
        <v>35165</v>
      </c>
      <c r="S89" s="64">
        <v>12679</v>
      </c>
      <c r="T89" s="64">
        <v>5633</v>
      </c>
      <c r="U89" s="64">
        <v>4569</v>
      </c>
      <c r="V89" s="64">
        <f>26379-U89-T89-S89</f>
        <v>3498</v>
      </c>
      <c r="W89" s="109">
        <f>SUM(S89:V89)</f>
        <v>26379</v>
      </c>
      <c r="X89" s="64">
        <v>6049</v>
      </c>
      <c r="Y89" s="64">
        <v>2761</v>
      </c>
      <c r="Z89" s="64">
        <v>2926</v>
      </c>
      <c r="AA89" s="64">
        <f>14377-Z89-Y89-X89</f>
        <v>2641</v>
      </c>
      <c r="AB89" s="109">
        <f>SUM(X89:AA89)</f>
        <v>14377</v>
      </c>
      <c r="AC89" s="124"/>
      <c r="AD89" s="124">
        <f>AC89*(1+AD90)</f>
        <v>0</v>
      </c>
      <c r="AE89" s="64">
        <f>AD89*(1+AE90)</f>
        <v>0</v>
      </c>
      <c r="AF89" s="64">
        <f>AE89*(1+AF90)</f>
        <v>0</v>
      </c>
      <c r="AG89" s="109">
        <f>SUM(AC89:AF89)</f>
        <v>0</v>
      </c>
      <c r="AH89" s="124">
        <f>AF89*(1+AH90)</f>
        <v>0</v>
      </c>
      <c r="AI89" s="124">
        <f>AH89*(1+AI90)</f>
        <v>0</v>
      </c>
      <c r="AJ89" s="64">
        <f>AI89*(1+AJ90)</f>
        <v>0</v>
      </c>
      <c r="AK89" s="64">
        <f>AJ89*(1+AK90)</f>
        <v>0</v>
      </c>
      <c r="AL89" s="109">
        <f>SUM(AH89:AK89)</f>
        <v>0</v>
      </c>
      <c r="AM89" s="124">
        <f>AK89*(1+AM90)</f>
        <v>0</v>
      </c>
      <c r="AN89" s="124">
        <f>AM89*(1+AN90)</f>
        <v>0</v>
      </c>
      <c r="AO89" s="64">
        <f>AN89*(1+AO90)</f>
        <v>0</v>
      </c>
      <c r="AP89" s="64">
        <f>AO89*(1+AP90)</f>
        <v>0</v>
      </c>
      <c r="AQ89" s="109">
        <f>SUM(AM89:AP89)</f>
        <v>0</v>
      </c>
      <c r="AR89" s="124">
        <f>AP89*(1+AR90)</f>
        <v>0</v>
      </c>
      <c r="AS89" s="124">
        <f>AR89*(1+AS90)</f>
        <v>0</v>
      </c>
      <c r="AT89" s="64">
        <f>AS89*(1+AT90)</f>
        <v>0</v>
      </c>
      <c r="AU89" s="64">
        <f>AT89*(1+AU90)</f>
        <v>0</v>
      </c>
      <c r="AV89" s="109">
        <f>SUM(AR89:AU89)</f>
        <v>0</v>
      </c>
      <c r="AW89" s="124">
        <f>AU89*(1+AW90)</f>
        <v>0</v>
      </c>
      <c r="AX89" s="124">
        <f>AW89*(1+AX90)</f>
        <v>0</v>
      </c>
      <c r="AY89" s="64">
        <f>AX89*(1+AY90)</f>
        <v>0</v>
      </c>
      <c r="AZ89" s="64">
        <f>AY89*(1+AZ90)</f>
        <v>0</v>
      </c>
      <c r="BA89" s="109">
        <f>SUM(AW89:AZ89)</f>
        <v>0</v>
      </c>
      <c r="BB89" s="124">
        <f>AZ89*(1+BB90)</f>
        <v>0</v>
      </c>
      <c r="BC89" s="124">
        <f>BB89*(1+BC90)</f>
        <v>0</v>
      </c>
      <c r="BD89" s="64">
        <f>BC89*(1+BD90)</f>
        <v>0</v>
      </c>
      <c r="BE89" s="64">
        <f>BD89*(1+BE90)</f>
        <v>0</v>
      </c>
      <c r="BF89" s="109">
        <f>SUM(BB89:BE89)</f>
        <v>0</v>
      </c>
      <c r="BG89" s="124">
        <f>BE89*(1+BG90)</f>
        <v>0</v>
      </c>
      <c r="BH89" s="124">
        <f>BG89*(1+BH90)</f>
        <v>0</v>
      </c>
      <c r="BI89" s="64">
        <f>BH89*(1+BI90)</f>
        <v>0</v>
      </c>
      <c r="BJ89" s="64">
        <f>BI89*(1+BJ90)</f>
        <v>0</v>
      </c>
      <c r="BK89" s="109">
        <f>SUM(BG89:BJ89)</f>
        <v>0</v>
      </c>
    </row>
    <row r="90" spans="2:64" s="122" customFormat="1" hidden="1" outlineLevel="1" x14ac:dyDescent="0.3">
      <c r="B90" s="756" t="s">
        <v>436</v>
      </c>
      <c r="C90" s="757"/>
      <c r="D90" s="119"/>
      <c r="E90" s="566">
        <f>E89/D89-1</f>
        <v>-0.48092513113972346</v>
      </c>
      <c r="F90" s="566">
        <f>F89/E89-1</f>
        <v>-0.13587505741846573</v>
      </c>
      <c r="G90" s="566">
        <f>G89/F89-1</f>
        <v>-3.7741866893472253E-2</v>
      </c>
      <c r="H90" s="567"/>
      <c r="I90" s="566">
        <f>I89/G89-1</f>
        <v>1.148491879350348</v>
      </c>
      <c r="J90" s="566">
        <f>J89/I89-1</f>
        <v>-0.53630566697521342</v>
      </c>
      <c r="K90" s="566">
        <f>K89/J89-1</f>
        <v>-0.16435621603637574</v>
      </c>
      <c r="L90" s="566">
        <f>L89/K89-1</f>
        <v>-0.12116788321167882</v>
      </c>
      <c r="M90" s="567">
        <f>M89/H89-1</f>
        <v>-0.15288599141357928</v>
      </c>
      <c r="N90" s="566">
        <f>N89/L89-1</f>
        <v>1.3251283600120809</v>
      </c>
      <c r="O90" s="566">
        <f>O89/N89-1</f>
        <v>-0.50165616678573755</v>
      </c>
      <c r="P90" s="566">
        <f>P89/O89-1</f>
        <v>-0.12016160563013167</v>
      </c>
      <c r="Q90" s="566">
        <f>Q89/P89-1</f>
        <v>-0.20841356836024294</v>
      </c>
      <c r="R90" s="567">
        <f>R89/M89-1</f>
        <v>-0.17491787893007982</v>
      </c>
      <c r="S90" s="566">
        <f>S89/Q89-1</f>
        <v>1.372567365269461</v>
      </c>
      <c r="T90" s="566">
        <f>T89/S89-1</f>
        <v>-0.55572206009937686</v>
      </c>
      <c r="U90" s="566">
        <f>U89/T89-1</f>
        <v>-0.18888691638558497</v>
      </c>
      <c r="V90" s="566">
        <f>V89/U89-1</f>
        <v>-0.2344057780695995</v>
      </c>
      <c r="W90" s="567">
        <f>W89/R89-1</f>
        <v>-0.24985070382482577</v>
      </c>
      <c r="X90" s="566">
        <f>X89/V89-1</f>
        <v>0.72927387078330486</v>
      </c>
      <c r="Y90" s="566">
        <f>Y89/X89-1</f>
        <v>-0.54356091916019178</v>
      </c>
      <c r="Z90" s="566">
        <f>Z89/Y89-1</f>
        <v>5.9760956175298752E-2</v>
      </c>
      <c r="AA90" s="566">
        <f>AA89/Z89-1</f>
        <v>-9.740259740259738E-2</v>
      </c>
      <c r="AB90" s="567">
        <f>AB89/W89-1</f>
        <v>-0.45498313052048978</v>
      </c>
      <c r="AC90" s="119"/>
      <c r="AD90" s="119"/>
      <c r="AE90" s="119"/>
      <c r="AF90" s="173"/>
      <c r="AG90" s="121"/>
      <c r="AH90" s="173"/>
      <c r="AI90" s="173"/>
      <c r="AJ90" s="173"/>
      <c r="AK90" s="173"/>
      <c r="AL90" s="121"/>
      <c r="AM90" s="173"/>
      <c r="AN90" s="173"/>
      <c r="AO90" s="173"/>
      <c r="AP90" s="173"/>
      <c r="AQ90" s="121"/>
      <c r="AR90" s="173"/>
      <c r="AS90" s="173"/>
      <c r="AT90" s="173"/>
      <c r="AU90" s="173"/>
      <c r="AV90" s="121"/>
      <c r="AW90" s="173"/>
      <c r="AX90" s="173"/>
      <c r="AY90" s="173"/>
      <c r="AZ90" s="173"/>
      <c r="BA90" s="121"/>
      <c r="BB90" s="173"/>
      <c r="BC90" s="173"/>
      <c r="BD90" s="173"/>
      <c r="BE90" s="173"/>
      <c r="BF90" s="121"/>
      <c r="BG90" s="173"/>
      <c r="BH90" s="173"/>
      <c r="BI90" s="173"/>
      <c r="BJ90" s="173"/>
      <c r="BK90" s="121"/>
    </row>
    <row r="91" spans="2:64" s="62" customFormat="1" hidden="1" outlineLevel="1" x14ac:dyDescent="0.3">
      <c r="B91" s="758" t="s">
        <v>263</v>
      </c>
      <c r="C91" s="759"/>
      <c r="D91" s="258">
        <f t="shared" ref="D91:AB91" si="124">D88/D89*1000</f>
        <v>161.70720076299474</v>
      </c>
      <c r="E91" s="258">
        <f t="shared" si="124"/>
        <v>170.96922370234265</v>
      </c>
      <c r="F91" s="258">
        <f t="shared" si="124"/>
        <v>164.25685732511164</v>
      </c>
      <c r="G91" s="258">
        <f t="shared" si="124"/>
        <v>163.18638824439287</v>
      </c>
      <c r="H91" s="259">
        <f t="shared" si="124"/>
        <v>164.45380823660361</v>
      </c>
      <c r="I91" s="258">
        <f t="shared" si="124"/>
        <v>176.12876684150982</v>
      </c>
      <c r="J91" s="258">
        <f t="shared" si="124"/>
        <v>177.44260840634357</v>
      </c>
      <c r="K91" s="258">
        <f t="shared" si="124"/>
        <v>175.84605175846053</v>
      </c>
      <c r="L91" s="258">
        <f t="shared" si="124"/>
        <v>166.56599214738748</v>
      </c>
      <c r="M91" s="259">
        <f t="shared" si="124"/>
        <v>174.87095260441106</v>
      </c>
      <c r="N91" s="258">
        <f t="shared" si="124"/>
        <v>164.18782879781776</v>
      </c>
      <c r="O91" s="258">
        <f t="shared" si="124"/>
        <v>157.30483513619183</v>
      </c>
      <c r="P91" s="258">
        <f t="shared" si="124"/>
        <v>157.01377573692787</v>
      </c>
      <c r="Q91" s="258">
        <f t="shared" si="124"/>
        <v>153.44311377245509</v>
      </c>
      <c r="R91" s="259">
        <f t="shared" si="124"/>
        <v>159.67581401962178</v>
      </c>
      <c r="S91" s="258">
        <f t="shared" si="124"/>
        <v>169.01963877277387</v>
      </c>
      <c r="T91" s="258">
        <f t="shared" si="124"/>
        <v>170.77933605538789</v>
      </c>
      <c r="U91" s="258">
        <f t="shared" si="124"/>
        <v>160.42897789450646</v>
      </c>
      <c r="V91" s="258">
        <f t="shared" si="124"/>
        <v>163.80789022298455</v>
      </c>
      <c r="W91" s="259">
        <f t="shared" si="124"/>
        <v>167.21634633610068</v>
      </c>
      <c r="X91" s="258">
        <f t="shared" si="124"/>
        <v>160.85303355926601</v>
      </c>
      <c r="Y91" s="258">
        <f t="shared" si="124"/>
        <v>166.96848967765303</v>
      </c>
      <c r="Z91" s="258">
        <f t="shared" si="124"/>
        <v>151.05946684894053</v>
      </c>
      <c r="AA91" s="258">
        <f t="shared" si="124"/>
        <v>155.2442256720939</v>
      </c>
      <c r="AB91" s="259">
        <f t="shared" si="124"/>
        <v>159.00396466578562</v>
      </c>
      <c r="AC91" s="258"/>
      <c r="AD91" s="260"/>
      <c r="AE91" s="260"/>
      <c r="AF91" s="260"/>
      <c r="AG91" s="262"/>
      <c r="AH91" s="260"/>
      <c r="AI91" s="260"/>
      <c r="AJ91" s="260"/>
      <c r="AK91" s="260"/>
      <c r="AL91" s="262"/>
      <c r="AM91" s="260"/>
      <c r="AN91" s="260"/>
      <c r="AO91" s="260"/>
      <c r="AP91" s="260"/>
      <c r="AQ91" s="262"/>
      <c r="AR91" s="260"/>
      <c r="AS91" s="260"/>
      <c r="AT91" s="260"/>
      <c r="AU91" s="260"/>
      <c r="AV91" s="262"/>
      <c r="AW91" s="260"/>
      <c r="AX91" s="260"/>
      <c r="AY91" s="260"/>
      <c r="AZ91" s="260"/>
      <c r="BA91" s="262"/>
      <c r="BB91" s="260"/>
      <c r="BC91" s="260"/>
      <c r="BD91" s="260"/>
      <c r="BE91" s="260"/>
      <c r="BF91" s="262"/>
      <c r="BG91" s="260"/>
      <c r="BH91" s="260"/>
      <c r="BI91" s="260"/>
      <c r="BJ91" s="260"/>
      <c r="BK91" s="262"/>
    </row>
    <row r="92" spans="2:64" s="199" customFormat="1" hidden="1" outlineLevel="1" x14ac:dyDescent="0.3">
      <c r="B92" s="760" t="s">
        <v>574</v>
      </c>
      <c r="C92" s="761"/>
      <c r="D92" s="303"/>
      <c r="E92" s="303"/>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72"/>
      <c r="AI92" s="303"/>
      <c r="AJ92" s="303"/>
      <c r="AK92" s="303"/>
      <c r="AL92" s="303"/>
      <c r="AM92" s="372"/>
      <c r="AN92" s="303"/>
      <c r="AO92" s="303"/>
      <c r="AP92" s="303"/>
      <c r="AQ92" s="303"/>
      <c r="AR92" s="303"/>
      <c r="AS92" s="303"/>
      <c r="AT92" s="303"/>
      <c r="AU92" s="303"/>
      <c r="AV92" s="303"/>
      <c r="AW92" s="303"/>
      <c r="AX92" s="303"/>
      <c r="AY92" s="303"/>
      <c r="AZ92" s="303"/>
      <c r="BA92" s="303"/>
      <c r="BB92" s="303"/>
      <c r="BC92" s="303"/>
      <c r="BD92" s="303"/>
      <c r="BE92" s="303"/>
      <c r="BF92" s="303"/>
      <c r="BG92" s="303"/>
      <c r="BH92" s="303"/>
      <c r="BI92" s="303"/>
      <c r="BJ92" s="303"/>
      <c r="BK92" s="374"/>
      <c r="BL92" s="137"/>
    </row>
    <row r="93" spans="2:64" s="199" customFormat="1" hidden="1" outlineLevel="1" x14ac:dyDescent="0.3">
      <c r="B93" s="307" t="s">
        <v>292</v>
      </c>
      <c r="C93" s="306"/>
      <c r="D93" s="330" t="s">
        <v>601</v>
      </c>
      <c r="E93" s="331"/>
      <c r="F93" s="331"/>
      <c r="G93" s="331"/>
      <c r="H93" s="331"/>
      <c r="I93" s="331"/>
      <c r="J93" s="331"/>
      <c r="K93" s="331"/>
      <c r="L93" s="331"/>
      <c r="M93" s="331"/>
      <c r="N93" s="331"/>
      <c r="O93" s="331"/>
      <c r="P93" s="331"/>
      <c r="Q93" s="331"/>
      <c r="R93" s="331"/>
      <c r="S93" s="331"/>
      <c r="T93" s="331"/>
      <c r="U93" s="331"/>
      <c r="V93" s="331"/>
      <c r="W93" s="331"/>
      <c r="X93" s="331"/>
      <c r="Y93" s="331"/>
      <c r="Z93" s="331"/>
      <c r="AA93" s="331"/>
      <c r="AB93" s="310"/>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300"/>
      <c r="BL93" s="137"/>
    </row>
    <row r="94" spans="2:64" s="199" customFormat="1" hidden="1" outlineLevel="1" x14ac:dyDescent="0.3">
      <c r="B94" s="307" t="s">
        <v>293</v>
      </c>
      <c r="C94" s="306"/>
      <c r="D94" s="298"/>
      <c r="E94" s="299"/>
      <c r="F94" s="299"/>
      <c r="G94" s="299"/>
      <c r="H94" s="293" t="s">
        <v>299</v>
      </c>
      <c r="I94" s="311"/>
      <c r="J94" s="311"/>
      <c r="K94" s="311"/>
      <c r="L94" s="311"/>
      <c r="M94" s="311"/>
      <c r="N94" s="293"/>
      <c r="O94" s="311"/>
      <c r="P94" s="311"/>
      <c r="Q94" s="311"/>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300"/>
      <c r="BL94" s="137"/>
    </row>
    <row r="95" spans="2:64" s="199" customFormat="1" hidden="1" outlineLevel="1" x14ac:dyDescent="0.3">
      <c r="B95" s="307" t="s">
        <v>291</v>
      </c>
      <c r="C95" s="306"/>
      <c r="D95" s="316" t="s">
        <v>295</v>
      </c>
      <c r="E95" s="317"/>
      <c r="F95" s="317"/>
      <c r="G95" s="317"/>
      <c r="H95" s="312" t="s">
        <v>298</v>
      </c>
      <c r="I95" s="313"/>
      <c r="J95" s="313"/>
      <c r="K95" s="313"/>
      <c r="L95" s="312"/>
      <c r="M95" s="313"/>
      <c r="N95" s="313"/>
      <c r="O95" s="313"/>
      <c r="P95" s="313"/>
      <c r="Q95" s="294" t="s">
        <v>329</v>
      </c>
      <c r="R95" s="289"/>
      <c r="S95" s="289"/>
      <c r="T95" s="289"/>
      <c r="U95" s="289"/>
      <c r="V95" s="289"/>
      <c r="W95" s="289"/>
      <c r="X95" s="289"/>
      <c r="Y95" s="289"/>
      <c r="Z95" s="289"/>
      <c r="AA95" s="289"/>
      <c r="AB95" s="289"/>
      <c r="AC95" s="289"/>
      <c r="AD95" s="289"/>
      <c r="AE95" s="333" t="s">
        <v>345</v>
      </c>
      <c r="AF95" s="333"/>
      <c r="AG95" s="333"/>
      <c r="AH95" s="333"/>
      <c r="AI95" s="333"/>
      <c r="AJ95" s="333"/>
      <c r="AK95" s="333"/>
      <c r="AL95" s="333"/>
      <c r="AM95" s="333"/>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300"/>
      <c r="BL95" s="137"/>
    </row>
    <row r="96" spans="2:64" s="199" customFormat="1" hidden="1" outlineLevel="1" x14ac:dyDescent="0.3">
      <c r="B96" s="309" t="s">
        <v>294</v>
      </c>
      <c r="C96" s="308"/>
      <c r="D96" s="318" t="s">
        <v>296</v>
      </c>
      <c r="E96" s="319"/>
      <c r="F96" s="319"/>
      <c r="G96" s="319"/>
      <c r="H96" s="320" t="s">
        <v>300</v>
      </c>
      <c r="I96" s="369"/>
      <c r="J96" s="369"/>
      <c r="K96" s="369"/>
      <c r="L96" s="320"/>
      <c r="M96" s="369"/>
      <c r="N96" s="369"/>
      <c r="O96" s="369"/>
      <c r="P96" s="369"/>
      <c r="Q96" s="375" t="s">
        <v>328</v>
      </c>
      <c r="R96" s="376"/>
      <c r="S96" s="376"/>
      <c r="T96" s="376"/>
      <c r="U96" s="297"/>
      <c r="V96" s="297"/>
      <c r="W96" s="297"/>
      <c r="X96" s="297"/>
      <c r="Y96" s="297"/>
      <c r="Z96" s="297"/>
      <c r="AA96" s="297"/>
      <c r="AB96" s="297"/>
      <c r="AC96" s="297"/>
      <c r="AD96" s="297"/>
      <c r="AE96" s="297"/>
      <c r="AF96" s="297"/>
      <c r="AG96" s="297"/>
      <c r="AH96" s="297"/>
      <c r="AI96" s="297"/>
      <c r="AJ96" s="297"/>
      <c r="AK96" s="297"/>
      <c r="AL96" s="297"/>
      <c r="AM96" s="297"/>
      <c r="AN96" s="297"/>
      <c r="AO96" s="297"/>
      <c r="AP96" s="297"/>
      <c r="AQ96" s="297"/>
      <c r="AR96" s="297"/>
      <c r="AS96" s="297"/>
      <c r="AT96" s="297"/>
      <c r="AU96" s="297"/>
      <c r="AV96" s="297"/>
      <c r="AW96" s="297"/>
      <c r="AX96" s="297"/>
      <c r="AY96" s="297"/>
      <c r="AZ96" s="297"/>
      <c r="BA96" s="297"/>
      <c r="BB96" s="297"/>
      <c r="BC96" s="297"/>
      <c r="BD96" s="297"/>
      <c r="BE96" s="297"/>
      <c r="BF96" s="297"/>
      <c r="BG96" s="297"/>
      <c r="BH96" s="297"/>
      <c r="BI96" s="297"/>
      <c r="BJ96" s="297"/>
      <c r="BK96" s="302"/>
      <c r="BL96" s="137"/>
    </row>
    <row r="97" spans="2:65" s="62" customFormat="1" collapsed="1" x14ac:dyDescent="0.3">
      <c r="B97" s="760" t="s">
        <v>265</v>
      </c>
      <c r="C97" s="761"/>
      <c r="D97" s="263"/>
      <c r="E97" s="263"/>
      <c r="F97" s="263"/>
      <c r="G97" s="263"/>
      <c r="H97" s="264"/>
      <c r="I97" s="263"/>
      <c r="J97" s="263"/>
      <c r="K97" s="263"/>
      <c r="L97" s="263"/>
      <c r="M97" s="264"/>
      <c r="N97" s="263"/>
      <c r="O97" s="263"/>
      <c r="P97" s="263"/>
      <c r="Q97" s="263"/>
      <c r="R97" s="264"/>
      <c r="S97" s="263"/>
      <c r="T97" s="263"/>
      <c r="U97" s="263"/>
      <c r="V97" s="263"/>
      <c r="W97" s="264"/>
      <c r="X97" s="263"/>
      <c r="Y97" s="263"/>
      <c r="Z97" s="263"/>
      <c r="AA97" s="263"/>
      <c r="AB97" s="264"/>
      <c r="AC97" s="263"/>
      <c r="AD97" s="265"/>
      <c r="AE97" s="265"/>
      <c r="AF97" s="265"/>
      <c r="AG97" s="266"/>
      <c r="AH97" s="265"/>
      <c r="AI97" s="265"/>
      <c r="AJ97" s="265"/>
      <c r="AK97" s="265"/>
      <c r="AL97" s="266"/>
      <c r="AM97" s="265"/>
      <c r="AN97" s="265"/>
      <c r="AO97" s="265"/>
      <c r="AP97" s="265"/>
      <c r="AQ97" s="266"/>
      <c r="AR97" s="265"/>
      <c r="AS97" s="265"/>
      <c r="AT97" s="265"/>
      <c r="AU97" s="265"/>
      <c r="AV97" s="266"/>
      <c r="AW97" s="265"/>
      <c r="AX97" s="265"/>
      <c r="AY97" s="265"/>
      <c r="AZ97" s="265"/>
      <c r="BA97" s="266"/>
      <c r="BB97" s="265"/>
      <c r="BC97" s="265"/>
      <c r="BD97" s="265"/>
      <c r="BE97" s="265"/>
      <c r="BF97" s="266"/>
      <c r="BG97" s="265"/>
      <c r="BH97" s="265"/>
      <c r="BI97" s="265"/>
      <c r="BJ97" s="265"/>
      <c r="BK97" s="266"/>
    </row>
    <row r="98" spans="2:65" s="62" customFormat="1" hidden="1" outlineLevel="1" x14ac:dyDescent="0.3">
      <c r="B98" s="154" t="s">
        <v>255</v>
      </c>
      <c r="C98" s="155"/>
      <c r="D98" s="64"/>
      <c r="E98" s="64"/>
      <c r="F98" s="64"/>
      <c r="G98" s="64"/>
      <c r="H98" s="109"/>
      <c r="I98" s="64"/>
      <c r="J98" s="64"/>
      <c r="K98" s="64"/>
      <c r="L98" s="64"/>
      <c r="M98" s="109"/>
      <c r="N98" s="64"/>
      <c r="O98" s="64"/>
      <c r="P98" s="64"/>
      <c r="Q98" s="64"/>
      <c r="R98" s="109"/>
      <c r="S98" s="64"/>
      <c r="T98" s="64"/>
      <c r="U98" s="64"/>
      <c r="V98" s="64"/>
      <c r="W98" s="109"/>
      <c r="X98" s="64"/>
      <c r="Y98" s="64"/>
      <c r="Z98" s="64"/>
      <c r="AA98" s="64"/>
      <c r="AB98" s="109"/>
      <c r="AC98" s="64">
        <f>AC99*AC102/1000</f>
        <v>0</v>
      </c>
      <c r="AD98" s="64">
        <f>AD99*AD102/1000</f>
        <v>0</v>
      </c>
      <c r="AE98" s="208">
        <f>AE99*AE102/1000</f>
        <v>867.55000000000018</v>
      </c>
      <c r="AF98" s="208">
        <f>AF99*AF102/1000</f>
        <v>1084.4375000000002</v>
      </c>
      <c r="AG98" s="109">
        <f>SUM(AC98:AF98)</f>
        <v>1951.9875000000004</v>
      </c>
      <c r="AH98" s="208">
        <f>AH99*AH102/1000</f>
        <v>1626.6562500000005</v>
      </c>
      <c r="AI98" s="208">
        <f>AI99*AI102/1000</f>
        <v>690.61093749999941</v>
      </c>
      <c r="AJ98" s="208">
        <f>AJ99*AJ102/1000</f>
        <v>870.44984374999956</v>
      </c>
      <c r="AK98" s="208">
        <f>AK99*AK102/1000</f>
        <v>889.59482812499994</v>
      </c>
      <c r="AL98" s="109">
        <f>SUM(AH98:AK98)</f>
        <v>4077.3118593749991</v>
      </c>
      <c r="AM98" s="208">
        <f>AM99*AM102/1000</f>
        <v>1650.5517249999989</v>
      </c>
      <c r="AN98" s="208">
        <f>AN99*AN102/1000</f>
        <v>1092.9137937499991</v>
      </c>
      <c r="AO98" s="64">
        <f>AO99*AO102/1000</f>
        <v>983.62241437499927</v>
      </c>
      <c r="AP98" s="64">
        <f>AP99*AP102/1000</f>
        <v>1229.5280179687488</v>
      </c>
      <c r="AQ98" s="109">
        <f>SUM(AM98:AP98)</f>
        <v>4956.6159510937459</v>
      </c>
      <c r="AR98" s="64">
        <f>AR99*AR102/1000</f>
        <v>1536.9100224609363</v>
      </c>
      <c r="AS98" s="64">
        <f>AS99*AS102/1000</f>
        <v>1152.6825168457019</v>
      </c>
      <c r="AT98" s="64">
        <f>AT99*AT102/1000</f>
        <v>1037.4142651611321</v>
      </c>
      <c r="AU98" s="64">
        <f>AU99*AU102/1000</f>
        <v>1141.1556916772454</v>
      </c>
      <c r="AV98" s="109">
        <f>SUM(AR98:AU98)</f>
        <v>4868.1624961450152</v>
      </c>
      <c r="AW98" s="64">
        <f>AW99*AW102/1000</f>
        <v>1255.2712608449699</v>
      </c>
      <c r="AX98" s="64">
        <f>AX99*AX102/1000</f>
        <v>1129.7441347604729</v>
      </c>
      <c r="AY98" s="64">
        <f>AY99*AY102/1000</f>
        <v>1016.7697212844258</v>
      </c>
      <c r="AZ98" s="64">
        <f>AZ99*AZ102/1000</f>
        <v>1067.6082073486471</v>
      </c>
      <c r="BA98" s="109">
        <f>SUM(AW98:AZ98)</f>
        <v>4469.3933242385156</v>
      </c>
      <c r="BB98" s="64">
        <f>BB99*BB102/1000</f>
        <v>1174.3690280835119</v>
      </c>
      <c r="BC98" s="64">
        <f>BC99*BC102/1000</f>
        <v>1056.9321252751606</v>
      </c>
      <c r="BD98" s="64">
        <f>BD99*BD102/1000</f>
        <v>951.2389127476448</v>
      </c>
      <c r="BE98" s="64">
        <f>BE99*BE102/1000</f>
        <v>998.80085838502714</v>
      </c>
      <c r="BF98" s="109">
        <f>SUM(BB98:BE98)</f>
        <v>4181.3409244913446</v>
      </c>
      <c r="BG98" s="64">
        <f>BG99*BG102/1000</f>
        <v>1098.6809442235299</v>
      </c>
      <c r="BH98" s="64">
        <f>BH99*BH102/1000</f>
        <v>988.81284980117664</v>
      </c>
      <c r="BI98" s="64">
        <f>BI99*BI102/1000</f>
        <v>889.93156482105917</v>
      </c>
      <c r="BJ98" s="64">
        <f>BJ99*BJ102/1000</f>
        <v>934.4281430621121</v>
      </c>
      <c r="BK98" s="109">
        <f>SUM(BG98:BJ98)</f>
        <v>3911.8535019078777</v>
      </c>
    </row>
    <row r="99" spans="2:65" s="62" customFormat="1" hidden="1" outlineLevel="1" x14ac:dyDescent="0.3">
      <c r="B99" s="154" t="s">
        <v>194</v>
      </c>
      <c r="C99" s="155"/>
      <c r="D99" s="64"/>
      <c r="E99" s="64"/>
      <c r="F99" s="64"/>
      <c r="G99" s="64"/>
      <c r="H99" s="109"/>
      <c r="I99" s="64"/>
      <c r="J99" s="64"/>
      <c r="K99" s="64"/>
      <c r="L99" s="64"/>
      <c r="M99" s="109"/>
      <c r="N99" s="64"/>
      <c r="O99" s="64"/>
      <c r="P99" s="64"/>
      <c r="Q99" s="64"/>
      <c r="R99" s="109"/>
      <c r="S99" s="64"/>
      <c r="T99" s="64"/>
      <c r="U99" s="64"/>
      <c r="V99" s="64"/>
      <c r="W99" s="109"/>
      <c r="X99" s="64"/>
      <c r="Y99" s="64"/>
      <c r="Z99" s="64"/>
      <c r="AA99" s="64"/>
      <c r="AB99" s="109"/>
      <c r="AC99" s="124"/>
      <c r="AD99" s="124">
        <v>0</v>
      </c>
      <c r="AE99" s="208">
        <v>2168.8750000000005</v>
      </c>
      <c r="AF99" s="208">
        <v>2711.0937500000005</v>
      </c>
      <c r="AG99" s="109">
        <f>SUM(AC99:AF99)</f>
        <v>4879.9687500000009</v>
      </c>
      <c r="AH99" s="208">
        <v>4066.6406250000009</v>
      </c>
      <c r="AI99" s="208">
        <v>1726.5273437499986</v>
      </c>
      <c r="AJ99" s="208">
        <f>AE99*(1+AJ101)</f>
        <v>2176.1246093749987</v>
      </c>
      <c r="AK99" s="208">
        <f>AF99*(1+AK101)</f>
        <v>2223.9870703124998</v>
      </c>
      <c r="AL99" s="109">
        <f>SUM(AH99:AK99)</f>
        <v>10193.279648437499</v>
      </c>
      <c r="AM99" s="208">
        <f>AH99*(1+AM101)</f>
        <v>4126.3793124999975</v>
      </c>
      <c r="AN99" s="208">
        <f>AI99*(1+AN101)</f>
        <v>2732.2844843749976</v>
      </c>
      <c r="AO99" s="64">
        <f>AJ99*(1+AO101)</f>
        <v>2459.0560359374981</v>
      </c>
      <c r="AP99" s="64">
        <f>AK99*(1+AP101)</f>
        <v>3073.8200449218725</v>
      </c>
      <c r="AQ99" s="109">
        <f>SUM(AM99:AP99)</f>
        <v>12391.539877734365</v>
      </c>
      <c r="AR99" s="64">
        <f>AM99*(1+AR101)</f>
        <v>3842.2750561523408</v>
      </c>
      <c r="AS99" s="64">
        <f>AN99*(1+AS101)</f>
        <v>2881.7062921142551</v>
      </c>
      <c r="AT99" s="64">
        <f>AO99*(1+AT101)</f>
        <v>2593.5356629028302</v>
      </c>
      <c r="AU99" s="64">
        <f>AP99*(1+AU101)</f>
        <v>2852.8892291931134</v>
      </c>
      <c r="AV99" s="109">
        <f>SUM(AR99:AU99)</f>
        <v>12170.406240362539</v>
      </c>
      <c r="AW99" s="64">
        <f>AR99*(1+AW101)</f>
        <v>3138.1781521124249</v>
      </c>
      <c r="AX99" s="64">
        <f>AS99*(1+AX101)</f>
        <v>2824.3603369011821</v>
      </c>
      <c r="AY99" s="64">
        <f>AT99*(1+AY101)</f>
        <v>2541.9243032110644</v>
      </c>
      <c r="AZ99" s="64">
        <f>AU99*(1+AZ101)</f>
        <v>2669.0205183716175</v>
      </c>
      <c r="BA99" s="109">
        <f>SUM(AW99:AZ99)</f>
        <v>11173.483310596288</v>
      </c>
      <c r="BB99" s="64">
        <f>AW99*(1+BB101)</f>
        <v>2935.9225702087797</v>
      </c>
      <c r="BC99" s="64">
        <f>AX99*(1+BC101)</f>
        <v>2642.3303131879015</v>
      </c>
      <c r="BD99" s="64">
        <f>AY99*(1+BD101)</f>
        <v>2378.0972818691121</v>
      </c>
      <c r="BE99" s="64">
        <f>AZ99*(1+BE101)</f>
        <v>2497.0021459625677</v>
      </c>
      <c r="BF99" s="109">
        <f>SUM(BB99:BE99)</f>
        <v>10453.35231122836</v>
      </c>
      <c r="BG99" s="64">
        <f>BB99*(1+BG101)</f>
        <v>2746.7023605588247</v>
      </c>
      <c r="BH99" s="64">
        <f>BC99*(1+BH101)</f>
        <v>2472.0321245029418</v>
      </c>
      <c r="BI99" s="64">
        <f>BD99*(1+BI101)</f>
        <v>2224.8289120526479</v>
      </c>
      <c r="BJ99" s="64">
        <f>BE99*(1+BJ101)</f>
        <v>2336.0703576552805</v>
      </c>
      <c r="BK99" s="109">
        <f>SUM(BG99:BJ99)</f>
        <v>9779.6337547696949</v>
      </c>
    </row>
    <row r="100" spans="2:65" s="643" customFormat="1" hidden="1" outlineLevel="1" x14ac:dyDescent="0.3">
      <c r="B100" s="641" t="s">
        <v>437</v>
      </c>
      <c r="C100" s="642"/>
      <c r="D100" s="173"/>
      <c r="E100" s="173"/>
      <c r="F100" s="173"/>
      <c r="G100" s="173"/>
      <c r="H100" s="121"/>
      <c r="I100" s="173"/>
      <c r="J100" s="173"/>
      <c r="K100" s="173"/>
      <c r="L100" s="173"/>
      <c r="M100" s="121"/>
      <c r="N100" s="173"/>
      <c r="O100" s="173"/>
      <c r="P100" s="173"/>
      <c r="Q100" s="173"/>
      <c r="R100" s="121"/>
      <c r="S100" s="173"/>
      <c r="T100" s="173"/>
      <c r="U100" s="173"/>
      <c r="V100" s="173"/>
      <c r="W100" s="121"/>
      <c r="X100" s="173"/>
      <c r="Y100" s="173"/>
      <c r="Z100" s="173"/>
      <c r="AA100" s="173"/>
      <c r="AB100" s="121"/>
      <c r="AC100" s="173"/>
      <c r="AD100" s="173"/>
      <c r="AE100" s="568"/>
      <c r="AF100" s="568">
        <f>AF99/AE99-1</f>
        <v>0.25</v>
      </c>
      <c r="AG100" s="569"/>
      <c r="AH100" s="568">
        <f>AH99/AF99-1</f>
        <v>0.5</v>
      </c>
      <c r="AI100" s="568">
        <f>AI99/AH99-1</f>
        <v>-0.57544137705799903</v>
      </c>
      <c r="AJ100" s="568">
        <f>AJ99/AI99-1</f>
        <v>0.26040552861936139</v>
      </c>
      <c r="AK100" s="568">
        <f>AK99/AJ99-1</f>
        <v>2.1994356725393294E-2</v>
      </c>
      <c r="AL100" s="569"/>
      <c r="AM100" s="568">
        <f>AM99/AK99-1</f>
        <v>0.85539716825790091</v>
      </c>
      <c r="AN100" s="568">
        <f>AN99/AM99-1</f>
        <v>-0.33784941289858716</v>
      </c>
      <c r="AO100" s="568">
        <f>AO99/AN99-1</f>
        <v>-9.9999999999999867E-2</v>
      </c>
      <c r="AP100" s="568">
        <f>AP99/AO99-1</f>
        <v>0.25</v>
      </c>
      <c r="AQ100" s="569"/>
      <c r="AR100" s="568">
        <f>AR99/AP99-1</f>
        <v>0.25</v>
      </c>
      <c r="AS100" s="568">
        <f>AS99/AR99-1</f>
        <v>-0.25000000000000011</v>
      </c>
      <c r="AT100" s="568">
        <f>AT99/AS99-1</f>
        <v>-9.9999999999999756E-2</v>
      </c>
      <c r="AU100" s="568">
        <f>AU99/AT99-1</f>
        <v>0.10000000000000009</v>
      </c>
      <c r="AV100" s="569"/>
      <c r="AW100" s="568">
        <f>AW99/AU99-1</f>
        <v>0.10000000000000009</v>
      </c>
      <c r="AX100" s="568">
        <f>AX99/AW99-1</f>
        <v>-0.10000000000000009</v>
      </c>
      <c r="AY100" s="568">
        <f>AY99/AX99-1</f>
        <v>-9.9999999999999867E-2</v>
      </c>
      <c r="AZ100" s="568">
        <f>AZ99/AY99-1</f>
        <v>5.0000000000000044E-2</v>
      </c>
      <c r="BA100" s="569"/>
      <c r="BB100" s="568">
        <v>0.1</v>
      </c>
      <c r="BC100" s="568">
        <v>-0.1</v>
      </c>
      <c r="BD100" s="568">
        <v>-0.1</v>
      </c>
      <c r="BE100" s="568">
        <v>0.05</v>
      </c>
      <c r="BF100" s="569"/>
      <c r="BG100" s="568">
        <f>BG99/BE99-1</f>
        <v>0.10000000000000009</v>
      </c>
      <c r="BH100" s="568">
        <f>BH99/BG99-1</f>
        <v>-0.1000000000000002</v>
      </c>
      <c r="BI100" s="568">
        <f>BI99/BH99-1</f>
        <v>-9.9999999999999867E-2</v>
      </c>
      <c r="BJ100" s="568">
        <f>BJ99/BI99-1</f>
        <v>5.0000000000000044E-2</v>
      </c>
      <c r="BK100" s="569"/>
    </row>
    <row r="101" spans="2:65" s="122" customFormat="1" hidden="1" outlineLevel="1" x14ac:dyDescent="0.3">
      <c r="B101" s="762" t="s">
        <v>438</v>
      </c>
      <c r="C101" s="763"/>
      <c r="D101" s="119"/>
      <c r="E101" s="119"/>
      <c r="F101" s="119"/>
      <c r="G101" s="119"/>
      <c r="H101" s="120"/>
      <c r="I101" s="119"/>
      <c r="J101" s="119"/>
      <c r="K101" s="173"/>
      <c r="L101" s="173"/>
      <c r="M101" s="120"/>
      <c r="N101" s="119"/>
      <c r="O101" s="119"/>
      <c r="P101" s="173"/>
      <c r="Q101" s="173"/>
      <c r="R101" s="120"/>
      <c r="S101" s="119"/>
      <c r="T101" s="119"/>
      <c r="U101" s="173"/>
      <c r="V101" s="173"/>
      <c r="W101" s="120"/>
      <c r="X101" s="119"/>
      <c r="Y101" s="119"/>
      <c r="Z101" s="173"/>
      <c r="AA101" s="173"/>
      <c r="AB101" s="120"/>
      <c r="AC101" s="173"/>
      <c r="AD101" s="173"/>
      <c r="AE101" s="568"/>
      <c r="AF101" s="568"/>
      <c r="AG101" s="569"/>
      <c r="AH101" s="568"/>
      <c r="AI101" s="568"/>
      <c r="AJ101" s="570">
        <v>3.3425667108515356E-3</v>
      </c>
      <c r="AK101" s="570">
        <v>-0.17967164716731043</v>
      </c>
      <c r="AL101" s="569">
        <f>AL99/AG99-1</f>
        <v>1.088800189230207</v>
      </c>
      <c r="AM101" s="570">
        <v>1.4689935258293652E-2</v>
      </c>
      <c r="AN101" s="570">
        <v>0.58253183435861811</v>
      </c>
      <c r="AO101" s="570">
        <v>0.130016188109632</v>
      </c>
      <c r="AP101" s="570">
        <v>0.38212136480180159</v>
      </c>
      <c r="AQ101" s="569"/>
      <c r="AR101" s="570">
        <v>-6.8850736888638076E-2</v>
      </c>
      <c r="AS101" s="570">
        <v>5.46875E-2</v>
      </c>
      <c r="AT101" s="570">
        <v>5.46875E-2</v>
      </c>
      <c r="AU101" s="570">
        <v>-7.1874999999999911E-2</v>
      </c>
      <c r="AV101" s="569"/>
      <c r="AW101" s="570">
        <v>-0.18324999999999991</v>
      </c>
      <c r="AX101" s="570">
        <v>-1.9899999999999807E-2</v>
      </c>
      <c r="AY101" s="570">
        <v>-1.9899999999999807E-2</v>
      </c>
      <c r="AZ101" s="570">
        <v>-6.4449999999999896E-2</v>
      </c>
      <c r="BA101" s="569"/>
      <c r="BB101" s="570">
        <v>-6.4449999999999785E-2</v>
      </c>
      <c r="BC101" s="570">
        <v>-6.4449999999999785E-2</v>
      </c>
      <c r="BD101" s="570">
        <v>-6.4449999999999674E-2</v>
      </c>
      <c r="BE101" s="570">
        <v>-6.4449999999999674E-2</v>
      </c>
      <c r="BF101" s="569"/>
      <c r="BG101" s="570">
        <v>-6.4449999999999674E-2</v>
      </c>
      <c r="BH101" s="570">
        <v>-6.4449999999999785E-2</v>
      </c>
      <c r="BI101" s="570">
        <v>-6.4450000000000007E-2</v>
      </c>
      <c r="BJ101" s="570">
        <v>-6.4449999999999896E-2</v>
      </c>
      <c r="BK101" s="569"/>
    </row>
    <row r="102" spans="2:65" s="62" customFormat="1" hidden="1" outlineLevel="1" x14ac:dyDescent="0.3">
      <c r="B102" s="235" t="s">
        <v>264</v>
      </c>
      <c r="C102" s="236"/>
      <c r="D102" s="64"/>
      <c r="E102" s="64"/>
      <c r="F102" s="64"/>
      <c r="G102" s="64"/>
      <c r="H102" s="112"/>
      <c r="I102" s="64"/>
      <c r="J102" s="64"/>
      <c r="K102" s="64"/>
      <c r="L102" s="64"/>
      <c r="M102" s="112"/>
      <c r="N102" s="64"/>
      <c r="O102" s="64"/>
      <c r="P102" s="64"/>
      <c r="Q102" s="64"/>
      <c r="R102" s="112"/>
      <c r="S102" s="64"/>
      <c r="T102" s="64"/>
      <c r="U102" s="64"/>
      <c r="V102" s="64"/>
      <c r="W102" s="112"/>
      <c r="X102" s="64"/>
      <c r="Y102" s="64"/>
      <c r="Z102" s="64"/>
      <c r="AA102" s="64"/>
      <c r="AB102" s="112"/>
      <c r="AC102" s="124"/>
      <c r="AD102" s="124"/>
      <c r="AE102" s="208">
        <v>400</v>
      </c>
      <c r="AF102" s="208">
        <v>400</v>
      </c>
      <c r="AG102" s="112"/>
      <c r="AH102" s="208">
        <v>400</v>
      </c>
      <c r="AI102" s="208">
        <v>400</v>
      </c>
      <c r="AJ102" s="208">
        <v>400</v>
      </c>
      <c r="AK102" s="208">
        <v>400</v>
      </c>
      <c r="AL102" s="112"/>
      <c r="AM102" s="208">
        <v>400</v>
      </c>
      <c r="AN102" s="208">
        <v>400</v>
      </c>
      <c r="AO102" s="208">
        <v>400</v>
      </c>
      <c r="AP102" s="208">
        <v>400</v>
      </c>
      <c r="AQ102" s="112"/>
      <c r="AR102" s="208">
        <v>400</v>
      </c>
      <c r="AS102" s="208">
        <v>400</v>
      </c>
      <c r="AT102" s="208">
        <v>400</v>
      </c>
      <c r="AU102" s="208">
        <v>400</v>
      </c>
      <c r="AV102" s="112"/>
      <c r="AW102" s="208">
        <v>400</v>
      </c>
      <c r="AX102" s="208">
        <v>400</v>
      </c>
      <c r="AY102" s="208">
        <v>400</v>
      </c>
      <c r="AZ102" s="208">
        <v>400</v>
      </c>
      <c r="BA102" s="112"/>
      <c r="BB102" s="208">
        <v>400</v>
      </c>
      <c r="BC102" s="208">
        <v>400</v>
      </c>
      <c r="BD102" s="208">
        <v>400</v>
      </c>
      <c r="BE102" s="208">
        <v>400</v>
      </c>
      <c r="BF102" s="112"/>
      <c r="BG102" s="208">
        <v>400</v>
      </c>
      <c r="BH102" s="208">
        <v>400</v>
      </c>
      <c r="BI102" s="208">
        <v>400</v>
      </c>
      <c r="BJ102" s="208">
        <v>400</v>
      </c>
      <c r="BK102" s="112"/>
    </row>
    <row r="103" spans="2:65" s="62" customFormat="1" hidden="1" outlineLevel="1" x14ac:dyDescent="0.3">
      <c r="B103" s="714" t="s">
        <v>568</v>
      </c>
      <c r="C103" s="715"/>
      <c r="D103" s="64"/>
      <c r="E103" s="64"/>
      <c r="F103" s="64"/>
      <c r="G103" s="64"/>
      <c r="H103" s="109"/>
      <c r="I103" s="64"/>
      <c r="J103" s="64"/>
      <c r="K103" s="64"/>
      <c r="L103" s="64"/>
      <c r="M103" s="109"/>
      <c r="N103" s="64">
        <v>1468</v>
      </c>
      <c r="O103" s="64">
        <v>1195</v>
      </c>
      <c r="P103" s="64">
        <v>1227</v>
      </c>
      <c r="Q103" s="64">
        <f>5145-P103-O103-N103</f>
        <v>1255</v>
      </c>
      <c r="R103" s="109">
        <f>SUM(N103:Q103)</f>
        <v>5145</v>
      </c>
      <c r="S103" s="64">
        <v>1829</v>
      </c>
      <c r="T103" s="64">
        <v>1379</v>
      </c>
      <c r="U103" s="64">
        <v>1179</v>
      </c>
      <c r="V103" s="64">
        <f>5706-U103-T103-S103</f>
        <v>1319</v>
      </c>
      <c r="W103" s="109">
        <f>SUM(S103:V103)</f>
        <v>5706</v>
      </c>
      <c r="X103" s="64">
        <v>1863</v>
      </c>
      <c r="Y103" s="64">
        <v>1419</v>
      </c>
      <c r="Z103" s="64">
        <v>1325</v>
      </c>
      <c r="AA103" s="64">
        <f>6093-Z103-Y103-X103</f>
        <v>1486</v>
      </c>
      <c r="AB103" s="109">
        <f>SUM(X103:AA103)</f>
        <v>6093</v>
      </c>
      <c r="AC103" s="64">
        <v>2689</v>
      </c>
      <c r="AD103" s="64">
        <v>1689</v>
      </c>
      <c r="AE103" s="208">
        <f>AD103*(1+AE104)</f>
        <v>1773.45</v>
      </c>
      <c r="AF103" s="208">
        <f>AE103*(1+AF104)</f>
        <v>1963.5625000000018</v>
      </c>
      <c r="AG103" s="109">
        <f>SUM(AC103:AF103)</f>
        <v>8115.0125000000016</v>
      </c>
      <c r="AH103" s="208">
        <f>AF103*(1+AH104)</f>
        <v>2724.3437500000009</v>
      </c>
      <c r="AI103" s="208">
        <f>AH103*(1+AI104)</f>
        <v>1498.3890625000006</v>
      </c>
      <c r="AJ103" s="208">
        <f>AI103*(1+AJ104)</f>
        <v>1348.5501562500006</v>
      </c>
      <c r="AK103" s="208">
        <f>AJ103*(1+AK104)</f>
        <v>1483.4051718750006</v>
      </c>
      <c r="AL103" s="109">
        <f>SUM(AH103:AK103)</f>
        <v>7054.6881406250022</v>
      </c>
      <c r="AM103" s="208">
        <f>AK103*(1+AM104)</f>
        <v>2373.4482750000011</v>
      </c>
      <c r="AN103" s="208">
        <f>AM103*(1+AN104)</f>
        <v>1780.0862062500009</v>
      </c>
      <c r="AO103" s="64">
        <f>AN103*(1+AO104)</f>
        <v>1889.3775856250008</v>
      </c>
      <c r="AP103" s="64">
        <f>AO103*(1+AP104)</f>
        <v>1643.4719820312512</v>
      </c>
      <c r="AQ103" s="109">
        <f>SUM(AM103:AP103)</f>
        <v>7686.384048906255</v>
      </c>
      <c r="AR103" s="64">
        <f>AP103*(1+AR104)</f>
        <v>2487.0899775390617</v>
      </c>
      <c r="AS103" s="64">
        <f>AR103*(1+AS104)</f>
        <v>1720.3174831542974</v>
      </c>
      <c r="AT103" s="64">
        <f>AS103*(1+AT104)</f>
        <v>1835.5857348388681</v>
      </c>
      <c r="AU103" s="64">
        <f>AT103*(1+AU104)</f>
        <v>1731.8443083227548</v>
      </c>
      <c r="AV103" s="109">
        <f>SUM(AR103:AU103)</f>
        <v>7774.8375038549821</v>
      </c>
      <c r="AW103" s="64">
        <f>AU103*(1+AW104)</f>
        <v>2768.728739155029</v>
      </c>
      <c r="AX103" s="64">
        <f>AW103*(1+AX104)</f>
        <v>1743.2558652395278</v>
      </c>
      <c r="AY103" s="64">
        <f>AX103*(1+AY104)</f>
        <v>1856.2302787155743</v>
      </c>
      <c r="AZ103" s="64">
        <f>AY103*(1+AZ104)</f>
        <v>1805.3917926513532</v>
      </c>
      <c r="BA103" s="109">
        <f>SUM(AW103:AZ103)</f>
        <v>8173.6066757614835</v>
      </c>
      <c r="BB103" s="64">
        <f>AZ103*(1+BB104)</f>
        <v>2849.6309719164874</v>
      </c>
      <c r="BC103" s="64">
        <f>BB103*(1+BC104)</f>
        <v>1816.0678747248398</v>
      </c>
      <c r="BD103" s="64">
        <f>BC103*(1+BD104)</f>
        <v>1921.7610872523553</v>
      </c>
      <c r="BE103" s="64">
        <f>BD103*(1+BE104)</f>
        <v>1874.1991416149722</v>
      </c>
      <c r="BF103" s="109">
        <f>SUM(BB103:BE103)</f>
        <v>8461.6590755086545</v>
      </c>
      <c r="BG103" s="64">
        <f>BE103*(1+BG104)</f>
        <v>2925.3190557764706</v>
      </c>
      <c r="BH103" s="64">
        <f>BG103*(1+BH104)</f>
        <v>1884.1871501988235</v>
      </c>
      <c r="BI103" s="64">
        <f>BH103*(1+BI104)</f>
        <v>1983.0684351789407</v>
      </c>
      <c r="BJ103" s="64">
        <f>BI103*(1+BJ104)</f>
        <v>1938.5718569378887</v>
      </c>
      <c r="BK103" s="109">
        <f>SUM(BG103:BJ103)</f>
        <v>8731.1464980921228</v>
      </c>
    </row>
    <row r="104" spans="2:65" s="62" customFormat="1" hidden="1" outlineLevel="1" x14ac:dyDescent="0.3">
      <c r="B104" s="714" t="s">
        <v>208</v>
      </c>
      <c r="C104" s="715"/>
      <c r="D104" s="119"/>
      <c r="E104" s="119"/>
      <c r="F104" s="119"/>
      <c r="G104" s="119"/>
      <c r="H104" s="120"/>
      <c r="I104" s="119"/>
      <c r="J104" s="119"/>
      <c r="K104" s="119"/>
      <c r="L104" s="119"/>
      <c r="M104" s="120"/>
      <c r="N104" s="267"/>
      <c r="O104" s="267">
        <f>O103/N103-1</f>
        <v>-0.18596730245231607</v>
      </c>
      <c r="P104" s="267">
        <f>P103/O103-1</f>
        <v>2.6778242677824249E-2</v>
      </c>
      <c r="Q104" s="267">
        <f>Q103/P103-1</f>
        <v>2.2819885900570602E-2</v>
      </c>
      <c r="R104" s="268"/>
      <c r="S104" s="267">
        <f>S103/Q103-1</f>
        <v>0.45737051792828676</v>
      </c>
      <c r="T104" s="267">
        <f>T103/S103-1</f>
        <v>-0.24603608529250953</v>
      </c>
      <c r="U104" s="267">
        <f>U103/T103-1</f>
        <v>-0.14503263234227703</v>
      </c>
      <c r="V104" s="267">
        <f>V103/U103-1</f>
        <v>0.1187446988973706</v>
      </c>
      <c r="W104" s="268">
        <f>W103/R103-1</f>
        <v>0.10903790087463561</v>
      </c>
      <c r="X104" s="267">
        <f>X103/V103-1</f>
        <v>0.41243366186504926</v>
      </c>
      <c r="Y104" s="267">
        <f>Y103/X103-1</f>
        <v>-0.23832528180354262</v>
      </c>
      <c r="Z104" s="267">
        <f>Z103/Y103-1</f>
        <v>-6.6243833685694198E-2</v>
      </c>
      <c r="AA104" s="267">
        <f>AA103/Z103-1</f>
        <v>0.12150943396226421</v>
      </c>
      <c r="AB104" s="268">
        <f>AB103/W103-1</f>
        <v>6.7823343848580464E-2</v>
      </c>
      <c r="AC104" s="267">
        <f>AC103/AA103-1</f>
        <v>0.8095558546433379</v>
      </c>
      <c r="AD104" s="267">
        <f>AD103/AC103-1</f>
        <v>-0.37188545927854222</v>
      </c>
      <c r="AE104" s="269">
        <v>0.05</v>
      </c>
      <c r="AF104" s="269">
        <v>0.10719924441061308</v>
      </c>
      <c r="AG104" s="268">
        <f>AG103/AB103-1</f>
        <v>0.33185827999343531</v>
      </c>
      <c r="AH104" s="269">
        <v>0.38744947003214736</v>
      </c>
      <c r="AI104" s="269">
        <v>-0.45</v>
      </c>
      <c r="AJ104" s="269">
        <v>-0.1</v>
      </c>
      <c r="AK104" s="269">
        <v>0.1</v>
      </c>
      <c r="AL104" s="268">
        <f>AL103/AG103-1</f>
        <v>-0.13066207345644865</v>
      </c>
      <c r="AM104" s="269">
        <v>0.6</v>
      </c>
      <c r="AN104" s="269">
        <v>-0.25</v>
      </c>
      <c r="AO104" s="269">
        <v>6.1396677863842009E-2</v>
      </c>
      <c r="AP104" s="269">
        <v>-0.13015164648119013</v>
      </c>
      <c r="AQ104" s="268">
        <f>AQ103/AL103-1</f>
        <v>8.954271197951047E-2</v>
      </c>
      <c r="AR104" s="269">
        <v>0.51331449804525398</v>
      </c>
      <c r="AS104" s="269">
        <v>-0.30830106723499967</v>
      </c>
      <c r="AT104" s="269">
        <v>6.7004057572687223E-2</v>
      </c>
      <c r="AU104" s="269">
        <v>-5.6516797089415136E-2</v>
      </c>
      <c r="AV104" s="268">
        <f>AV103/AQ103-1</f>
        <v>1.1507811005268875E-2</v>
      </c>
      <c r="AW104" s="269">
        <v>0.59871688572078929</v>
      </c>
      <c r="AX104" s="269">
        <v>-0.37037679401863643</v>
      </c>
      <c r="AY104" s="269">
        <v>6.4806558651975876E-2</v>
      </c>
      <c r="AZ104" s="269">
        <v>-2.7388027577806215E-2</v>
      </c>
      <c r="BA104" s="268">
        <f>BA103/AV103-1</f>
        <v>5.12897114195352E-2</v>
      </c>
      <c r="BB104" s="269">
        <v>0.57840031372447476</v>
      </c>
      <c r="BC104" s="269">
        <v>-0.3627006820804366</v>
      </c>
      <c r="BD104" s="269">
        <v>5.8198932979600028E-2</v>
      </c>
      <c r="BE104" s="269">
        <v>-2.474914595413364E-2</v>
      </c>
      <c r="BF104" s="268">
        <f>BF103/BA103-1</f>
        <v>3.5241774063019093E-2</v>
      </c>
      <c r="BG104" s="269">
        <v>0.56083683468970225</v>
      </c>
      <c r="BH104" s="269">
        <v>-0.3559037102369329</v>
      </c>
      <c r="BI104" s="269">
        <v>5.2479545341174362E-2</v>
      </c>
      <c r="BJ104" s="269">
        <v>-2.2438246432497352E-2</v>
      </c>
      <c r="BK104" s="268">
        <f>BK103/BF103-1</f>
        <v>3.1848059603756695E-2</v>
      </c>
    </row>
    <row r="105" spans="2:65" s="646" customFormat="1" hidden="1" outlineLevel="1" x14ac:dyDescent="0.3">
      <c r="B105" s="639" t="s">
        <v>567</v>
      </c>
      <c r="C105" s="640"/>
      <c r="D105" s="644"/>
      <c r="E105" s="644"/>
      <c r="F105" s="644"/>
      <c r="G105" s="644"/>
      <c r="H105" s="645"/>
      <c r="I105" s="644"/>
      <c r="J105" s="644"/>
      <c r="K105" s="644"/>
      <c r="L105" s="644"/>
      <c r="M105" s="645"/>
      <c r="N105" s="647">
        <f>+N103+N98</f>
        <v>1468</v>
      </c>
      <c r="O105" s="647">
        <f t="shared" ref="O105:BK105" si="125">+O103+O98</f>
        <v>1195</v>
      </c>
      <c r="P105" s="647">
        <f t="shared" si="125"/>
        <v>1227</v>
      </c>
      <c r="Q105" s="647">
        <f t="shared" si="125"/>
        <v>1255</v>
      </c>
      <c r="R105" s="648">
        <f t="shared" si="125"/>
        <v>5145</v>
      </c>
      <c r="S105" s="647">
        <f t="shared" si="125"/>
        <v>1829</v>
      </c>
      <c r="T105" s="647">
        <f t="shared" si="125"/>
        <v>1379</v>
      </c>
      <c r="U105" s="647">
        <f t="shared" si="125"/>
        <v>1179</v>
      </c>
      <c r="V105" s="647">
        <f t="shared" si="125"/>
        <v>1319</v>
      </c>
      <c r="W105" s="648">
        <f t="shared" si="125"/>
        <v>5706</v>
      </c>
      <c r="X105" s="647">
        <f t="shared" si="125"/>
        <v>1863</v>
      </c>
      <c r="Y105" s="647">
        <f t="shared" si="125"/>
        <v>1419</v>
      </c>
      <c r="Z105" s="647">
        <f t="shared" si="125"/>
        <v>1325</v>
      </c>
      <c r="AA105" s="647">
        <f t="shared" si="125"/>
        <v>1486</v>
      </c>
      <c r="AB105" s="648">
        <f t="shared" si="125"/>
        <v>6093</v>
      </c>
      <c r="AC105" s="647">
        <f t="shared" si="125"/>
        <v>2689</v>
      </c>
      <c r="AD105" s="647">
        <f t="shared" si="125"/>
        <v>1689</v>
      </c>
      <c r="AE105" s="647">
        <f t="shared" si="125"/>
        <v>2641</v>
      </c>
      <c r="AF105" s="647">
        <f t="shared" si="125"/>
        <v>3048.0000000000018</v>
      </c>
      <c r="AG105" s="648">
        <f t="shared" si="125"/>
        <v>10067.000000000002</v>
      </c>
      <c r="AH105" s="647">
        <f t="shared" si="125"/>
        <v>4351.0000000000018</v>
      </c>
      <c r="AI105" s="647">
        <f t="shared" si="125"/>
        <v>2189</v>
      </c>
      <c r="AJ105" s="647">
        <f t="shared" si="125"/>
        <v>2219</v>
      </c>
      <c r="AK105" s="647">
        <f t="shared" si="125"/>
        <v>2373.0000000000005</v>
      </c>
      <c r="AL105" s="648">
        <f t="shared" si="125"/>
        <v>11132.000000000002</v>
      </c>
      <c r="AM105" s="647">
        <f t="shared" si="125"/>
        <v>4024</v>
      </c>
      <c r="AN105" s="647">
        <f t="shared" si="125"/>
        <v>2873</v>
      </c>
      <c r="AO105" s="647">
        <f t="shared" si="125"/>
        <v>2873</v>
      </c>
      <c r="AP105" s="647">
        <f t="shared" si="125"/>
        <v>2873</v>
      </c>
      <c r="AQ105" s="648">
        <f t="shared" si="125"/>
        <v>12643</v>
      </c>
      <c r="AR105" s="647">
        <f t="shared" si="125"/>
        <v>4023.9999999999982</v>
      </c>
      <c r="AS105" s="647">
        <f t="shared" si="125"/>
        <v>2872.9999999999991</v>
      </c>
      <c r="AT105" s="647">
        <f t="shared" si="125"/>
        <v>2873</v>
      </c>
      <c r="AU105" s="647">
        <f t="shared" si="125"/>
        <v>2873</v>
      </c>
      <c r="AV105" s="648">
        <f t="shared" si="125"/>
        <v>12642.999999999996</v>
      </c>
      <c r="AW105" s="647">
        <f t="shared" si="125"/>
        <v>4023.9999999999991</v>
      </c>
      <c r="AX105" s="647">
        <f t="shared" si="125"/>
        <v>2873.0000000000009</v>
      </c>
      <c r="AY105" s="647">
        <f t="shared" si="125"/>
        <v>2873</v>
      </c>
      <c r="AZ105" s="647">
        <f t="shared" si="125"/>
        <v>2873</v>
      </c>
      <c r="BA105" s="648">
        <f t="shared" si="125"/>
        <v>12643</v>
      </c>
      <c r="BB105" s="647">
        <f t="shared" si="125"/>
        <v>4023.9999999999991</v>
      </c>
      <c r="BC105" s="647">
        <f t="shared" si="125"/>
        <v>2873.0000000000005</v>
      </c>
      <c r="BD105" s="647">
        <f t="shared" si="125"/>
        <v>2873</v>
      </c>
      <c r="BE105" s="647">
        <f t="shared" si="125"/>
        <v>2872.9999999999991</v>
      </c>
      <c r="BF105" s="648">
        <f t="shared" si="125"/>
        <v>12643</v>
      </c>
      <c r="BG105" s="647">
        <f t="shared" si="125"/>
        <v>4024.0000000000005</v>
      </c>
      <c r="BH105" s="647">
        <f t="shared" si="125"/>
        <v>2873</v>
      </c>
      <c r="BI105" s="647">
        <f t="shared" si="125"/>
        <v>2873</v>
      </c>
      <c r="BJ105" s="647">
        <f t="shared" si="125"/>
        <v>2873.0000000000009</v>
      </c>
      <c r="BK105" s="648">
        <f t="shared" si="125"/>
        <v>12643</v>
      </c>
    </row>
    <row r="106" spans="2:65" s="62" customFormat="1" hidden="1" outlineLevel="1" x14ac:dyDescent="0.3">
      <c r="B106" s="276" t="s">
        <v>566</v>
      </c>
      <c r="C106" s="277"/>
      <c r="D106" s="278"/>
      <c r="E106" s="278"/>
      <c r="F106" s="278"/>
      <c r="G106" s="278"/>
      <c r="H106" s="279"/>
      <c r="I106" s="278"/>
      <c r="J106" s="278"/>
      <c r="K106" s="278"/>
      <c r="L106" s="278"/>
      <c r="M106" s="279"/>
      <c r="N106" s="278"/>
      <c r="O106" s="278"/>
      <c r="P106" s="278"/>
      <c r="Q106" s="278"/>
      <c r="R106" s="279"/>
      <c r="S106" s="278"/>
      <c r="T106" s="278"/>
      <c r="U106" s="278"/>
      <c r="V106" s="278"/>
      <c r="W106" s="279"/>
      <c r="X106" s="278"/>
      <c r="Y106" s="278"/>
      <c r="Z106" s="278"/>
      <c r="AA106" s="278"/>
      <c r="AB106" s="279"/>
      <c r="AC106" s="278"/>
      <c r="AD106" s="278"/>
      <c r="AE106" s="556">
        <f>AE98+AE103-2641</f>
        <v>0</v>
      </c>
      <c r="AF106" s="556"/>
      <c r="AG106" s="557"/>
      <c r="AH106" s="556"/>
      <c r="AI106" s="556">
        <f>AI98+AI103-2189</f>
        <v>0</v>
      </c>
      <c r="AJ106" s="556">
        <f>AJ98+AJ103-2219</f>
        <v>0</v>
      </c>
      <c r="AK106" s="556">
        <f>AK98+AK103-2373</f>
        <v>0</v>
      </c>
      <c r="AL106" s="557"/>
      <c r="AM106" s="556">
        <f>AM98+AM103-4024</f>
        <v>0</v>
      </c>
      <c r="AN106" s="556">
        <f>AN98+AN103-2873</f>
        <v>0</v>
      </c>
      <c r="AO106" s="556"/>
      <c r="AP106" s="556"/>
      <c r="AQ106" s="557"/>
      <c r="AR106" s="556"/>
      <c r="AS106" s="556"/>
      <c r="AT106" s="556"/>
      <c r="AU106" s="556"/>
      <c r="AV106" s="557"/>
      <c r="AW106" s="556"/>
      <c r="AX106" s="556"/>
      <c r="AY106" s="556"/>
      <c r="AZ106" s="556"/>
      <c r="BA106" s="557"/>
      <c r="BB106" s="556"/>
      <c r="BC106" s="556"/>
      <c r="BD106" s="556"/>
      <c r="BE106" s="556"/>
      <c r="BF106" s="557"/>
      <c r="BG106" s="556"/>
      <c r="BH106" s="556"/>
      <c r="BI106" s="556"/>
      <c r="BJ106" s="556"/>
      <c r="BK106" s="279"/>
      <c r="BM106" s="62" t="s">
        <v>55</v>
      </c>
    </row>
    <row r="107" spans="2:65" s="199" customFormat="1" hidden="1" outlineLevel="1" x14ac:dyDescent="0.3">
      <c r="B107" s="760" t="s">
        <v>575</v>
      </c>
      <c r="C107" s="761"/>
      <c r="D107" s="303"/>
      <c r="E107" s="371"/>
      <c r="F107" s="303"/>
      <c r="G107" s="303"/>
      <c r="H107" s="303"/>
      <c r="I107" s="303"/>
      <c r="J107" s="303"/>
      <c r="K107" s="303"/>
      <c r="L107" s="303"/>
      <c r="M107" s="303"/>
      <c r="N107" s="303"/>
      <c r="O107" s="303"/>
      <c r="P107" s="303"/>
      <c r="Q107" s="303"/>
      <c r="R107" s="303"/>
      <c r="S107" s="372"/>
      <c r="T107" s="303"/>
      <c r="U107" s="303"/>
      <c r="V107" s="373"/>
      <c r="W107" s="303"/>
      <c r="X107" s="372"/>
      <c r="Y107" s="303"/>
      <c r="Z107" s="303"/>
      <c r="AA107" s="303"/>
      <c r="AB107" s="303"/>
      <c r="AC107" s="372"/>
      <c r="AD107" s="303"/>
      <c r="AE107" s="303"/>
      <c r="AF107" s="303"/>
      <c r="AG107" s="303"/>
      <c r="AH107" s="373"/>
      <c r="AI107" s="303"/>
      <c r="AJ107" s="303"/>
      <c r="AK107" s="303"/>
      <c r="AL107" s="303"/>
      <c r="AM107" s="303"/>
      <c r="AN107" s="303"/>
      <c r="AO107" s="303"/>
      <c r="AP107" s="303"/>
      <c r="AQ107" s="303"/>
      <c r="AR107" s="303"/>
      <c r="AS107" s="303"/>
      <c r="AT107" s="303"/>
      <c r="AU107" s="303"/>
      <c r="AV107" s="303"/>
      <c r="AW107" s="303"/>
      <c r="AX107" s="303"/>
      <c r="AY107" s="303"/>
      <c r="AZ107" s="303"/>
      <c r="BA107" s="303"/>
      <c r="BB107" s="303"/>
      <c r="BC107" s="303"/>
      <c r="BD107" s="303"/>
      <c r="BE107" s="303"/>
      <c r="BF107" s="303"/>
      <c r="BG107" s="303"/>
      <c r="BH107" s="303"/>
      <c r="BI107" s="303"/>
      <c r="BJ107" s="303"/>
      <c r="BK107" s="374"/>
      <c r="BL107" s="137"/>
    </row>
    <row r="108" spans="2:65" s="199" customFormat="1" ht="14.4" hidden="1" customHeight="1" outlineLevel="1" x14ac:dyDescent="0.3">
      <c r="B108" s="307" t="s">
        <v>367</v>
      </c>
      <c r="C108" s="306"/>
      <c r="D108" s="322"/>
      <c r="E108" s="322"/>
      <c r="F108" s="322"/>
      <c r="G108" s="321" t="s">
        <v>369</v>
      </c>
      <c r="H108" s="322"/>
      <c r="I108" s="322"/>
      <c r="J108" s="322"/>
      <c r="K108" s="322"/>
      <c r="L108" s="322"/>
      <c r="M108" s="322"/>
      <c r="N108" s="322"/>
      <c r="O108" s="346" t="s">
        <v>368</v>
      </c>
      <c r="P108" s="347"/>
      <c r="Q108" s="347"/>
      <c r="R108" s="347"/>
      <c r="S108" s="347"/>
      <c r="T108" s="347"/>
      <c r="U108" s="347"/>
      <c r="V108" s="347"/>
      <c r="W108" s="347"/>
      <c r="X108" s="347"/>
      <c r="Y108" s="347"/>
      <c r="Z108" s="347"/>
      <c r="AA108" s="347"/>
      <c r="AB108" s="347"/>
      <c r="AC108" s="347"/>
      <c r="AD108" s="347"/>
      <c r="AE108" s="347"/>
      <c r="AF108" s="347"/>
      <c r="AG108" s="347"/>
      <c r="AH108" s="366" t="s">
        <v>370</v>
      </c>
      <c r="AI108" s="366"/>
      <c r="AJ108" s="366"/>
      <c r="AK108" s="366"/>
      <c r="AL108" s="366"/>
      <c r="AM108" s="366"/>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300"/>
      <c r="BL108" s="137"/>
    </row>
    <row r="109" spans="2:65" s="199" customFormat="1" ht="14.4" hidden="1" customHeight="1" outlineLevel="1" x14ac:dyDescent="0.3">
      <c r="B109" s="307" t="s">
        <v>283</v>
      </c>
      <c r="C109" s="306"/>
      <c r="D109" s="288"/>
      <c r="E109" s="305"/>
      <c r="F109" s="288"/>
      <c r="G109" s="288"/>
      <c r="H109" s="288"/>
      <c r="I109" s="288"/>
      <c r="J109" s="288"/>
      <c r="K109" s="288"/>
      <c r="L109" s="288"/>
      <c r="M109" s="288"/>
      <c r="N109" s="288"/>
      <c r="O109" s="288"/>
      <c r="P109" s="288"/>
      <c r="Q109" s="288"/>
      <c r="R109" s="288"/>
      <c r="S109" s="290"/>
      <c r="T109" s="288"/>
      <c r="U109" s="288"/>
      <c r="V109" s="178"/>
      <c r="W109" s="288"/>
      <c r="X109" s="290"/>
      <c r="Y109" s="288"/>
      <c r="Z109" s="288"/>
      <c r="AA109" s="288"/>
      <c r="AB109" s="288"/>
      <c r="AC109" s="290"/>
      <c r="AD109" s="288"/>
      <c r="AE109" s="330" t="s">
        <v>284</v>
      </c>
      <c r="AF109" s="331"/>
      <c r="AG109" s="331"/>
      <c r="AH109" s="331"/>
      <c r="AI109" s="331"/>
      <c r="AJ109" s="331"/>
      <c r="AK109" s="291" t="s">
        <v>371</v>
      </c>
      <c r="AL109" s="292"/>
      <c r="AM109" s="292"/>
      <c r="AN109" s="292"/>
      <c r="AO109" s="292"/>
      <c r="AP109" s="292"/>
      <c r="AQ109" s="292"/>
      <c r="AR109" s="288"/>
      <c r="AS109" s="288"/>
      <c r="AT109" s="288"/>
      <c r="AU109" s="288"/>
      <c r="AV109" s="288"/>
      <c r="AW109" s="288"/>
      <c r="AX109" s="288"/>
      <c r="AY109" s="288"/>
      <c r="AZ109" s="288"/>
      <c r="BA109" s="288"/>
      <c r="BB109" s="288"/>
      <c r="BC109" s="288"/>
      <c r="BD109" s="288"/>
      <c r="BE109" s="288"/>
      <c r="BF109" s="288"/>
      <c r="BG109" s="288"/>
      <c r="BH109" s="288"/>
      <c r="BI109" s="288"/>
      <c r="BJ109" s="288"/>
      <c r="BK109" s="300"/>
      <c r="BL109" s="137"/>
    </row>
    <row r="110" spans="2:65" s="199" customFormat="1" ht="14.4" hidden="1" customHeight="1" outlineLevel="1" x14ac:dyDescent="0.3">
      <c r="B110" s="309" t="s">
        <v>285</v>
      </c>
      <c r="C110" s="308"/>
      <c r="D110" s="297"/>
      <c r="E110" s="297"/>
      <c r="F110" s="297"/>
      <c r="G110" s="297"/>
      <c r="H110" s="297"/>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367" t="s">
        <v>372</v>
      </c>
      <c r="AN110" s="368"/>
      <c r="AO110" s="368"/>
      <c r="AP110" s="368"/>
      <c r="AQ110" s="368"/>
      <c r="AR110" s="297"/>
      <c r="AS110" s="297"/>
      <c r="AT110" s="297"/>
      <c r="AU110" s="297"/>
      <c r="AV110" s="297"/>
      <c r="AW110" s="297"/>
      <c r="AX110" s="297"/>
      <c r="AY110" s="297"/>
      <c r="AZ110" s="297"/>
      <c r="BA110" s="297"/>
      <c r="BB110" s="297"/>
      <c r="BC110" s="297"/>
      <c r="BD110" s="297"/>
      <c r="BE110" s="297"/>
      <c r="BF110" s="297"/>
      <c r="BG110" s="297"/>
      <c r="BH110" s="297"/>
      <c r="BI110" s="297"/>
      <c r="BJ110" s="297"/>
      <c r="BK110" s="302"/>
      <c r="BL110" s="137"/>
    </row>
    <row r="111" spans="2:65" s="62" customFormat="1" collapsed="1" x14ac:dyDescent="0.3">
      <c r="B111" s="239" t="s">
        <v>565</v>
      </c>
      <c r="C111" s="236"/>
      <c r="D111" s="64"/>
      <c r="E111" s="64"/>
      <c r="F111" s="64"/>
      <c r="G111" s="64"/>
      <c r="H111" s="112"/>
      <c r="I111" s="64"/>
      <c r="J111" s="64"/>
      <c r="K111" s="64"/>
      <c r="L111" s="64"/>
      <c r="M111" s="112"/>
      <c r="N111" s="64"/>
      <c r="O111" s="64"/>
      <c r="P111" s="64"/>
      <c r="Q111" s="64"/>
      <c r="R111" s="112"/>
      <c r="S111" s="64"/>
      <c r="T111" s="64"/>
      <c r="U111" s="64"/>
      <c r="V111" s="64"/>
      <c r="W111" s="112"/>
      <c r="X111" s="64"/>
      <c r="Y111" s="64"/>
      <c r="Z111" s="64"/>
      <c r="AA111" s="64"/>
      <c r="AB111" s="112"/>
      <c r="AC111" s="124"/>
      <c r="AD111" s="124"/>
      <c r="AE111" s="124"/>
      <c r="AF111" s="124"/>
      <c r="AG111" s="172"/>
      <c r="AH111" s="124"/>
      <c r="AI111" s="124"/>
      <c r="AJ111" s="124"/>
      <c r="AK111" s="124"/>
      <c r="AL111" s="172"/>
      <c r="AM111" s="124"/>
      <c r="AN111" s="124"/>
      <c r="AO111" s="124"/>
      <c r="AP111" s="124"/>
      <c r="AQ111" s="172"/>
      <c r="AR111" s="124"/>
      <c r="AS111" s="124"/>
      <c r="AT111" s="124"/>
      <c r="AU111" s="124"/>
      <c r="AV111" s="172"/>
      <c r="AW111" s="124"/>
      <c r="AX111" s="124"/>
      <c r="AY111" s="124"/>
      <c r="AZ111" s="124"/>
      <c r="BA111" s="172"/>
      <c r="BB111" s="124"/>
      <c r="BC111" s="124"/>
      <c r="BD111" s="124"/>
      <c r="BE111" s="124"/>
      <c r="BF111" s="172"/>
      <c r="BG111" s="124"/>
      <c r="BH111" s="124"/>
      <c r="BI111" s="124"/>
      <c r="BJ111" s="124"/>
      <c r="BK111" s="172"/>
    </row>
    <row r="112" spans="2:65" s="62" customFormat="1" hidden="1" outlineLevel="1" x14ac:dyDescent="0.3">
      <c r="B112" s="714" t="s">
        <v>267</v>
      </c>
      <c r="C112" s="715"/>
      <c r="D112" s="64"/>
      <c r="E112" s="64"/>
      <c r="F112" s="64"/>
      <c r="G112" s="64"/>
      <c r="H112" s="109"/>
      <c r="I112" s="64"/>
      <c r="J112" s="64"/>
      <c r="K112" s="64"/>
      <c r="L112" s="64"/>
      <c r="M112" s="109"/>
      <c r="N112" s="64">
        <v>3020</v>
      </c>
      <c r="O112" s="64">
        <v>3171</v>
      </c>
      <c r="P112" s="64">
        <v>3203</v>
      </c>
      <c r="Q112" s="64">
        <f>12890-P112-O112-N112</f>
        <v>3496</v>
      </c>
      <c r="R112" s="109">
        <f>SUM(N112:Q112)</f>
        <v>12890</v>
      </c>
      <c r="S112" s="64">
        <v>3687</v>
      </c>
      <c r="T112" s="64">
        <v>4114</v>
      </c>
      <c r="U112" s="64">
        <v>3990</v>
      </c>
      <c r="V112" s="64">
        <f>16051-U112-T112-S112</f>
        <v>4260</v>
      </c>
      <c r="W112" s="109">
        <f>SUM(S112:V112)</f>
        <v>16051</v>
      </c>
      <c r="X112" s="64">
        <v>4397</v>
      </c>
      <c r="Y112" s="64">
        <v>4573</v>
      </c>
      <c r="Z112" s="64">
        <v>4485</v>
      </c>
      <c r="AA112" s="64">
        <f>18063-Z112-Y112-X112</f>
        <v>4608</v>
      </c>
      <c r="AB112" s="109">
        <f>SUM(X112:AA112)</f>
        <v>18063</v>
      </c>
      <c r="AC112" s="64">
        <v>4799</v>
      </c>
      <c r="AD112" s="64">
        <v>4996</v>
      </c>
      <c r="AE112" s="64">
        <v>5028</v>
      </c>
      <c r="AF112" s="64">
        <v>5086</v>
      </c>
      <c r="AG112" s="109">
        <f>SUM(AC112:AF112)</f>
        <v>19909</v>
      </c>
      <c r="AH112" s="64">
        <v>6056</v>
      </c>
      <c r="AI112" s="64">
        <v>5991</v>
      </c>
      <c r="AJ112" s="64">
        <v>5976</v>
      </c>
      <c r="AK112" s="64">
        <v>6325</v>
      </c>
      <c r="AL112" s="109">
        <f>SUM(AH112:AK112)</f>
        <v>24348</v>
      </c>
      <c r="AM112" s="64">
        <v>7172</v>
      </c>
      <c r="AN112" s="64">
        <v>7041</v>
      </c>
      <c r="AO112" s="64">
        <f>AN112*(1+AO113)</f>
        <v>7270.0185185185092</v>
      </c>
      <c r="AP112" s="64">
        <f>AO112*(1+AP113)</f>
        <v>7659.1851851851698</v>
      </c>
      <c r="AQ112" s="109">
        <f>SUM(AM112:AP112)</f>
        <v>29142.203703703679</v>
      </c>
      <c r="AR112" s="64">
        <f>AP112*(1+AR113)</f>
        <v>8778.2222222222208</v>
      </c>
      <c r="AS112" s="64">
        <f>AR112*(1+AS113)</f>
        <v>8602.6577777777766</v>
      </c>
      <c r="AT112" s="64">
        <f>AS112*(1+AT113)</f>
        <v>8860.7375111111105</v>
      </c>
      <c r="AU112" s="64">
        <f>AT112*(1+AU113)</f>
        <v>9303.774386666666</v>
      </c>
      <c r="AV112" s="109">
        <f>SUM(AR112:AU112)</f>
        <v>35545.391897777772</v>
      </c>
      <c r="AW112" s="64">
        <f>AU112*(1+AW113)</f>
        <v>10234.151825333334</v>
      </c>
      <c r="AX112" s="64">
        <f>AW112*(1+AX113)</f>
        <v>10029.468788826667</v>
      </c>
      <c r="AY112" s="64">
        <f>AX112*(1+AY113)</f>
        <v>10330.352852491467</v>
      </c>
      <c r="AZ112" s="64">
        <f>AY112*(1+AZ113)</f>
        <v>10846.870495116042</v>
      </c>
      <c r="BA112" s="109">
        <f>SUM(AW112:AZ112)</f>
        <v>41440.84396176751</v>
      </c>
      <c r="BB112" s="64">
        <f>AZ112*(1+BB113)</f>
        <v>11931.557544627647</v>
      </c>
      <c r="BC112" s="64">
        <f>BB112*(1+BC113)</f>
        <v>11692.926393735093</v>
      </c>
      <c r="BD112" s="64">
        <f>BC112*(1+BD113)</f>
        <v>12043.714185547147</v>
      </c>
      <c r="BE112" s="64">
        <f>BD112*(1+BE113)</f>
        <v>12645.899894824504</v>
      </c>
      <c r="BF112" s="633">
        <f>SUM(BB112:BE112)</f>
        <v>48314.098018734396</v>
      </c>
      <c r="BG112" s="64">
        <f>BE112*(1+BG113)</f>
        <v>13910.489884306957</v>
      </c>
      <c r="BH112" s="64">
        <f>BG112*(1+BH113)</f>
        <v>13632.280086620818</v>
      </c>
      <c r="BI112" s="64">
        <f>BH112*(1+BI113)</f>
        <v>14041.248489219442</v>
      </c>
      <c r="BJ112" s="64">
        <f>BI112*(1+BJ113)</f>
        <v>14743.310913680416</v>
      </c>
      <c r="BK112" s="109">
        <f>SUM(BG112:BJ112)</f>
        <v>56327.329373827626</v>
      </c>
    </row>
    <row r="113" spans="2:76" s="62" customFormat="1" hidden="1" outlineLevel="1" x14ac:dyDescent="0.3">
      <c r="B113" s="714" t="s">
        <v>563</v>
      </c>
      <c r="C113" s="715"/>
      <c r="D113" s="119"/>
      <c r="E113" s="119"/>
      <c r="F113" s="119"/>
      <c r="G113" s="119"/>
      <c r="H113" s="120"/>
      <c r="I113" s="119"/>
      <c r="J113" s="119"/>
      <c r="K113" s="119"/>
      <c r="L113" s="119"/>
      <c r="M113" s="120"/>
      <c r="N113" s="566"/>
      <c r="O113" s="566">
        <f>O112/N112-1</f>
        <v>5.0000000000000044E-2</v>
      </c>
      <c r="P113" s="566">
        <f>P112/O112-1</f>
        <v>1.0091453800063155E-2</v>
      </c>
      <c r="Q113" s="566">
        <f>Q112/P112-1</f>
        <v>9.1476740555729075E-2</v>
      </c>
      <c r="R113" s="567"/>
      <c r="S113" s="566">
        <f>S112/Q112-1</f>
        <v>5.4633867276887793E-2</v>
      </c>
      <c r="T113" s="566">
        <f>T112/S112-1</f>
        <v>0.11581231353403854</v>
      </c>
      <c r="U113" s="566">
        <f>U112/T112-1</f>
        <v>-3.0140982012639816E-2</v>
      </c>
      <c r="V113" s="566">
        <f>V112/U112-1</f>
        <v>6.7669172932330879E-2</v>
      </c>
      <c r="W113" s="567">
        <f>W112/R112-1</f>
        <v>0.24522885958107055</v>
      </c>
      <c r="X113" s="566">
        <f>X112/V112-1</f>
        <v>3.215962441314546E-2</v>
      </c>
      <c r="Y113" s="566">
        <f>Y112/X112-1</f>
        <v>4.0027291335001047E-2</v>
      </c>
      <c r="Z113" s="566">
        <f>Z112/Y112-1</f>
        <v>-1.9243385086376574E-2</v>
      </c>
      <c r="AA113" s="566">
        <f>AA112/Z112-1</f>
        <v>2.7424749163879492E-2</v>
      </c>
      <c r="AB113" s="567">
        <f>AB112/W112-1</f>
        <v>0.12535044545511176</v>
      </c>
      <c r="AC113" s="566">
        <f>AC112/AA112-1</f>
        <v>4.1449652777777679E-2</v>
      </c>
      <c r="AD113" s="566">
        <f>AD112/AC112-1</f>
        <v>4.1050218795582349E-2</v>
      </c>
      <c r="AE113" s="566">
        <f>AE112/AD112-1</f>
        <v>6.4051240992795133E-3</v>
      </c>
      <c r="AF113" s="566">
        <f>AF112/AE112-1</f>
        <v>1.1535401750198959E-2</v>
      </c>
      <c r="AG113" s="567">
        <f>AG112/AB112-1</f>
        <v>0.10219786303493339</v>
      </c>
      <c r="AH113" s="629">
        <f>AH112/AF112-1</f>
        <v>0.19071962249311847</v>
      </c>
      <c r="AI113" s="629">
        <f>AI112/AH112-1</f>
        <v>-1.0733157199471544E-2</v>
      </c>
      <c r="AJ113" s="629">
        <f>AJ112/AI112-1</f>
        <v>-2.5037556334501776E-3</v>
      </c>
      <c r="AK113" s="629">
        <f>AK112/AJ112-1</f>
        <v>5.8400267737617195E-2</v>
      </c>
      <c r="AL113" s="630">
        <f>AL112/AG112-1</f>
        <v>0.22296448842232164</v>
      </c>
      <c r="AM113" s="631">
        <f>AM112/AK112-1</f>
        <v>0.13391304347826094</v>
      </c>
      <c r="AN113" s="631">
        <f>AN112/AM112-1</f>
        <v>-1.8265476854433915E-2</v>
      </c>
      <c r="AO113" s="632">
        <v>3.252641933226947E-2</v>
      </c>
      <c r="AP113" s="632">
        <v>5.3530354245365182E-2</v>
      </c>
      <c r="AQ113" s="630">
        <f>AQ112/AL112-1</f>
        <v>0.19690338852076872</v>
      </c>
      <c r="AR113" s="632">
        <v>0.14610392750413664</v>
      </c>
      <c r="AS113" s="632">
        <v>-0.02</v>
      </c>
      <c r="AT113" s="632">
        <v>0.03</v>
      </c>
      <c r="AU113" s="632">
        <v>0.05</v>
      </c>
      <c r="AV113" s="630">
        <f>AV112/AQ112-1</f>
        <v>0.21972216854898696</v>
      </c>
      <c r="AW113" s="632">
        <v>0.1</v>
      </c>
      <c r="AX113" s="632">
        <v>-0.02</v>
      </c>
      <c r="AY113" s="632">
        <v>0.03</v>
      </c>
      <c r="AZ113" s="632">
        <v>0.05</v>
      </c>
      <c r="BA113" s="630">
        <f>BA112/AV112-1</f>
        <v>0.16585700000000037</v>
      </c>
      <c r="BB113" s="632">
        <v>0.1</v>
      </c>
      <c r="BC113" s="632">
        <v>-0.02</v>
      </c>
      <c r="BD113" s="632">
        <v>0.03</v>
      </c>
      <c r="BE113" s="632">
        <v>0.05</v>
      </c>
      <c r="BF113" s="630">
        <f>BF112/BA112-1</f>
        <v>0.16585700000000037</v>
      </c>
      <c r="BG113" s="632">
        <v>0.1</v>
      </c>
      <c r="BH113" s="632">
        <v>-0.02</v>
      </c>
      <c r="BI113" s="632">
        <v>0.03</v>
      </c>
      <c r="BJ113" s="632">
        <v>0.05</v>
      </c>
      <c r="BK113" s="630">
        <f>BK112/BF112-1</f>
        <v>0.16585699999999992</v>
      </c>
    </row>
    <row r="114" spans="2:76" s="62" customFormat="1" hidden="1" outlineLevel="1" x14ac:dyDescent="0.3">
      <c r="B114" s="553" t="s">
        <v>564</v>
      </c>
      <c r="C114" s="554"/>
      <c r="D114" s="119"/>
      <c r="E114" s="119"/>
      <c r="F114" s="119"/>
      <c r="G114" s="119"/>
      <c r="H114" s="120"/>
      <c r="I114" s="119"/>
      <c r="J114" s="119"/>
      <c r="K114" s="119"/>
      <c r="L114" s="119"/>
      <c r="M114" s="120"/>
      <c r="N114" s="566"/>
      <c r="O114" s="566"/>
      <c r="P114" s="566"/>
      <c r="Q114" s="566"/>
      <c r="R114" s="567"/>
      <c r="S114" s="566">
        <f>S112/N112-1</f>
        <v>0.22086092715231787</v>
      </c>
      <c r="T114" s="566">
        <f t="shared" ref="T114:W114" si="126">T112/O112-1</f>
        <v>0.2973825291706087</v>
      </c>
      <c r="U114" s="566">
        <f t="shared" si="126"/>
        <v>0.24570714954729933</v>
      </c>
      <c r="V114" s="566">
        <f t="shared" si="126"/>
        <v>0.21853546910755139</v>
      </c>
      <c r="W114" s="567">
        <f t="shared" si="126"/>
        <v>0.24522885958107055</v>
      </c>
      <c r="X114" s="566">
        <f>X112/S112-1</f>
        <v>0.19256848386221859</v>
      </c>
      <c r="Y114" s="566">
        <f t="shared" ref="Y114" si="127">Y112/T112-1</f>
        <v>0.11157024793388426</v>
      </c>
      <c r="Z114" s="566">
        <f t="shared" ref="Z114" si="128">Z112/U112-1</f>
        <v>0.12406015037593976</v>
      </c>
      <c r="AA114" s="566">
        <f t="shared" ref="AA114" si="129">AA112/V112-1</f>
        <v>8.1690140845070314E-2</v>
      </c>
      <c r="AB114" s="567">
        <f t="shared" ref="AB114" si="130">AB112/W112-1</f>
        <v>0.12535044545511176</v>
      </c>
      <c r="AC114" s="566">
        <f>AC112/X112-1</f>
        <v>9.1425972253809329E-2</v>
      </c>
      <c r="AD114" s="566">
        <f t="shared" ref="AD114" si="131">AD112/Y112-1</f>
        <v>9.2499453312923752E-2</v>
      </c>
      <c r="AE114" s="566">
        <f t="shared" ref="AE114" si="132">AE112/Z112-1</f>
        <v>0.12107023411371243</v>
      </c>
      <c r="AF114" s="566">
        <f t="shared" ref="AF114" si="133">AF112/AA112-1</f>
        <v>0.10373263888888884</v>
      </c>
      <c r="AG114" s="567">
        <f t="shared" ref="AG114" si="134">AG112/AB112-1</f>
        <v>0.10219786303493339</v>
      </c>
      <c r="AH114" s="566">
        <f>AH112/AC112-1</f>
        <v>0.2619295686601375</v>
      </c>
      <c r="AI114" s="566">
        <f t="shared" ref="AI114" si="135">AI112/AD112-1</f>
        <v>0.19915932746196963</v>
      </c>
      <c r="AJ114" s="566">
        <f t="shared" ref="AJ114" si="136">AJ112/AE112-1</f>
        <v>0.1885441527446301</v>
      </c>
      <c r="AK114" s="566">
        <f t="shared" ref="AK114" si="137">AK112/AF112-1</f>
        <v>0.24360990955564299</v>
      </c>
      <c r="AL114" s="567">
        <f t="shared" ref="AL114" si="138">AL112/AG112-1</f>
        <v>0.22296448842232164</v>
      </c>
      <c r="AM114" s="566">
        <f>AM112/AH112-1</f>
        <v>0.18428005284015847</v>
      </c>
      <c r="AN114" s="566">
        <f t="shared" ref="AN114" si="139">AN112/AI112-1</f>
        <v>0.17526289434151221</v>
      </c>
      <c r="AO114" s="566">
        <f t="shared" ref="AO114" si="140">AO112/AJ112-1</f>
        <v>0.21653589667311057</v>
      </c>
      <c r="AP114" s="566">
        <f t="shared" ref="AP114" si="141">AP112/AK112-1</f>
        <v>0.21093836919923636</v>
      </c>
      <c r="AQ114" s="567">
        <f t="shared" ref="AQ114" si="142">AQ112/AL112-1</f>
        <v>0.19690338852076872</v>
      </c>
      <c r="AR114" s="566">
        <f>AR112/AM112-1</f>
        <v>0.22395736506165931</v>
      </c>
      <c r="AS114" s="566">
        <f t="shared" ref="AS114" si="143">AS112/AN112-1</f>
        <v>0.22179488393378444</v>
      </c>
      <c r="AT114" s="566">
        <f t="shared" ref="AT114" si="144">AT112/AO112-1</f>
        <v>0.21880535634684461</v>
      </c>
      <c r="AU114" s="566">
        <f t="shared" ref="AU114" si="145">AU112/AP112-1</f>
        <v>0.21472116964380938</v>
      </c>
      <c r="AV114" s="567">
        <f t="shared" ref="AV114" si="146">AV112/AQ112-1</f>
        <v>0.21972216854898696</v>
      </c>
      <c r="AW114" s="566">
        <f>AW112/AR112-1</f>
        <v>0.16585700000000037</v>
      </c>
      <c r="AX114" s="566">
        <f t="shared" ref="AX114" si="147">AX112/AS112-1</f>
        <v>0.16585700000000014</v>
      </c>
      <c r="AY114" s="566">
        <f t="shared" ref="AY114" si="148">AY112/AT112-1</f>
        <v>0.16585700000000014</v>
      </c>
      <c r="AZ114" s="566">
        <f t="shared" ref="AZ114" si="149">AZ112/AU112-1</f>
        <v>0.16585700000000037</v>
      </c>
      <c r="BA114" s="567">
        <f t="shared" ref="BA114" si="150">BA112/AV112-1</f>
        <v>0.16585700000000037</v>
      </c>
      <c r="BB114" s="566">
        <f>BB112/AW112-1</f>
        <v>0.16585700000000014</v>
      </c>
      <c r="BC114" s="566">
        <f t="shared" ref="BC114" si="151">BC112/AX112-1</f>
        <v>0.16585700000000014</v>
      </c>
      <c r="BD114" s="566">
        <f t="shared" ref="BD114" si="152">BD112/AY112-1</f>
        <v>0.16585700000000037</v>
      </c>
      <c r="BE114" s="566">
        <f t="shared" ref="BE114" si="153">BE112/AZ112-1</f>
        <v>0.16585700000000014</v>
      </c>
      <c r="BF114" s="567">
        <f t="shared" ref="BF114" si="154">BF112/BA112-1</f>
        <v>0.16585700000000037</v>
      </c>
      <c r="BG114" s="566">
        <f>BG112/BB112-1</f>
        <v>0.16585700000000014</v>
      </c>
      <c r="BH114" s="566">
        <f t="shared" ref="BH114" si="155">BH112/BC112-1</f>
        <v>0.16585700000000037</v>
      </c>
      <c r="BI114" s="566">
        <f t="shared" ref="BI114" si="156">BI112/BD112-1</f>
        <v>0.16585700000000014</v>
      </c>
      <c r="BJ114" s="566">
        <f t="shared" ref="BJ114" si="157">BJ112/BE112-1</f>
        <v>0.16585700000000037</v>
      </c>
      <c r="BK114" s="567">
        <f t="shared" ref="BK114" si="158">BK112/BF112-1</f>
        <v>0.16585699999999992</v>
      </c>
    </row>
    <row r="115" spans="2:76" s="62" customFormat="1" hidden="1" outlineLevel="1" x14ac:dyDescent="0.3">
      <c r="B115" s="714" t="s">
        <v>256</v>
      </c>
      <c r="C115" s="715"/>
      <c r="D115" s="64">
        <v>1164</v>
      </c>
      <c r="E115" s="64">
        <v>1327</v>
      </c>
      <c r="F115" s="64">
        <v>1214</v>
      </c>
      <c r="G115" s="64">
        <f>4948-F115-E115-D115</f>
        <v>1243</v>
      </c>
      <c r="H115" s="109">
        <f>SUM(D115:G115)</f>
        <v>4948</v>
      </c>
      <c r="I115" s="64">
        <v>1431</v>
      </c>
      <c r="J115" s="64">
        <v>1634</v>
      </c>
      <c r="K115" s="64">
        <v>1571</v>
      </c>
      <c r="L115" s="64">
        <f>6314-K115-J115-I115</f>
        <v>1678</v>
      </c>
      <c r="M115" s="109">
        <f>SUM(I115:L115)</f>
        <v>6314</v>
      </c>
      <c r="N115" s="64"/>
      <c r="O115" s="64"/>
      <c r="P115" s="64"/>
      <c r="Q115" s="64"/>
      <c r="R115" s="112"/>
      <c r="S115" s="64"/>
      <c r="T115" s="64"/>
      <c r="U115" s="64"/>
      <c r="V115" s="64"/>
      <c r="W115" s="112"/>
      <c r="X115" s="64"/>
      <c r="Y115" s="64"/>
      <c r="Z115" s="64"/>
      <c r="AA115" s="64"/>
      <c r="AB115" s="112"/>
      <c r="AC115" s="64"/>
      <c r="AD115" s="64"/>
      <c r="AE115" s="64"/>
      <c r="AF115" s="64"/>
      <c r="AG115" s="112"/>
      <c r="AH115" s="64"/>
      <c r="AI115" s="64"/>
      <c r="AJ115" s="64"/>
      <c r="AK115" s="64"/>
      <c r="AL115" s="112"/>
      <c r="AM115" s="64"/>
      <c r="AN115" s="64"/>
      <c r="AO115" s="64"/>
      <c r="AP115" s="64"/>
      <c r="AQ115" s="112"/>
      <c r="AR115" s="64"/>
      <c r="AS115" s="64"/>
      <c r="AT115" s="64"/>
      <c r="AU115" s="64"/>
      <c r="AV115" s="112"/>
      <c r="AW115" s="64"/>
      <c r="AX115" s="64"/>
      <c r="AY115" s="64"/>
      <c r="AZ115" s="64"/>
      <c r="BA115" s="112"/>
      <c r="BB115" s="64"/>
      <c r="BC115" s="64"/>
      <c r="BD115" s="64"/>
      <c r="BE115" s="64"/>
      <c r="BF115" s="112"/>
      <c r="BG115" s="64"/>
      <c r="BH115" s="64"/>
      <c r="BI115" s="64"/>
      <c r="BJ115" s="64"/>
      <c r="BK115" s="112"/>
    </row>
    <row r="116" spans="2:76" s="62" customFormat="1" hidden="1" outlineLevel="1" x14ac:dyDescent="0.3">
      <c r="B116" s="714" t="s">
        <v>257</v>
      </c>
      <c r="C116" s="715"/>
      <c r="D116" s="64">
        <v>469</v>
      </c>
      <c r="E116" s="64">
        <v>472</v>
      </c>
      <c r="F116" s="64">
        <v>396</v>
      </c>
      <c r="G116" s="64">
        <f>1814-F116-E116-D116</f>
        <v>477</v>
      </c>
      <c r="H116" s="109">
        <f>SUM(D116:G116)</f>
        <v>1814</v>
      </c>
      <c r="I116" s="64">
        <v>593</v>
      </c>
      <c r="J116" s="64">
        <v>580</v>
      </c>
      <c r="K116" s="64">
        <v>517</v>
      </c>
      <c r="L116" s="64">
        <f>2330-K116-J116-I116</f>
        <v>640</v>
      </c>
      <c r="M116" s="109">
        <f>SUM(I116:L116)</f>
        <v>2330</v>
      </c>
      <c r="N116" s="64"/>
      <c r="O116" s="64"/>
      <c r="P116" s="64"/>
      <c r="Q116" s="64"/>
      <c r="R116" s="112"/>
      <c r="S116" s="64"/>
      <c r="T116" s="64"/>
      <c r="U116" s="64"/>
      <c r="V116" s="64"/>
      <c r="W116" s="112"/>
      <c r="X116" s="64"/>
      <c r="Y116" s="64"/>
      <c r="Z116" s="64"/>
      <c r="AA116" s="64"/>
      <c r="AB116" s="112"/>
      <c r="AC116" s="64"/>
      <c r="AD116" s="64"/>
      <c r="AE116" s="64"/>
      <c r="AF116" s="64"/>
      <c r="AG116" s="112"/>
      <c r="AH116" s="64"/>
      <c r="AI116" s="64"/>
      <c r="AJ116" s="64"/>
      <c r="AK116" s="64"/>
      <c r="AL116" s="112"/>
      <c r="AM116" s="64"/>
      <c r="AN116" s="64"/>
      <c r="AO116" s="64"/>
      <c r="AP116" s="64"/>
      <c r="AQ116" s="112"/>
      <c r="AR116" s="64"/>
      <c r="AS116" s="64"/>
      <c r="AT116" s="64"/>
      <c r="AU116" s="64"/>
      <c r="AV116" s="112"/>
      <c r="AW116" s="64"/>
      <c r="AX116" s="64"/>
      <c r="AY116" s="64"/>
      <c r="AZ116" s="64"/>
      <c r="BA116" s="112"/>
      <c r="BB116" s="64"/>
      <c r="BC116" s="64"/>
      <c r="BD116" s="64"/>
      <c r="BE116" s="64"/>
      <c r="BF116" s="112"/>
      <c r="BG116" s="64"/>
      <c r="BH116" s="64"/>
      <c r="BI116" s="64"/>
      <c r="BJ116" s="64"/>
      <c r="BK116" s="112"/>
    </row>
    <row r="117" spans="2:76" s="62" customFormat="1" ht="16.2" hidden="1" outlineLevel="1" x14ac:dyDescent="0.45">
      <c r="B117" s="714" t="s">
        <v>258</v>
      </c>
      <c r="C117" s="715"/>
      <c r="D117" s="255">
        <v>631</v>
      </c>
      <c r="E117" s="255">
        <v>634</v>
      </c>
      <c r="F117" s="255">
        <v>646</v>
      </c>
      <c r="G117" s="255">
        <f>2573-F117-E117-D117</f>
        <v>662</v>
      </c>
      <c r="H117" s="256">
        <f>SUM(D117:G117)</f>
        <v>2573</v>
      </c>
      <c r="I117" s="255">
        <v>786</v>
      </c>
      <c r="J117" s="255">
        <v>743</v>
      </c>
      <c r="K117" s="255">
        <v>696</v>
      </c>
      <c r="L117" s="255">
        <f>2954-K117-J117-I117</f>
        <v>729</v>
      </c>
      <c r="M117" s="256">
        <f>SUM(I117:L117)</f>
        <v>2954</v>
      </c>
      <c r="N117" s="64"/>
      <c r="O117" s="64"/>
      <c r="P117" s="64"/>
      <c r="Q117" s="64"/>
      <c r="R117" s="112"/>
      <c r="S117" s="64"/>
      <c r="T117" s="64"/>
      <c r="U117" s="64"/>
      <c r="V117" s="64"/>
      <c r="W117" s="112"/>
      <c r="X117" s="64"/>
      <c r="Y117" s="64"/>
      <c r="Z117" s="64"/>
      <c r="AA117" s="64"/>
      <c r="AB117" s="112"/>
      <c r="AC117" s="64"/>
      <c r="AD117" s="64"/>
      <c r="AE117" s="64"/>
      <c r="AF117" s="64"/>
      <c r="AG117" s="112"/>
      <c r="AH117" s="64"/>
      <c r="AI117" s="68"/>
      <c r="AJ117" s="64"/>
      <c r="AK117" s="64"/>
      <c r="AL117" s="112"/>
      <c r="AM117" s="64"/>
      <c r="AN117" s="64"/>
      <c r="AO117" s="64"/>
      <c r="AP117" s="64"/>
      <c r="AQ117" s="112"/>
      <c r="AR117" s="64"/>
      <c r="AS117" s="64"/>
      <c r="AT117" s="64"/>
      <c r="AU117" s="64"/>
      <c r="AV117" s="112"/>
      <c r="AW117" s="64"/>
      <c r="AX117" s="64"/>
      <c r="AY117" s="64"/>
      <c r="AZ117" s="64"/>
      <c r="BA117" s="112"/>
      <c r="BB117" s="64"/>
      <c r="BC117" s="64"/>
      <c r="BD117" s="64"/>
      <c r="BE117" s="64"/>
      <c r="BF117" s="112"/>
      <c r="BG117" s="64"/>
      <c r="BH117" s="64"/>
      <c r="BI117" s="64"/>
      <c r="BJ117" s="64"/>
      <c r="BK117" s="112"/>
    </row>
    <row r="118" spans="2:76" s="113" customFormat="1" collapsed="1" x14ac:dyDescent="0.3">
      <c r="B118" s="764" t="s">
        <v>184</v>
      </c>
      <c r="C118" s="765"/>
      <c r="D118" s="253">
        <f t="shared" ref="D118:AI118" si="159">SUM(D115:D117)+D112+D98+D88+D75+D61+D47+D103</f>
        <v>15683</v>
      </c>
      <c r="E118" s="253">
        <f t="shared" si="159"/>
        <v>13499</v>
      </c>
      <c r="F118" s="253">
        <f t="shared" si="159"/>
        <v>15700</v>
      </c>
      <c r="G118" s="253">
        <f t="shared" si="159"/>
        <v>20343</v>
      </c>
      <c r="H118" s="254">
        <f t="shared" si="159"/>
        <v>65225</v>
      </c>
      <c r="I118" s="253">
        <f t="shared" si="159"/>
        <v>26741</v>
      </c>
      <c r="J118" s="253">
        <f t="shared" si="159"/>
        <v>24667</v>
      </c>
      <c r="K118" s="253">
        <f t="shared" si="159"/>
        <v>28571</v>
      </c>
      <c r="L118" s="253">
        <f t="shared" si="159"/>
        <v>28270</v>
      </c>
      <c r="M118" s="254">
        <f t="shared" si="159"/>
        <v>108249</v>
      </c>
      <c r="N118" s="253">
        <f t="shared" si="159"/>
        <v>46333</v>
      </c>
      <c r="O118" s="253">
        <f t="shared" si="159"/>
        <v>39186</v>
      </c>
      <c r="P118" s="253">
        <f t="shared" si="159"/>
        <v>35023</v>
      </c>
      <c r="Q118" s="253">
        <f t="shared" si="159"/>
        <v>35966</v>
      </c>
      <c r="R118" s="254">
        <f t="shared" si="159"/>
        <v>156508</v>
      </c>
      <c r="S118" s="253">
        <f t="shared" si="159"/>
        <v>54512</v>
      </c>
      <c r="T118" s="253">
        <f t="shared" si="159"/>
        <v>43603</v>
      </c>
      <c r="U118" s="253">
        <f t="shared" si="159"/>
        <v>35323</v>
      </c>
      <c r="V118" s="253">
        <f t="shared" si="159"/>
        <v>37472</v>
      </c>
      <c r="W118" s="254">
        <f t="shared" si="159"/>
        <v>170910</v>
      </c>
      <c r="X118" s="253">
        <f t="shared" si="159"/>
        <v>57594</v>
      </c>
      <c r="Y118" s="253">
        <f t="shared" si="159"/>
        <v>45646</v>
      </c>
      <c r="Z118" s="253">
        <f t="shared" si="159"/>
        <v>37432</v>
      </c>
      <c r="AA118" s="253">
        <f t="shared" si="159"/>
        <v>42123</v>
      </c>
      <c r="AB118" s="254">
        <f t="shared" si="159"/>
        <v>182795</v>
      </c>
      <c r="AC118" s="253">
        <f t="shared" si="159"/>
        <v>74599</v>
      </c>
      <c r="AD118" s="253">
        <f t="shared" si="159"/>
        <v>58010</v>
      </c>
      <c r="AE118" s="253">
        <f t="shared" si="159"/>
        <v>49605</v>
      </c>
      <c r="AF118" s="253">
        <f t="shared" si="159"/>
        <v>51501</v>
      </c>
      <c r="AG118" s="254">
        <f t="shared" si="159"/>
        <v>233715</v>
      </c>
      <c r="AH118" s="253">
        <f t="shared" si="159"/>
        <v>75872</v>
      </c>
      <c r="AI118" s="253">
        <f t="shared" si="159"/>
        <v>50557</v>
      </c>
      <c r="AJ118" s="253">
        <f t="shared" ref="AJ118:BK118" si="160">SUM(AJ115:AJ117)+AJ112+AJ98+AJ88+AJ75+AJ61+AJ47+AJ103</f>
        <v>42358</v>
      </c>
      <c r="AK118" s="253">
        <f t="shared" si="160"/>
        <v>46852</v>
      </c>
      <c r="AL118" s="254">
        <f t="shared" si="160"/>
        <v>215638.99999999997</v>
      </c>
      <c r="AM118" s="253">
        <f t="shared" si="160"/>
        <v>78351</v>
      </c>
      <c r="AN118" s="253">
        <f t="shared" si="160"/>
        <v>52896</v>
      </c>
      <c r="AO118" s="253">
        <f t="shared" si="160"/>
        <v>44971.999999999993</v>
      </c>
      <c r="AP118" s="253">
        <f t="shared" si="160"/>
        <v>50746.999999999993</v>
      </c>
      <c r="AQ118" s="254">
        <f t="shared" si="160"/>
        <v>226965.99999999997</v>
      </c>
      <c r="AR118" s="253">
        <f t="shared" si="160"/>
        <v>83945</v>
      </c>
      <c r="AS118" s="253">
        <f t="shared" si="160"/>
        <v>60256.000000000007</v>
      </c>
      <c r="AT118" s="253">
        <f t="shared" si="160"/>
        <v>51661.195844444446</v>
      </c>
      <c r="AU118" s="253">
        <f t="shared" si="160"/>
        <v>54600.804155555554</v>
      </c>
      <c r="AV118" s="254">
        <f t="shared" si="160"/>
        <v>250463</v>
      </c>
      <c r="AW118" s="253">
        <f t="shared" si="160"/>
        <v>85437.62682533334</v>
      </c>
      <c r="AX118" s="253">
        <f t="shared" si="160"/>
        <v>55404.565418456295</v>
      </c>
      <c r="AY118" s="253">
        <f t="shared" si="160"/>
        <v>47087.317727491471</v>
      </c>
      <c r="AZ118" s="253">
        <f t="shared" si="160"/>
        <v>55204.64288057074</v>
      </c>
      <c r="BA118" s="254">
        <f t="shared" si="160"/>
        <v>243134.15285185183</v>
      </c>
      <c r="BB118" s="253">
        <f t="shared" si="160"/>
        <v>85205.129566502641</v>
      </c>
      <c r="BC118" s="253">
        <f t="shared" si="160"/>
        <v>49631.917603958638</v>
      </c>
      <c r="BD118" s="253">
        <f t="shared" si="160"/>
        <v>43815.086237179967</v>
      </c>
      <c r="BE118" s="253">
        <f t="shared" si="160"/>
        <v>56015.31807790976</v>
      </c>
      <c r="BF118" s="254">
        <f t="shared" si="160"/>
        <v>234667.45148555102</v>
      </c>
      <c r="BG118" s="253">
        <f t="shared" si="160"/>
        <v>81566.272367588215</v>
      </c>
      <c r="BH118" s="253">
        <f t="shared" si="160"/>
        <v>46281.459777893542</v>
      </c>
      <c r="BI118" s="253">
        <f t="shared" si="160"/>
        <v>41558.048453895608</v>
      </c>
      <c r="BJ118" s="253">
        <f t="shared" si="160"/>
        <v>54878.066478052693</v>
      </c>
      <c r="BK118" s="254">
        <f t="shared" si="160"/>
        <v>224283.84707743008</v>
      </c>
    </row>
    <row r="119" spans="2:76" s="390" customFormat="1" x14ac:dyDescent="0.3">
      <c r="B119" s="385" t="s">
        <v>380</v>
      </c>
      <c r="C119" s="384"/>
      <c r="D119" s="111"/>
      <c r="E119" s="111"/>
      <c r="F119" s="111"/>
      <c r="G119" s="111"/>
      <c r="H119" s="110"/>
      <c r="I119" s="111"/>
      <c r="J119" s="111"/>
      <c r="K119" s="111"/>
      <c r="L119" s="111"/>
      <c r="M119" s="110"/>
      <c r="N119" s="111"/>
      <c r="O119" s="111"/>
      <c r="P119" s="111"/>
      <c r="Q119" s="111"/>
      <c r="R119" s="110"/>
      <c r="S119" s="111"/>
      <c r="T119" s="111"/>
      <c r="U119" s="111"/>
      <c r="V119" s="111"/>
      <c r="W119" s="110"/>
      <c r="X119" s="111"/>
      <c r="Y119" s="111"/>
      <c r="Z119" s="111"/>
      <c r="AA119" s="111"/>
      <c r="AB119" s="110"/>
      <c r="AC119" s="111"/>
      <c r="AD119" s="111"/>
      <c r="AE119" s="111"/>
      <c r="AF119" s="111"/>
      <c r="AG119" s="110"/>
      <c r="AH119" s="111"/>
      <c r="AI119" s="111"/>
      <c r="AJ119" s="111"/>
      <c r="AK119" s="111"/>
      <c r="AL119" s="110"/>
      <c r="AM119" s="111"/>
      <c r="AN119" s="111"/>
      <c r="AO119" s="111"/>
      <c r="AP119" s="111"/>
      <c r="AQ119" s="110"/>
      <c r="AR119" s="111"/>
      <c r="AS119" s="111"/>
      <c r="AT119" s="111"/>
      <c r="AU119" s="111"/>
      <c r="AV119" s="110"/>
      <c r="AW119" s="111"/>
      <c r="AX119" s="111"/>
      <c r="AY119" s="111"/>
      <c r="AZ119" s="111"/>
      <c r="BA119" s="110"/>
      <c r="BB119" s="111"/>
      <c r="BC119" s="111"/>
      <c r="BD119" s="111"/>
      <c r="BE119" s="111"/>
      <c r="BF119" s="110"/>
      <c r="BG119" s="111"/>
      <c r="BH119" s="111"/>
      <c r="BI119" s="111"/>
      <c r="BJ119" s="111"/>
      <c r="BK119" s="110"/>
    </row>
    <row r="120" spans="2:76" s="141" customFormat="1" x14ac:dyDescent="0.3">
      <c r="B120" s="726" t="s">
        <v>381</v>
      </c>
      <c r="C120" s="728"/>
      <c r="D120" s="63"/>
      <c r="E120" s="63"/>
      <c r="F120" s="63"/>
      <c r="G120" s="63"/>
      <c r="H120" s="109"/>
      <c r="I120" s="63"/>
      <c r="J120" s="63"/>
      <c r="K120" s="63"/>
      <c r="L120" s="63"/>
      <c r="M120" s="109"/>
      <c r="N120" s="63"/>
      <c r="O120" s="63"/>
      <c r="P120" s="63">
        <v>100.68</v>
      </c>
      <c r="Q120" s="63">
        <v>100.67</v>
      </c>
      <c r="R120" s="109"/>
      <c r="S120" s="63">
        <v>99.22</v>
      </c>
      <c r="T120" s="63">
        <v>99.8</v>
      </c>
      <c r="U120" s="63">
        <v>100.83</v>
      </c>
      <c r="V120" s="63">
        <v>101.95</v>
      </c>
      <c r="W120" s="109"/>
      <c r="X120" s="63">
        <v>101.38</v>
      </c>
      <c r="Y120" s="63">
        <v>102.9</v>
      </c>
      <c r="Z120" s="63">
        <v>102.38</v>
      </c>
      <c r="AA120" s="63">
        <v>103.24</v>
      </c>
      <c r="AB120" s="109"/>
      <c r="AC120" s="63">
        <v>108.05</v>
      </c>
      <c r="AD120" s="63">
        <v>114.45</v>
      </c>
      <c r="AE120" s="63">
        <v>114.83</v>
      </c>
      <c r="AF120" s="63">
        <v>118.83</v>
      </c>
      <c r="AG120" s="109"/>
      <c r="AH120" s="63">
        <v>120.78</v>
      </c>
      <c r="AI120" s="63">
        <v>123.26</v>
      </c>
      <c r="AJ120" s="63">
        <v>120.42</v>
      </c>
      <c r="AK120" s="63">
        <v>121.5</v>
      </c>
      <c r="AL120" s="109"/>
      <c r="AM120" s="63">
        <v>125.52</v>
      </c>
      <c r="AN120" s="63"/>
      <c r="AO120" s="63"/>
      <c r="AP120" s="63"/>
      <c r="AQ120" s="109"/>
      <c r="AR120" s="63"/>
      <c r="AS120" s="63"/>
      <c r="AT120" s="63"/>
      <c r="AU120" s="63"/>
      <c r="AV120" s="109"/>
      <c r="AW120" s="63"/>
      <c r="AX120" s="63"/>
      <c r="AY120" s="63"/>
      <c r="AZ120" s="63"/>
      <c r="BA120" s="109"/>
      <c r="BB120" s="63"/>
      <c r="BC120" s="63"/>
      <c r="BD120" s="63"/>
      <c r="BE120" s="63"/>
      <c r="BF120" s="109"/>
      <c r="BG120" s="63"/>
      <c r="BH120" s="63"/>
      <c r="BI120" s="63"/>
      <c r="BJ120" s="63"/>
      <c r="BK120" s="109"/>
    </row>
    <row r="121" spans="2:76" s="141" customFormat="1" x14ac:dyDescent="0.3">
      <c r="B121" s="726" t="s">
        <v>411</v>
      </c>
      <c r="C121" s="728"/>
      <c r="D121" s="63"/>
      <c r="E121" s="63"/>
      <c r="F121" s="63"/>
      <c r="G121" s="63"/>
      <c r="H121" s="109"/>
      <c r="I121" s="63"/>
      <c r="J121" s="63"/>
      <c r="K121" s="63"/>
      <c r="L121" s="63"/>
      <c r="M121" s="109"/>
      <c r="N121" s="63"/>
      <c r="O121" s="66"/>
      <c r="P121" s="66"/>
      <c r="Q121" s="66"/>
      <c r="R121" s="65"/>
      <c r="S121" s="66"/>
      <c r="T121" s="66"/>
      <c r="U121" s="66">
        <f>U120/P120-1</f>
        <v>1.4898688915374603E-3</v>
      </c>
      <c r="V121" s="66">
        <f>V120/Q120-1</f>
        <v>1.2714810767855411E-2</v>
      </c>
      <c r="W121" s="65"/>
      <c r="X121" s="66">
        <f>X120/S120-1</f>
        <v>2.1769804474904175E-2</v>
      </c>
      <c r="Y121" s="66">
        <f>Y120/T120-1</f>
        <v>3.106212424849697E-2</v>
      </c>
      <c r="Z121" s="66">
        <f>Z120/U120-1</f>
        <v>1.5372409005256271E-2</v>
      </c>
      <c r="AA121" s="66">
        <f>AA120/V120-1</f>
        <v>1.2653261402648219E-2</v>
      </c>
      <c r="AB121" s="65"/>
      <c r="AC121" s="66">
        <f>AC120/X120-1</f>
        <v>6.5792069441704459E-2</v>
      </c>
      <c r="AD121" s="66">
        <f>AD120/Y120-1</f>
        <v>0.11224489795918369</v>
      </c>
      <c r="AE121" s="66">
        <f>AE120/Z120-1</f>
        <v>0.12160578237937103</v>
      </c>
      <c r="AF121" s="66">
        <f>AF120/AA120-1</f>
        <v>0.15100736148779537</v>
      </c>
      <c r="AG121" s="65"/>
      <c r="AH121" s="66">
        <f>AH120/AC120-1</f>
        <v>0.11781582600647855</v>
      </c>
      <c r="AI121" s="66">
        <f>AI120/AD120-1</f>
        <v>7.6976845784185288E-2</v>
      </c>
      <c r="AJ121" s="66">
        <f>AJ120/AE120-1</f>
        <v>4.8680658364538942E-2</v>
      </c>
      <c r="AK121" s="66">
        <f>AK120/AF120-1</f>
        <v>2.2469073466296452E-2</v>
      </c>
      <c r="AL121" s="65"/>
      <c r="AM121" s="66">
        <f>AM120/AH120-1</f>
        <v>3.9244908097367137E-2</v>
      </c>
      <c r="AN121" s="66"/>
      <c r="AO121" s="66"/>
      <c r="AP121" s="66"/>
      <c r="AQ121" s="65"/>
      <c r="AR121" s="66"/>
      <c r="AS121" s="66"/>
      <c r="AT121" s="66"/>
      <c r="AU121" s="66"/>
      <c r="AV121" s="65"/>
      <c r="AW121" s="66"/>
      <c r="AX121" s="66"/>
      <c r="AY121" s="66"/>
      <c r="AZ121" s="66"/>
      <c r="BA121" s="65"/>
      <c r="BB121" s="66"/>
      <c r="BC121" s="66"/>
      <c r="BD121" s="66"/>
      <c r="BE121" s="66"/>
      <c r="BF121" s="65"/>
      <c r="BG121" s="66"/>
      <c r="BH121" s="66"/>
      <c r="BI121" s="66"/>
      <c r="BJ121" s="66"/>
      <c r="BK121" s="65"/>
      <c r="BL121" s="394"/>
      <c r="BM121" s="394"/>
      <c r="BN121" s="394"/>
      <c r="BO121" s="394"/>
      <c r="BP121" s="394"/>
      <c r="BQ121" s="394"/>
      <c r="BR121" s="394"/>
      <c r="BS121" s="394"/>
      <c r="BT121" s="394"/>
      <c r="BU121" s="394"/>
      <c r="BV121" s="394"/>
      <c r="BW121" s="394"/>
      <c r="BX121" s="394"/>
    </row>
    <row r="122" spans="2:76" ht="15" customHeight="1" x14ac:dyDescent="0.45">
      <c r="B122" s="760" t="s">
        <v>266</v>
      </c>
      <c r="C122" s="761"/>
      <c r="D122" s="270"/>
      <c r="E122" s="270"/>
      <c r="F122" s="270"/>
      <c r="G122" s="270"/>
      <c r="H122" s="271"/>
      <c r="I122" s="270"/>
      <c r="J122" s="270"/>
      <c r="K122" s="270"/>
      <c r="L122" s="270"/>
      <c r="M122" s="271"/>
      <c r="N122" s="270"/>
      <c r="O122" s="270"/>
      <c r="P122" s="270"/>
      <c r="Q122" s="270"/>
      <c r="R122" s="271"/>
      <c r="S122" s="270"/>
      <c r="T122" s="270"/>
      <c r="U122" s="270"/>
      <c r="V122" s="270"/>
      <c r="W122" s="271"/>
      <c r="X122" s="270"/>
      <c r="Y122" s="270"/>
      <c r="Z122" s="270"/>
      <c r="AA122" s="270"/>
      <c r="AB122" s="271"/>
      <c r="AC122" s="272"/>
      <c r="AD122" s="270"/>
      <c r="AE122" s="270"/>
      <c r="AF122" s="270"/>
      <c r="AG122" s="273"/>
      <c r="AH122" s="270"/>
      <c r="AI122" s="270"/>
      <c r="AJ122" s="270"/>
      <c r="AK122" s="270"/>
      <c r="AL122" s="273"/>
      <c r="AM122" s="270"/>
      <c r="AN122" s="270"/>
      <c r="AO122" s="270"/>
      <c r="AP122" s="270"/>
      <c r="AQ122" s="273"/>
      <c r="AR122" s="270"/>
      <c r="AS122" s="270"/>
      <c r="AT122" s="270"/>
      <c r="AU122" s="270"/>
      <c r="AV122" s="273"/>
      <c r="AW122" s="270"/>
      <c r="AX122" s="270"/>
      <c r="AY122" s="270"/>
      <c r="AZ122" s="270"/>
      <c r="BA122" s="273"/>
      <c r="BB122" s="270"/>
      <c r="BC122" s="270"/>
      <c r="BD122" s="270"/>
      <c r="BE122" s="270"/>
      <c r="BF122" s="273"/>
      <c r="BG122" s="270"/>
      <c r="BH122" s="270"/>
      <c r="BI122" s="270"/>
      <c r="BJ122" s="270"/>
      <c r="BK122" s="273"/>
    </row>
    <row r="123" spans="2:76" outlineLevel="1" x14ac:dyDescent="0.3">
      <c r="B123" s="714" t="s">
        <v>44</v>
      </c>
      <c r="C123" s="715"/>
      <c r="D123" s="26"/>
      <c r="E123" s="26"/>
      <c r="F123" s="26"/>
      <c r="G123" s="42"/>
      <c r="H123" s="16"/>
      <c r="I123" s="26">
        <f t="shared" ref="I123:AN123" si="161">I13/D13-1</f>
        <v>0.7050946885162277</v>
      </c>
      <c r="J123" s="26">
        <f t="shared" si="161"/>
        <v>0.82732054226238971</v>
      </c>
      <c r="K123" s="26">
        <f t="shared" si="161"/>
        <v>0.8198089171974523</v>
      </c>
      <c r="L123" s="42">
        <f t="shared" si="161"/>
        <v>0.38966720739320659</v>
      </c>
      <c r="M123" s="16">
        <f t="shared" si="161"/>
        <v>0.65962437715599842</v>
      </c>
      <c r="N123" s="26">
        <f t="shared" si="161"/>
        <v>0.73265771661493595</v>
      </c>
      <c r="O123" s="26">
        <f t="shared" si="161"/>
        <v>0.5886001540519723</v>
      </c>
      <c r="P123" s="26">
        <f t="shared" si="161"/>
        <v>0.2258233873508102</v>
      </c>
      <c r="Q123" s="42">
        <f t="shared" si="161"/>
        <v>0.27223204810753443</v>
      </c>
      <c r="R123" s="16">
        <f t="shared" si="161"/>
        <v>0.44581474193756976</v>
      </c>
      <c r="S123" s="26">
        <f t="shared" si="161"/>
        <v>0.17652644983057431</v>
      </c>
      <c r="T123" s="26">
        <f t="shared" si="161"/>
        <v>0.11271882815291168</v>
      </c>
      <c r="U123" s="26">
        <f t="shared" si="161"/>
        <v>8.5657996173942319E-3</v>
      </c>
      <c r="V123" s="42">
        <f t="shared" si="161"/>
        <v>4.1872879942167707E-2</v>
      </c>
      <c r="W123" s="16">
        <f t="shared" si="161"/>
        <v>9.2020855163953197E-2</v>
      </c>
      <c r="X123" s="26">
        <f t="shared" si="161"/>
        <v>5.6538009979454129E-2</v>
      </c>
      <c r="Y123" s="26">
        <f t="shared" si="161"/>
        <v>4.6854574226544043E-2</v>
      </c>
      <c r="Z123" s="26">
        <f t="shared" si="161"/>
        <v>5.9706140475044522E-2</v>
      </c>
      <c r="AA123" s="42">
        <f t="shared" si="161"/>
        <v>0.12411934244235701</v>
      </c>
      <c r="AB123" s="16">
        <f t="shared" si="161"/>
        <v>6.9539523725937524E-2</v>
      </c>
      <c r="AC123" s="26">
        <f t="shared" si="161"/>
        <v>0.29525645032468661</v>
      </c>
      <c r="AD123" s="26">
        <f t="shared" si="161"/>
        <v>0.27086710774218981</v>
      </c>
      <c r="AE123" s="26">
        <f t="shared" si="161"/>
        <v>0.32520303483650359</v>
      </c>
      <c r="AF123" s="42">
        <f t="shared" si="161"/>
        <v>0.22263371554732569</v>
      </c>
      <c r="AG123" s="16">
        <f t="shared" si="161"/>
        <v>0.27856341803659834</v>
      </c>
      <c r="AH123" s="26">
        <f t="shared" si="161"/>
        <v>1.7064571911151516E-2</v>
      </c>
      <c r="AI123" s="26">
        <f t="shared" si="161"/>
        <v>-0.12847784864678502</v>
      </c>
      <c r="AJ123" s="26">
        <f t="shared" si="161"/>
        <v>-0.14609414373551055</v>
      </c>
      <c r="AK123" s="42">
        <f t="shared" si="161"/>
        <v>-9.0270091842876821E-2</v>
      </c>
      <c r="AL123" s="16">
        <f t="shared" si="161"/>
        <v>-7.7342061913013738E-2</v>
      </c>
      <c r="AM123" s="26">
        <f t="shared" si="161"/>
        <v>3.2673450021088124E-2</v>
      </c>
      <c r="AN123" s="26">
        <f t="shared" si="161"/>
        <v>4.626461221987066E-2</v>
      </c>
      <c r="AO123" s="26">
        <f t="shared" ref="AO123:BK123" si="162">AO13/AJ13-1</f>
        <v>6.1712073280135726E-2</v>
      </c>
      <c r="AP123" s="42">
        <f t="shared" si="162"/>
        <v>8.3134124477076687E-2</v>
      </c>
      <c r="AQ123" s="16">
        <f t="shared" si="162"/>
        <v>5.2527604004841466E-2</v>
      </c>
      <c r="AR123" s="26">
        <f t="shared" si="162"/>
        <v>7.1396663731158494E-2</v>
      </c>
      <c r="AS123" s="26">
        <f t="shared" si="162"/>
        <v>0.13914095583787067</v>
      </c>
      <c r="AT123" s="26">
        <f t="shared" si="162"/>
        <v>0.14874134671449912</v>
      </c>
      <c r="AU123" s="42">
        <f t="shared" si="162"/>
        <v>7.5941516849381552E-2</v>
      </c>
      <c r="AV123" s="16">
        <f t="shared" si="162"/>
        <v>0.10352651939056945</v>
      </c>
      <c r="AW123" s="26">
        <f t="shared" si="162"/>
        <v>1.778100929576909E-2</v>
      </c>
      <c r="AX123" s="26">
        <f t="shared" si="162"/>
        <v>-8.0513717829655329E-2</v>
      </c>
      <c r="AY123" s="26">
        <f t="shared" si="162"/>
        <v>-8.8536048037394455E-2</v>
      </c>
      <c r="AZ123" s="42">
        <f t="shared" si="162"/>
        <v>1.1059154427375706E-2</v>
      </c>
      <c r="BA123" s="16">
        <f t="shared" si="162"/>
        <v>-2.9261196856015359E-2</v>
      </c>
      <c r="BB123" s="26">
        <f t="shared" si="162"/>
        <v>-2.7212513674567118E-3</v>
      </c>
      <c r="BC123" s="26">
        <f t="shared" si="162"/>
        <v>-0.10419083284740793</v>
      </c>
      <c r="BD123" s="26">
        <f t="shared" si="162"/>
        <v>-6.949284113503551E-2</v>
      </c>
      <c r="BE123" s="42">
        <f t="shared" si="162"/>
        <v>1.4684909729292706E-2</v>
      </c>
      <c r="BF123" s="16">
        <f t="shared" si="162"/>
        <v>-3.4823167650411602E-2</v>
      </c>
      <c r="BG123" s="26">
        <f t="shared" si="162"/>
        <v>-4.2707020310018939E-2</v>
      </c>
      <c r="BH123" s="26">
        <f t="shared" si="162"/>
        <v>-6.7506112755914671E-2</v>
      </c>
      <c r="BI123" s="26">
        <f t="shared" si="162"/>
        <v>-5.1512800204627118E-2</v>
      </c>
      <c r="BJ123" s="42">
        <f t="shared" si="162"/>
        <v>-2.0302510793124506E-2</v>
      </c>
      <c r="BK123" s="16">
        <f t="shared" si="162"/>
        <v>-4.4248166255643984E-2</v>
      </c>
    </row>
    <row r="124" spans="2:76" outlineLevel="1" x14ac:dyDescent="0.3">
      <c r="B124" s="714" t="s">
        <v>45</v>
      </c>
      <c r="C124" s="715"/>
      <c r="D124" s="26"/>
      <c r="E124" s="26">
        <f>E13/D13-1</f>
        <v>-0.13925907033093154</v>
      </c>
      <c r="F124" s="26">
        <f>F13/E13-1</f>
        <v>0.16304911474924078</v>
      </c>
      <c r="G124" s="26">
        <f>G13/F13-1</f>
        <v>0.29573248407643304</v>
      </c>
      <c r="H124" s="16"/>
      <c r="I124" s="26">
        <f>I13/G13-1</f>
        <v>0.31450621835520809</v>
      </c>
      <c r="J124" s="26">
        <f>J13/I13-1</f>
        <v>-7.7558804831532102E-2</v>
      </c>
      <c r="K124" s="26">
        <f>K13/J13-1</f>
        <v>0.15826813151173624</v>
      </c>
      <c r="L124" s="26">
        <f>L13/K13-1</f>
        <v>-1.0535158027370373E-2</v>
      </c>
      <c r="M124" s="16"/>
      <c r="N124" s="26">
        <f>N13/L13-1</f>
        <v>0.63894587902369993</v>
      </c>
      <c r="O124" s="26">
        <f>O13/N13-1</f>
        <v>-0.15425290829430427</v>
      </c>
      <c r="P124" s="26">
        <f>P13/O13-1</f>
        <v>-0.1062369213494615</v>
      </c>
      <c r="Q124" s="26">
        <f>Q13/P13-1</f>
        <v>2.6925163464009305E-2</v>
      </c>
      <c r="R124" s="16"/>
      <c r="S124" s="26">
        <f>S13/Q13-1</f>
        <v>0.51565367291330699</v>
      </c>
      <c r="T124" s="26">
        <f>T13/S13-1</f>
        <v>-0.20012107425887882</v>
      </c>
      <c r="U124" s="26">
        <f>U13/T13-1</f>
        <v>-0.18989519069788774</v>
      </c>
      <c r="V124" s="26">
        <f>V13/U13-1</f>
        <v>6.0838547122271658E-2</v>
      </c>
      <c r="W124" s="16"/>
      <c r="X124" s="26">
        <f>X13/V13-1</f>
        <v>0.53698761742100776</v>
      </c>
      <c r="Y124" s="26">
        <f>Y13/X13-1</f>
        <v>-0.20745216515609266</v>
      </c>
      <c r="Z124" s="26">
        <f>Z13/Y13-1</f>
        <v>-0.17995005038776668</v>
      </c>
      <c r="AA124" s="26">
        <f>AA13/Z13-1</f>
        <v>0.12532058132079493</v>
      </c>
      <c r="AB124" s="16"/>
      <c r="AC124" s="180">
        <f>AC13/AA13-1</f>
        <v>0.77098022458039561</v>
      </c>
      <c r="AD124" s="180">
        <f>AD13/AC13-1</f>
        <v>-0.2223756350621322</v>
      </c>
      <c r="AE124" s="180">
        <f>AE13/AD13-1</f>
        <v>-0.14488881227374595</v>
      </c>
      <c r="AF124" s="180">
        <f>AF13/AE13-1</f>
        <v>3.8221953432113764E-2</v>
      </c>
      <c r="AG124" s="32"/>
      <c r="AH124" s="26">
        <f>AH13/AF13-1</f>
        <v>0.47321411234733302</v>
      </c>
      <c r="AI124" s="26">
        <f>AI13/AH13-1</f>
        <v>-0.33365404892450445</v>
      </c>
      <c r="AJ124" s="26">
        <f>AJ13/AI13-1</f>
        <v>-0.16217338845263762</v>
      </c>
      <c r="AK124" s="26">
        <f>AK13/AJ13-1</f>
        <v>0.10609566079607169</v>
      </c>
      <c r="AL124" s="32"/>
      <c r="AM124" s="180">
        <f>AM13/AK13-1</f>
        <v>0.6723085460599334</v>
      </c>
      <c r="AN124" s="26">
        <f>AN13/AM13-1</f>
        <v>-0.32488417505839107</v>
      </c>
      <c r="AO124" s="26">
        <f>AO13/AN13-1</f>
        <v>-0.14980338777979441</v>
      </c>
      <c r="AP124" s="26">
        <f>AP13/AO13-1</f>
        <v>0.12841323490171663</v>
      </c>
      <c r="AQ124" s="32"/>
      <c r="AR124" s="26">
        <f>AR13/AP13-1</f>
        <v>0.65418645437168732</v>
      </c>
      <c r="AS124" s="26">
        <f>AS13/AR13-1</f>
        <v>-0.28219667639525869</v>
      </c>
      <c r="AT124" s="26">
        <f>AT13/AS13-1</f>
        <v>-0.14263814650085571</v>
      </c>
      <c r="AU124" s="26">
        <f>AU13/AT13-1</f>
        <v>5.6901669871570082E-2</v>
      </c>
      <c r="AV124" s="176"/>
      <c r="AW124" s="26">
        <f>AW13/AU13-1</f>
        <v>0.56476865399133835</v>
      </c>
      <c r="AX124" s="26">
        <f>AX13/AW13-1</f>
        <v>-0.35152031397449657</v>
      </c>
      <c r="AY124" s="26">
        <f>AY13/AX13-1</f>
        <v>-0.15011845374378108</v>
      </c>
      <c r="AZ124" s="26">
        <f>AZ13/AY13-1</f>
        <v>0.17238877780332884</v>
      </c>
      <c r="BA124" s="32"/>
      <c r="BB124" s="26">
        <f>BB13/AZ13-1</f>
        <v>0.54344136870579351</v>
      </c>
      <c r="BC124" s="26">
        <f>BC13/BB13-1</f>
        <v>-0.41750082587198101</v>
      </c>
      <c r="BD124" s="26">
        <f>BD13/BC13-1</f>
        <v>-0.1171994081146428</v>
      </c>
      <c r="BE124" s="26">
        <f>BE13/BD13-1</f>
        <v>0.27844819874797144</v>
      </c>
      <c r="BF124" s="32"/>
      <c r="BG124" s="26">
        <f>BG13/BE13-1</f>
        <v>0.45614226905112853</v>
      </c>
      <c r="BH124" s="26">
        <f>BH13/BG13-1</f>
        <v>-0.43259072120740572</v>
      </c>
      <c r="BI124" s="26">
        <f>BI13/BH13-1</f>
        <v>-0.102058391128235</v>
      </c>
      <c r="BJ124" s="26">
        <f>BJ13/BI13-1</f>
        <v>0.32051596549184169</v>
      </c>
      <c r="BK124" s="32"/>
    </row>
    <row r="125" spans="2:76" outlineLevel="1" x14ac:dyDescent="0.3">
      <c r="B125" s="714" t="s">
        <v>56</v>
      </c>
      <c r="C125" s="715"/>
      <c r="D125" s="57">
        <f t="shared" ref="D125:AN125" si="163">D15/D13</f>
        <v>0.40878658419945163</v>
      </c>
      <c r="E125" s="57">
        <f t="shared" si="163"/>
        <v>0.41669753315060376</v>
      </c>
      <c r="F125" s="57">
        <f t="shared" si="163"/>
        <v>0.39082802547770701</v>
      </c>
      <c r="G125" s="57">
        <f t="shared" si="163"/>
        <v>0.36926706975372364</v>
      </c>
      <c r="H125" s="16">
        <f t="shared" si="163"/>
        <v>0.39377539287083174</v>
      </c>
      <c r="I125" s="57">
        <f t="shared" si="163"/>
        <v>0.38510152948655624</v>
      </c>
      <c r="J125" s="57">
        <f t="shared" si="163"/>
        <v>0.4142376454372238</v>
      </c>
      <c r="K125" s="57">
        <f t="shared" si="163"/>
        <v>0.41727625914388716</v>
      </c>
      <c r="L125" s="57">
        <f t="shared" si="163"/>
        <v>0.40254686947293949</v>
      </c>
      <c r="M125" s="16">
        <f t="shared" si="163"/>
        <v>0.40478895878945764</v>
      </c>
      <c r="N125" s="57">
        <f t="shared" si="163"/>
        <v>0.44683055273778949</v>
      </c>
      <c r="O125" s="57">
        <f t="shared" si="163"/>
        <v>0.4737406216505895</v>
      </c>
      <c r="P125" s="57">
        <f t="shared" si="163"/>
        <v>0.42811866487736633</v>
      </c>
      <c r="Q125" s="57">
        <f t="shared" si="163"/>
        <v>0.40040593894233445</v>
      </c>
      <c r="R125" s="16">
        <f t="shared" si="163"/>
        <v>0.43871239808827661</v>
      </c>
      <c r="S125" s="57">
        <f t="shared" si="163"/>
        <v>0.38633695333137658</v>
      </c>
      <c r="T125" s="57">
        <f t="shared" si="163"/>
        <v>0.37495126482122787</v>
      </c>
      <c r="U125" s="57">
        <f t="shared" si="163"/>
        <v>0.36871160433711747</v>
      </c>
      <c r="V125" s="57">
        <f t="shared" si="163"/>
        <v>0.37016972672929122</v>
      </c>
      <c r="W125" s="16">
        <f t="shared" si="163"/>
        <v>0.37624480720847231</v>
      </c>
      <c r="X125" s="57">
        <f t="shared" si="163"/>
        <v>0.37931034482758619</v>
      </c>
      <c r="Y125" s="57">
        <f t="shared" si="163"/>
        <v>0.39317793453971872</v>
      </c>
      <c r="Z125" s="57">
        <f t="shared" si="163"/>
        <v>0.39364714682624491</v>
      </c>
      <c r="AA125" s="57">
        <f t="shared" si="163"/>
        <v>0.38005365239892697</v>
      </c>
      <c r="AB125" s="16">
        <f t="shared" si="163"/>
        <v>0.38588035777783858</v>
      </c>
      <c r="AC125" s="56">
        <f t="shared" si="163"/>
        <v>0.39867826646469789</v>
      </c>
      <c r="AD125" s="56">
        <f t="shared" si="163"/>
        <v>0.40779176004137219</v>
      </c>
      <c r="AE125" s="56">
        <f t="shared" si="163"/>
        <v>0.3967543594395726</v>
      </c>
      <c r="AF125" s="56">
        <f t="shared" si="163"/>
        <v>0.39898254402827127</v>
      </c>
      <c r="AG125" s="174">
        <f t="shared" si="163"/>
        <v>0.40059902017414373</v>
      </c>
      <c r="AH125" s="56">
        <f t="shared" si="163"/>
        <v>0.40097796288485871</v>
      </c>
      <c r="AI125" s="240">
        <f t="shared" si="163"/>
        <v>0.39403050022746605</v>
      </c>
      <c r="AJ125" s="240">
        <f t="shared" si="163"/>
        <v>0.38023513858066954</v>
      </c>
      <c r="AK125" s="240">
        <f t="shared" si="163"/>
        <v>0.38019721676769402</v>
      </c>
      <c r="AL125" s="179">
        <f t="shared" si="163"/>
        <v>0.39075955648097049</v>
      </c>
      <c r="AM125" s="56">
        <f t="shared" si="163"/>
        <v>0.38513867085295656</v>
      </c>
      <c r="AN125" s="56">
        <f t="shared" si="163"/>
        <v>0.38927329098608593</v>
      </c>
      <c r="AO125" s="666">
        <v>0.38190000000000002</v>
      </c>
      <c r="AP125" s="665">
        <v>0.38329999999999997</v>
      </c>
      <c r="AQ125" s="174">
        <f>AQ15/AQ13</f>
        <v>0.38504944308839212</v>
      </c>
      <c r="AR125" s="665">
        <v>0.38519999999999999</v>
      </c>
      <c r="AS125" s="665">
        <v>0.38869999999999999</v>
      </c>
      <c r="AT125" s="209">
        <v>0.38</v>
      </c>
      <c r="AU125" s="209">
        <v>0.38</v>
      </c>
      <c r="AV125" s="174">
        <f>AV15/AV13</f>
        <v>0.3838358607858246</v>
      </c>
      <c r="AW125" s="209">
        <v>0.38</v>
      </c>
      <c r="AX125" s="209">
        <v>0.38</v>
      </c>
      <c r="AY125" s="209">
        <v>0.38</v>
      </c>
      <c r="AZ125" s="209">
        <v>0.38</v>
      </c>
      <c r="BA125" s="77">
        <f>BA15/BA13</f>
        <v>0.37999999999999989</v>
      </c>
      <c r="BB125" s="209">
        <v>0.38</v>
      </c>
      <c r="BC125" s="209">
        <v>0.3775</v>
      </c>
      <c r="BD125" s="209">
        <v>0.375</v>
      </c>
      <c r="BE125" s="209">
        <v>0.3725</v>
      </c>
      <c r="BF125" s="77">
        <f>BF15/BF13</f>
        <v>0.37674743938305766</v>
      </c>
      <c r="BG125" s="209">
        <v>0.37</v>
      </c>
      <c r="BH125" s="209">
        <v>0.37</v>
      </c>
      <c r="BI125" s="209">
        <v>0.37</v>
      </c>
      <c r="BJ125" s="209">
        <v>0.37</v>
      </c>
      <c r="BK125" s="77">
        <f>BK15/BK13</f>
        <v>0.36999999999999994</v>
      </c>
    </row>
    <row r="126" spans="2:76" outlineLevel="1" x14ac:dyDescent="0.3">
      <c r="B126" s="726" t="s">
        <v>57</v>
      </c>
      <c r="C126" s="728"/>
      <c r="D126" s="57">
        <f t="shared" ref="D126:AI126" si="164">D19/D13</f>
        <v>0.30128164254288081</v>
      </c>
      <c r="E126" s="57">
        <f t="shared" si="164"/>
        <v>0.29476257500555597</v>
      </c>
      <c r="F126" s="57">
        <f t="shared" si="164"/>
        <v>0.2696815286624204</v>
      </c>
      <c r="G126" s="57">
        <f t="shared" si="164"/>
        <v>0.26775795113798356</v>
      </c>
      <c r="H126" s="16">
        <f t="shared" si="164"/>
        <v>0.28187044844768111</v>
      </c>
      <c r="I126" s="57">
        <f t="shared" si="164"/>
        <v>0.29269660820462962</v>
      </c>
      <c r="J126" s="57">
        <f t="shared" si="164"/>
        <v>0.31921190254185755</v>
      </c>
      <c r="K126" s="57">
        <f t="shared" si="164"/>
        <v>0.32826992404886074</v>
      </c>
      <c r="L126" s="57">
        <f t="shared" si="164"/>
        <v>0.30810045985143264</v>
      </c>
      <c r="M126" s="16">
        <f t="shared" si="164"/>
        <v>0.31215068961376086</v>
      </c>
      <c r="N126" s="57">
        <f t="shared" si="164"/>
        <v>0.37424729674314205</v>
      </c>
      <c r="O126" s="57">
        <f t="shared" si="164"/>
        <v>0.39258919001684273</v>
      </c>
      <c r="P126" s="57">
        <f t="shared" si="164"/>
        <v>0.33043999657368017</v>
      </c>
      <c r="Q126" s="57">
        <f t="shared" si="164"/>
        <v>0.30428738252794307</v>
      </c>
      <c r="R126" s="16">
        <f t="shared" si="164"/>
        <v>0.35295959311984054</v>
      </c>
      <c r="S126" s="57">
        <f t="shared" si="164"/>
        <v>0.31571030231875552</v>
      </c>
      <c r="T126" s="57">
        <f t="shared" si="164"/>
        <v>0.28800770589179642</v>
      </c>
      <c r="U126" s="57">
        <f t="shared" si="164"/>
        <v>0.26048183902839511</v>
      </c>
      <c r="V126" s="57">
        <f t="shared" si="164"/>
        <v>0.26766652433817251</v>
      </c>
      <c r="W126" s="16">
        <f t="shared" si="164"/>
        <v>0.28669475162366159</v>
      </c>
      <c r="X126" s="57">
        <f t="shared" si="164"/>
        <v>0.30320866756953851</v>
      </c>
      <c r="Y126" s="57">
        <f t="shared" si="164"/>
        <v>0.29779170135389738</v>
      </c>
      <c r="Z126" s="57">
        <f t="shared" si="164"/>
        <v>0.27468476170121819</v>
      </c>
      <c r="AA126" s="57">
        <f t="shared" si="164"/>
        <v>0.26505709469885813</v>
      </c>
      <c r="AB126" s="16">
        <f t="shared" si="164"/>
        <v>0.28722339232473537</v>
      </c>
      <c r="AC126" s="56">
        <f t="shared" si="164"/>
        <v>0.32501776163219348</v>
      </c>
      <c r="AD126" s="56">
        <f t="shared" si="164"/>
        <v>0.31508360627478021</v>
      </c>
      <c r="AE126" s="56">
        <f t="shared" si="164"/>
        <v>0.28390283237576858</v>
      </c>
      <c r="AF126" s="56">
        <f t="shared" si="164"/>
        <v>0.28393623424787867</v>
      </c>
      <c r="AG126" s="174">
        <f t="shared" si="164"/>
        <v>0.30477290717326661</v>
      </c>
      <c r="AH126" s="56">
        <f t="shared" si="164"/>
        <v>0.31857602277520036</v>
      </c>
      <c r="AI126" s="56">
        <f t="shared" si="164"/>
        <v>0.27665802955080404</v>
      </c>
      <c r="AJ126" s="56">
        <f t="shared" ref="AJ126:BK126" si="165">AJ19/AJ13</f>
        <v>0.23856178289815383</v>
      </c>
      <c r="AK126" s="56">
        <f t="shared" si="165"/>
        <v>0.25102450268931958</v>
      </c>
      <c r="AL126" s="174">
        <f t="shared" si="165"/>
        <v>0.27835410106706115</v>
      </c>
      <c r="AM126" s="56">
        <f t="shared" si="165"/>
        <v>0.29813276154739571</v>
      </c>
      <c r="AN126" s="56">
        <f t="shared" si="165"/>
        <v>0.2665040834845735</v>
      </c>
      <c r="AO126" s="56">
        <f t="shared" si="165"/>
        <v>0.23299908846388476</v>
      </c>
      <c r="AP126" s="56">
        <f t="shared" si="165"/>
        <v>0.24494049073108026</v>
      </c>
      <c r="AQ126" s="174">
        <f t="shared" si="165"/>
        <v>0.26596243529659935</v>
      </c>
      <c r="AR126" s="56">
        <f t="shared" si="165"/>
        <v>0.29173942781497675</v>
      </c>
      <c r="AS126" s="56">
        <f t="shared" si="165"/>
        <v>0.26155928817047447</v>
      </c>
      <c r="AT126" s="56">
        <f t="shared" si="165"/>
        <v>0.23499999999999999</v>
      </c>
      <c r="AU126" s="56">
        <f t="shared" si="165"/>
        <v>0.23500000000000004</v>
      </c>
      <c r="AV126" s="174">
        <f t="shared" si="165"/>
        <v>0.26040633840498723</v>
      </c>
      <c r="AW126" s="56">
        <f t="shared" si="165"/>
        <v>0.28499999999999998</v>
      </c>
      <c r="AX126" s="56">
        <f t="shared" si="165"/>
        <v>0.255</v>
      </c>
      <c r="AY126" s="56">
        <f t="shared" si="165"/>
        <v>0.23499999999999999</v>
      </c>
      <c r="AZ126" s="56">
        <f t="shared" si="165"/>
        <v>0.23499999999999993</v>
      </c>
      <c r="BA126" s="77">
        <f t="shared" si="165"/>
        <v>0.25712758917877704</v>
      </c>
      <c r="BB126" s="56">
        <f t="shared" si="165"/>
        <v>0.28499999999999998</v>
      </c>
      <c r="BC126" s="56">
        <f t="shared" si="165"/>
        <v>0.25249999999999995</v>
      </c>
      <c r="BD126" s="56">
        <f t="shared" si="165"/>
        <v>0.22999999999999998</v>
      </c>
      <c r="BE126" s="56">
        <f t="shared" si="165"/>
        <v>0.22750000000000009</v>
      </c>
      <c r="BF126" s="77">
        <f t="shared" si="165"/>
        <v>0.25413185953656042</v>
      </c>
      <c r="BG126" s="56">
        <f t="shared" si="165"/>
        <v>0.27499999999999997</v>
      </c>
      <c r="BH126" s="56">
        <f t="shared" si="165"/>
        <v>0.245</v>
      </c>
      <c r="BI126" s="56">
        <f t="shared" si="165"/>
        <v>0.22500000000000001</v>
      </c>
      <c r="BJ126" s="56">
        <f t="shared" si="165"/>
        <v>0.22500000000000006</v>
      </c>
      <c r="BK126" s="77">
        <f t="shared" si="165"/>
        <v>0.24731075879579389</v>
      </c>
    </row>
    <row r="127" spans="2:76" outlineLevel="1" x14ac:dyDescent="0.3">
      <c r="B127" s="726" t="s">
        <v>83</v>
      </c>
      <c r="C127" s="728"/>
      <c r="D127" s="57">
        <f t="shared" ref="D127:AI127" si="166">D27/D13</f>
        <v>0.21539246317668814</v>
      </c>
      <c r="E127" s="57">
        <f t="shared" si="166"/>
        <v>0.22772057189421438</v>
      </c>
      <c r="F127" s="57">
        <f t="shared" si="166"/>
        <v>0.20719745222929936</v>
      </c>
      <c r="G127" s="57">
        <f t="shared" si="166"/>
        <v>0.2117681757852824</v>
      </c>
      <c r="H127" s="16">
        <f t="shared" si="166"/>
        <v>0.21484093522422384</v>
      </c>
      <c r="I127" s="57">
        <f t="shared" si="166"/>
        <v>0.22452413896264165</v>
      </c>
      <c r="J127" s="57">
        <f t="shared" si="166"/>
        <v>0.24271293631167146</v>
      </c>
      <c r="K127" s="57">
        <f t="shared" si="166"/>
        <v>0.25578383675755134</v>
      </c>
      <c r="L127" s="57">
        <f t="shared" si="166"/>
        <v>0.23427661832331093</v>
      </c>
      <c r="M127" s="16">
        <f t="shared" si="166"/>
        <v>0.2394664153941376</v>
      </c>
      <c r="N127" s="57">
        <f t="shared" si="166"/>
        <v>0.28195886301340295</v>
      </c>
      <c r="O127" s="57">
        <f t="shared" si="166"/>
        <v>0.2965855152350329</v>
      </c>
      <c r="P127" s="57">
        <f t="shared" si="166"/>
        <v>0.25194871941295721</v>
      </c>
      <c r="Q127" s="57">
        <f t="shared" si="166"/>
        <v>0.2286325974531502</v>
      </c>
      <c r="R127" s="16">
        <f t="shared" si="166"/>
        <v>0.26665090602397323</v>
      </c>
      <c r="S127" s="57">
        <f t="shared" si="166"/>
        <v>0.23991047842676841</v>
      </c>
      <c r="T127" s="57">
        <f t="shared" si="166"/>
        <v>0.2189528243469486</v>
      </c>
      <c r="U127" s="57">
        <f t="shared" si="166"/>
        <v>0.19534014664666083</v>
      </c>
      <c r="V127" s="57">
        <f t="shared" si="166"/>
        <v>0.20046968403074295</v>
      </c>
      <c r="W127" s="16">
        <f t="shared" si="166"/>
        <v>0.21670469837926393</v>
      </c>
      <c r="X127" s="57">
        <f t="shared" si="166"/>
        <v>0.2269680869535021</v>
      </c>
      <c r="Y127" s="57">
        <f t="shared" si="166"/>
        <v>0.22396266923717303</v>
      </c>
      <c r="Z127" s="57">
        <f t="shared" si="166"/>
        <v>0.20698867279333191</v>
      </c>
      <c r="AA127" s="57">
        <f t="shared" si="166"/>
        <v>0.20100657597986848</v>
      </c>
      <c r="AB127" s="16">
        <f t="shared" si="166"/>
        <v>0.21614376760852322</v>
      </c>
      <c r="AC127" s="56">
        <f t="shared" si="166"/>
        <v>0.24161181785278624</v>
      </c>
      <c r="AD127" s="56">
        <f t="shared" si="166"/>
        <v>0.2339079469057059</v>
      </c>
      <c r="AE127" s="56">
        <f t="shared" si="166"/>
        <v>0.21524039915331117</v>
      </c>
      <c r="AF127" s="56">
        <f t="shared" si="166"/>
        <v>0.21599580590668144</v>
      </c>
      <c r="AG127" s="77">
        <f t="shared" si="166"/>
        <v>0.22845773698735639</v>
      </c>
      <c r="AH127" s="56">
        <f t="shared" si="166"/>
        <v>0.24199968367777308</v>
      </c>
      <c r="AI127" s="56">
        <f t="shared" si="166"/>
        <v>0.20800284827026921</v>
      </c>
      <c r="AJ127" s="56">
        <f t="shared" ref="AJ127:BK127" si="167">AJ27/AJ13</f>
        <v>0.18405023844374144</v>
      </c>
      <c r="AK127" s="56">
        <f t="shared" si="167"/>
        <v>0.19239306753180227</v>
      </c>
      <c r="AL127" s="174">
        <f t="shared" si="167"/>
        <v>0.211867983064288</v>
      </c>
      <c r="AM127" s="56">
        <f t="shared" si="167"/>
        <v>0.22834424576584855</v>
      </c>
      <c r="AN127" s="56">
        <f t="shared" si="167"/>
        <v>0.20850347852389595</v>
      </c>
      <c r="AO127" s="56">
        <f t="shared" si="167"/>
        <v>0.18103895934729122</v>
      </c>
      <c r="AP127" s="56">
        <f t="shared" si="167"/>
        <v>0.18850211017510979</v>
      </c>
      <c r="AQ127" s="174">
        <f t="shared" si="167"/>
        <v>0.20543870299878703</v>
      </c>
      <c r="AR127" s="56">
        <f t="shared" si="167"/>
        <v>0.22087952972306013</v>
      </c>
      <c r="AS127" s="56">
        <f t="shared" si="167"/>
        <v>0.20016739732901354</v>
      </c>
      <c r="AT127" s="56">
        <f t="shared" si="167"/>
        <v>0.18159700620557526</v>
      </c>
      <c r="AU127" s="56">
        <f t="shared" si="167"/>
        <v>0.181287734874061</v>
      </c>
      <c r="AV127" s="174">
        <f t="shared" si="167"/>
        <v>0.19916312359938676</v>
      </c>
      <c r="AW127" s="56">
        <f t="shared" si="167"/>
        <v>0.21588897291639458</v>
      </c>
      <c r="AX127" s="56">
        <f t="shared" si="167"/>
        <v>0.19643916729995287</v>
      </c>
      <c r="AY127" s="56">
        <f t="shared" si="167"/>
        <v>0.18311815366964712</v>
      </c>
      <c r="AZ127" s="56">
        <f t="shared" si="167"/>
        <v>0.18185575418493422</v>
      </c>
      <c r="BA127" s="77">
        <f t="shared" si="167"/>
        <v>0.19738277113814212</v>
      </c>
      <c r="BB127" s="56">
        <f t="shared" si="167"/>
        <v>0.21635877116039651</v>
      </c>
      <c r="BC127" s="56">
        <f t="shared" si="167"/>
        <v>0.19643747509662121</v>
      </c>
      <c r="BD127" s="56">
        <f t="shared" si="167"/>
        <v>0.18132630215435547</v>
      </c>
      <c r="BE127" s="56">
        <f t="shared" si="167"/>
        <v>0.17719899664104749</v>
      </c>
      <c r="BF127" s="77">
        <f t="shared" si="167"/>
        <v>0.19625700599824572</v>
      </c>
      <c r="BG127" s="56">
        <f t="shared" si="167"/>
        <v>0.20995729424932424</v>
      </c>
      <c r="BH127" s="56">
        <f t="shared" si="167"/>
        <v>0.1931500264035243</v>
      </c>
      <c r="BI127" s="56">
        <f t="shared" si="167"/>
        <v>0.18011444180959776</v>
      </c>
      <c r="BJ127" s="56">
        <f t="shared" si="167"/>
        <v>0.17701473239703208</v>
      </c>
      <c r="BK127" s="77">
        <f t="shared" si="167"/>
        <v>0.19289900071808777</v>
      </c>
    </row>
    <row r="128" spans="2:76" outlineLevel="1" x14ac:dyDescent="0.3">
      <c r="B128" s="726" t="s">
        <v>9</v>
      </c>
      <c r="C128" s="728"/>
      <c r="D128" s="26">
        <f t="shared" ref="D128:AN128" si="168">D26/D25</f>
        <v>0.2900378310214376</v>
      </c>
      <c r="E128" s="26">
        <f t="shared" si="168"/>
        <v>0.23703152146934722</v>
      </c>
      <c r="F128" s="26">
        <f t="shared" si="168"/>
        <v>0.24207828518173347</v>
      </c>
      <c r="G128" s="26">
        <f t="shared" si="168"/>
        <v>0.21113349203442594</v>
      </c>
      <c r="H128" s="16">
        <f t="shared" si="168"/>
        <v>0.24417475728155341</v>
      </c>
      <c r="I128" s="26">
        <f t="shared" si="168"/>
        <v>0.24601280924274771</v>
      </c>
      <c r="J128" s="26">
        <f t="shared" si="168"/>
        <v>0.24215189873417722</v>
      </c>
      <c r="K128" s="26">
        <f t="shared" si="168"/>
        <v>0.23484451889854466</v>
      </c>
      <c r="L128" s="26">
        <f t="shared" si="168"/>
        <v>0.24661585712660675</v>
      </c>
      <c r="M128" s="16">
        <f t="shared" si="168"/>
        <v>0.24215757930127174</v>
      </c>
      <c r="N128" s="26">
        <f t="shared" si="168"/>
        <v>0.2525032900383361</v>
      </c>
      <c r="O128" s="26">
        <f t="shared" si="168"/>
        <v>0.25173834663919648</v>
      </c>
      <c r="P128" s="26">
        <f t="shared" si="168"/>
        <v>0.25604923699519433</v>
      </c>
      <c r="Q128" s="26">
        <f t="shared" si="168"/>
        <v>0.24511153952079318</v>
      </c>
      <c r="R128" s="16">
        <f t="shared" si="168"/>
        <v>0.25160052364471064</v>
      </c>
      <c r="S128" s="26">
        <f t="shared" si="168"/>
        <v>0.25995925758261657</v>
      </c>
      <c r="T128" s="26">
        <f t="shared" si="168"/>
        <v>0.26020922123208057</v>
      </c>
      <c r="U128" s="26">
        <f t="shared" si="168"/>
        <v>0.2686804451510334</v>
      </c>
      <c r="V128" s="26">
        <f t="shared" si="168"/>
        <v>0.25939071280686188</v>
      </c>
      <c r="W128" s="16">
        <f t="shared" si="168"/>
        <v>0.26154919748778788</v>
      </c>
      <c r="X128" s="57">
        <f t="shared" si="168"/>
        <v>0.26184425998080074</v>
      </c>
      <c r="Y128" s="57">
        <f t="shared" si="168"/>
        <v>0.26016789694601244</v>
      </c>
      <c r="Z128" s="57">
        <f t="shared" si="168"/>
        <v>0.26096909576497518</v>
      </c>
      <c r="AA128" s="57">
        <f t="shared" si="168"/>
        <v>0.26194211994421202</v>
      </c>
      <c r="AB128" s="16">
        <f t="shared" si="168"/>
        <v>0.26126058747639436</v>
      </c>
      <c r="AC128" s="56">
        <f t="shared" si="168"/>
        <v>0.26179554390563564</v>
      </c>
      <c r="AD128" s="56">
        <f t="shared" si="168"/>
        <v>0.26906916612798965</v>
      </c>
      <c r="AE128" s="56">
        <f t="shared" si="168"/>
        <v>0.26228148967042081</v>
      </c>
      <c r="AF128" s="56">
        <f t="shared" si="168"/>
        <v>0.26145266232903996</v>
      </c>
      <c r="AG128" s="77">
        <f t="shared" si="168"/>
        <v>0.26368337585327173</v>
      </c>
      <c r="AH128" s="56">
        <f t="shared" si="168"/>
        <v>0.25279778618809262</v>
      </c>
      <c r="AI128" s="56">
        <f t="shared" si="168"/>
        <v>0.25639937774006505</v>
      </c>
      <c r="AJ128" s="56">
        <f t="shared" si="168"/>
        <v>0.25532524596427547</v>
      </c>
      <c r="AK128" s="56">
        <f t="shared" si="168"/>
        <v>0.26042008532983263</v>
      </c>
      <c r="AL128" s="77">
        <f t="shared" si="168"/>
        <v>0.25557257381216192</v>
      </c>
      <c r="AM128" s="56">
        <f t="shared" si="168"/>
        <v>0.26009098428453264</v>
      </c>
      <c r="AN128" s="56">
        <f t="shared" si="168"/>
        <v>0.24891037864342141</v>
      </c>
      <c r="AO128" s="666">
        <v>0.255</v>
      </c>
      <c r="AP128" s="209">
        <v>0.26</v>
      </c>
      <c r="AQ128" s="174">
        <f>AQ26/AQ25</f>
        <v>0.25656753175218516</v>
      </c>
      <c r="AR128" s="210">
        <v>0.26</v>
      </c>
      <c r="AS128" s="210">
        <v>0.26</v>
      </c>
      <c r="AT128" s="210">
        <v>0.26</v>
      </c>
      <c r="AU128" s="210">
        <v>0.26</v>
      </c>
      <c r="AV128" s="175">
        <f>AV26/AV25</f>
        <v>0.26000000000000006</v>
      </c>
      <c r="AW128" s="210">
        <v>0.26</v>
      </c>
      <c r="AX128" s="210">
        <v>0.26</v>
      </c>
      <c r="AY128" s="210">
        <v>0.26</v>
      </c>
      <c r="AZ128" s="210">
        <v>0.26</v>
      </c>
      <c r="BA128" s="16">
        <f>BA26/BA25</f>
        <v>0.26000000000000012</v>
      </c>
      <c r="BB128" s="210">
        <v>0.26</v>
      </c>
      <c r="BC128" s="210">
        <v>0.26</v>
      </c>
      <c r="BD128" s="210">
        <v>0.26</v>
      </c>
      <c r="BE128" s="210">
        <v>0.26</v>
      </c>
      <c r="BF128" s="16">
        <f>BF26/BF25</f>
        <v>0.26000000000000012</v>
      </c>
      <c r="BG128" s="210">
        <v>0.26</v>
      </c>
      <c r="BH128" s="210">
        <v>0.26</v>
      </c>
      <c r="BI128" s="210">
        <v>0.26</v>
      </c>
      <c r="BJ128" s="210">
        <v>0.26</v>
      </c>
      <c r="BK128" s="16">
        <f>BK26/BK25</f>
        <v>0.26000000000000012</v>
      </c>
    </row>
    <row r="129" spans="2:63" outlineLevel="1" x14ac:dyDescent="0.3">
      <c r="B129" s="714" t="s">
        <v>48</v>
      </c>
      <c r="C129" s="715"/>
      <c r="D129" s="57">
        <f t="shared" ref="D129:AN129" si="169">D17/D13</f>
        <v>8.2127144041318628E-2</v>
      </c>
      <c r="E129" s="57">
        <f t="shared" si="169"/>
        <v>9.0377064967775395E-2</v>
      </c>
      <c r="F129" s="57">
        <f t="shared" si="169"/>
        <v>9.1592356687898085E-2</v>
      </c>
      <c r="G129" s="57">
        <f t="shared" si="169"/>
        <v>7.7225581281030325E-2</v>
      </c>
      <c r="H129" s="16">
        <f t="shared" si="169"/>
        <v>8.4584131851284022E-2</v>
      </c>
      <c r="I129" s="57">
        <f t="shared" si="169"/>
        <v>7.0902359672413151E-2</v>
      </c>
      <c r="J129" s="57">
        <f t="shared" si="169"/>
        <v>7.147200713503872E-2</v>
      </c>
      <c r="K129" s="57">
        <f t="shared" si="169"/>
        <v>6.7026005390080856E-2</v>
      </c>
      <c r="L129" s="57">
        <f t="shared" si="169"/>
        <v>7.1630703926423775E-2</v>
      </c>
      <c r="M129" s="16">
        <f t="shared" si="169"/>
        <v>7.0199262810741903E-2</v>
      </c>
      <c r="N129" s="57">
        <f t="shared" si="169"/>
        <v>5.6223426067813435E-2</v>
      </c>
      <c r="O129" s="57">
        <f t="shared" si="169"/>
        <v>5.9689685091614354E-2</v>
      </c>
      <c r="P129" s="57">
        <f t="shared" si="169"/>
        <v>7.2666533420894838E-2</v>
      </c>
      <c r="Q129" s="57">
        <f t="shared" si="169"/>
        <v>7.0928098759939939E-2</v>
      </c>
      <c r="R129" s="16">
        <f t="shared" si="169"/>
        <v>6.4150075395506934E-2</v>
      </c>
      <c r="S129" s="57">
        <f t="shared" si="169"/>
        <v>5.209862048723217E-2</v>
      </c>
      <c r="T129" s="57">
        <f t="shared" si="169"/>
        <v>6.1280187143086487E-2</v>
      </c>
      <c r="U129" s="57">
        <f t="shared" si="169"/>
        <v>7.4880389547886644E-2</v>
      </c>
      <c r="V129" s="57">
        <f t="shared" si="169"/>
        <v>7.1333262169086253E-2</v>
      </c>
      <c r="W129" s="16">
        <f t="shared" si="169"/>
        <v>6.3366684219764782E-2</v>
      </c>
      <c r="X129" s="57">
        <f t="shared" si="169"/>
        <v>5.3008993992429768E-2</v>
      </c>
      <c r="Y129" s="57">
        <f t="shared" si="169"/>
        <v>6.4233448714016567E-2</v>
      </c>
      <c r="Z129" s="57">
        <f t="shared" si="169"/>
        <v>7.6138063688822394E-2</v>
      </c>
      <c r="AA129" s="57">
        <f t="shared" si="169"/>
        <v>7.4970918500581629E-2</v>
      </c>
      <c r="AB129" s="16">
        <f t="shared" si="169"/>
        <v>6.5609015563883044E-2</v>
      </c>
      <c r="AC129" s="56">
        <f t="shared" si="169"/>
        <v>4.8258019544497918E-2</v>
      </c>
      <c r="AD129" s="56">
        <f t="shared" si="169"/>
        <v>5.9644888812273748E-2</v>
      </c>
      <c r="AE129" s="56">
        <f t="shared" si="169"/>
        <v>7.1847596008466894E-2</v>
      </c>
      <c r="AF129" s="56">
        <f t="shared" si="169"/>
        <v>7.1940350672802467E-2</v>
      </c>
      <c r="AG129" s="16">
        <f t="shared" si="169"/>
        <v>6.1309714823609952E-2</v>
      </c>
      <c r="AH129" s="56">
        <f t="shared" si="169"/>
        <v>5.0716997047659217E-2</v>
      </c>
      <c r="AI129" s="56">
        <f t="shared" si="169"/>
        <v>6.770575785746781E-2</v>
      </c>
      <c r="AJ129" s="56">
        <f t="shared" si="169"/>
        <v>8.1236130128901268E-2</v>
      </c>
      <c r="AK129" s="56">
        <f t="shared" si="169"/>
        <v>7.4319132587723047E-2</v>
      </c>
      <c r="AL129" s="16">
        <f t="shared" si="169"/>
        <v>6.5822972653369755E-2</v>
      </c>
      <c r="AM129" s="56">
        <f t="shared" si="169"/>
        <v>5.0363109596559076E-2</v>
      </c>
      <c r="AN129" s="56">
        <f t="shared" si="169"/>
        <v>7.0288868723532974E-2</v>
      </c>
      <c r="AO129" s="209">
        <v>8.8900911536115262E-2</v>
      </c>
      <c r="AP129" s="209">
        <v>8.3359509268919704E-2</v>
      </c>
      <c r="AQ129" s="175">
        <f>AQ17/AQ13</f>
        <v>7.0020605775631781E-2</v>
      </c>
      <c r="AR129" s="209">
        <v>5.846057218502327E-2</v>
      </c>
      <c r="AS129" s="209">
        <v>7.714071182952556E-2</v>
      </c>
      <c r="AT129" s="209">
        <v>8.5000000000000006E-2</v>
      </c>
      <c r="AU129" s="209">
        <v>8.5000000000000006E-2</v>
      </c>
      <c r="AV129" s="16">
        <f>AV17/AV13</f>
        <v>7.4214288993071517E-2</v>
      </c>
      <c r="AW129" s="209">
        <v>0.06</v>
      </c>
      <c r="AX129" s="209">
        <v>7.4999999999999997E-2</v>
      </c>
      <c r="AY129" s="209">
        <v>8.5000000000000006E-2</v>
      </c>
      <c r="AZ129" s="209">
        <v>8.5000000000000006E-2</v>
      </c>
      <c r="BA129" s="16">
        <f>BA17/BA13</f>
        <v>7.3936205410611411E-2</v>
      </c>
      <c r="BB129" s="209">
        <v>0.06</v>
      </c>
      <c r="BC129" s="209">
        <v>7.4999999999999997E-2</v>
      </c>
      <c r="BD129" s="209">
        <v>8.5000000000000006E-2</v>
      </c>
      <c r="BE129" s="209">
        <v>8.5000000000000006E-2</v>
      </c>
      <c r="BF129" s="16">
        <f>BF17/BF13</f>
        <v>7.3807789923248615E-2</v>
      </c>
      <c r="BG129" s="209">
        <v>0.06</v>
      </c>
      <c r="BH129" s="209">
        <v>7.4999999999999997E-2</v>
      </c>
      <c r="BI129" s="209">
        <v>8.5000000000000006E-2</v>
      </c>
      <c r="BJ129" s="209">
        <v>8.5000000000000006E-2</v>
      </c>
      <c r="BK129" s="16">
        <f>BK17/BK13</f>
        <v>7.384462060210302E-2</v>
      </c>
    </row>
    <row r="130" spans="2:63" outlineLevel="1" x14ac:dyDescent="0.3">
      <c r="B130" s="714" t="s">
        <v>49</v>
      </c>
      <c r="C130" s="715"/>
      <c r="D130" s="57">
        <f t="shared" ref="D130:AN130" si="170">D16/D13</f>
        <v>2.5377797615252183E-2</v>
      </c>
      <c r="E130" s="57">
        <f t="shared" si="170"/>
        <v>3.1557893177272388E-2</v>
      </c>
      <c r="F130" s="57">
        <f t="shared" si="170"/>
        <v>2.9554140127388533E-2</v>
      </c>
      <c r="G130" s="57">
        <f t="shared" si="170"/>
        <v>2.428353733470973E-2</v>
      </c>
      <c r="H130" s="16">
        <f t="shared" si="170"/>
        <v>2.7320812571866616E-2</v>
      </c>
      <c r="I130" s="57">
        <f t="shared" si="170"/>
        <v>2.1502561609513481E-2</v>
      </c>
      <c r="J130" s="57">
        <f t="shared" si="170"/>
        <v>2.3553735760327564E-2</v>
      </c>
      <c r="K130" s="57">
        <f t="shared" si="170"/>
        <v>2.1980329704945574E-2</v>
      </c>
      <c r="L130" s="57">
        <f t="shared" si="170"/>
        <v>2.2815705695083129E-2</v>
      </c>
      <c r="M130" s="16">
        <f t="shared" si="170"/>
        <v>2.2439006364954873E-2</v>
      </c>
      <c r="N130" s="57">
        <f t="shared" si="170"/>
        <v>1.6359829926834005E-2</v>
      </c>
      <c r="O130" s="57">
        <f t="shared" si="170"/>
        <v>2.1461746542132395E-2</v>
      </c>
      <c r="P130" s="57">
        <f t="shared" si="170"/>
        <v>2.5012134882791307E-2</v>
      </c>
      <c r="Q130" s="57">
        <f t="shared" si="170"/>
        <v>2.5190457654451427E-2</v>
      </c>
      <c r="R130" s="16">
        <f t="shared" si="170"/>
        <v>2.1602729572929181E-2</v>
      </c>
      <c r="S130" s="57">
        <f t="shared" si="170"/>
        <v>1.8528030525388907E-2</v>
      </c>
      <c r="T130" s="57">
        <f t="shared" si="170"/>
        <v>2.5663371786344976E-2</v>
      </c>
      <c r="U130" s="57">
        <f t="shared" si="170"/>
        <v>3.3349375760835714E-2</v>
      </c>
      <c r="V130" s="57">
        <f t="shared" si="170"/>
        <v>3.1169940222032452E-2</v>
      </c>
      <c r="W130" s="16">
        <f t="shared" si="170"/>
        <v>2.6183371365045931E-2</v>
      </c>
      <c r="X130" s="57">
        <f t="shared" si="170"/>
        <v>2.3092683265617947E-2</v>
      </c>
      <c r="Y130" s="57">
        <f t="shared" si="170"/>
        <v>3.1152784471804758E-2</v>
      </c>
      <c r="Z130" s="57">
        <f t="shared" si="170"/>
        <v>4.2824321436204314E-2</v>
      </c>
      <c r="AA130" s="57">
        <f t="shared" si="170"/>
        <v>4.0025639199487213E-2</v>
      </c>
      <c r="AB130" s="16">
        <f t="shared" si="170"/>
        <v>3.3047949889220163E-2</v>
      </c>
      <c r="AC130" s="56">
        <f t="shared" si="170"/>
        <v>2.5402485288006541E-2</v>
      </c>
      <c r="AD130" s="56">
        <f t="shared" si="170"/>
        <v>3.3063264954318224E-2</v>
      </c>
      <c r="AE130" s="56">
        <f t="shared" si="170"/>
        <v>4.1003931055337166E-2</v>
      </c>
      <c r="AF130" s="56">
        <f t="shared" si="170"/>
        <v>4.3105959107590144E-2</v>
      </c>
      <c r="AG130" s="16">
        <f t="shared" si="170"/>
        <v>3.4516398177267184E-2</v>
      </c>
      <c r="AH130" s="56">
        <f t="shared" si="170"/>
        <v>3.1684943061999156E-2</v>
      </c>
      <c r="AI130" s="56">
        <f t="shared" si="170"/>
        <v>4.966671281919418E-2</v>
      </c>
      <c r="AJ130" s="56">
        <f t="shared" si="170"/>
        <v>6.0437225553614429E-2</v>
      </c>
      <c r="AK130" s="56">
        <f t="shared" si="170"/>
        <v>5.4853581490651414E-2</v>
      </c>
      <c r="AL130" s="16">
        <f t="shared" si="170"/>
        <v>4.6582482760539605E-2</v>
      </c>
      <c r="AM130" s="56">
        <f t="shared" si="170"/>
        <v>3.6642799709001798E-2</v>
      </c>
      <c r="AN130" s="56">
        <f t="shared" si="170"/>
        <v>5.2480338777979432E-2</v>
      </c>
      <c r="AO130" s="209">
        <v>0.06</v>
      </c>
      <c r="AP130" s="209">
        <v>5.5E-2</v>
      </c>
      <c r="AQ130" s="16">
        <f>AQ16/AQ13</f>
        <v>4.9066402016161005E-2</v>
      </c>
      <c r="AR130" s="209">
        <v>3.5000000000000003E-2</v>
      </c>
      <c r="AS130" s="209">
        <v>0.05</v>
      </c>
      <c r="AT130" s="209">
        <v>0.06</v>
      </c>
      <c r="AU130" s="209">
        <v>0.06</v>
      </c>
      <c r="AV130" s="16">
        <f>AV16/AV13</f>
        <v>4.9215233387765865E-2</v>
      </c>
      <c r="AW130" s="209">
        <v>3.5000000000000003E-2</v>
      </c>
      <c r="AX130" s="209">
        <v>0.05</v>
      </c>
      <c r="AY130" s="209">
        <v>0.06</v>
      </c>
      <c r="AZ130" s="209">
        <v>0.06</v>
      </c>
      <c r="BA130" s="16">
        <f>BA16/BA13</f>
        <v>4.8936205410611416E-2</v>
      </c>
      <c r="BB130" s="209">
        <v>3.5000000000000003E-2</v>
      </c>
      <c r="BC130" s="209">
        <v>0.05</v>
      </c>
      <c r="BD130" s="209">
        <v>0.06</v>
      </c>
      <c r="BE130" s="209">
        <v>0.06</v>
      </c>
      <c r="BF130" s="16">
        <f>BF16/BF13</f>
        <v>4.8807789923248614E-2</v>
      </c>
      <c r="BG130" s="209">
        <v>3.5000000000000003E-2</v>
      </c>
      <c r="BH130" s="209">
        <v>0.05</v>
      </c>
      <c r="BI130" s="209">
        <v>0.06</v>
      </c>
      <c r="BJ130" s="209">
        <v>0.06</v>
      </c>
      <c r="BK130" s="16">
        <f>BK16/BK13</f>
        <v>4.8844620602103019E-2</v>
      </c>
    </row>
    <row r="131" spans="2:63" s="199" customFormat="1" outlineLevel="1" x14ac:dyDescent="0.3">
      <c r="B131" s="752" t="s">
        <v>577</v>
      </c>
      <c r="C131" s="753"/>
      <c r="D131" s="550"/>
      <c r="E131" s="550"/>
      <c r="F131" s="550"/>
      <c r="G131" s="550"/>
      <c r="H131" s="551"/>
      <c r="I131" s="274"/>
      <c r="J131" s="274"/>
      <c r="K131" s="274"/>
      <c r="L131" s="274"/>
      <c r="M131" s="551"/>
      <c r="N131" s="274">
        <f>N21/(((N145+N152)+(L145+L152))/2)</f>
        <v>2.8670950542610315E-3</v>
      </c>
      <c r="O131" s="274">
        <f>O21/(((O145+O152)+(N145+N152))/2)</f>
        <v>2.7115604282984423E-3</v>
      </c>
      <c r="P131" s="274">
        <f>P21/(((P145+P152)+(O145+O152))/2)</f>
        <v>2.7898400141402849E-3</v>
      </c>
      <c r="Q131" s="274">
        <f>Q21/(((Q145+Q152)+(P145+P152))/2)</f>
        <v>2.8573898562660092E-3</v>
      </c>
      <c r="R131" s="551"/>
      <c r="S131" s="274">
        <f>S21/(((S145+S152)+(Q145+Q152))/2)</f>
        <v>3.6377304363980419E-3</v>
      </c>
      <c r="T131" s="274">
        <f>T21/(((T145+T152)+(S145+S152))/2)</f>
        <v>3.3124073314615603E-3</v>
      </c>
      <c r="U131" s="274">
        <f>U21/(((U145+U152)+(T145+T152))/2)</f>
        <v>2.8730700058953902E-3</v>
      </c>
      <c r="V131" s="274">
        <f>V21/(((V145+V152)+(U145+U152))/2)</f>
        <v>2.911816749665886E-3</v>
      </c>
      <c r="W131" s="551"/>
      <c r="X131" s="274">
        <f>X21/(((X145+X152)+(V145+V152))/2)</f>
        <v>3.0800636209862694E-3</v>
      </c>
      <c r="Y131" s="274">
        <f>Y21/(((Y145+Y152)+(X145+X152))/2)</f>
        <v>2.9666612398473254E-3</v>
      </c>
      <c r="Z131" s="274">
        <f>Z21/(((Z145+Z152)+(Y145+Y152))/2)</f>
        <v>3.1007970955631761E-3</v>
      </c>
      <c r="AA131" s="274">
        <f>AA21/(((AA145+AA152)+(Z145+Z152))/2)</f>
        <v>3.5437748371502324E-3</v>
      </c>
      <c r="AB131" s="551"/>
      <c r="AC131" s="274">
        <f>AC21/(((AC145+AC152)+(AA145+AA152))/2)</f>
        <v>4.3618610607192403E-3</v>
      </c>
      <c r="AD131" s="274">
        <f>AD21/(((AD145+AD152)+(AC145+AC152))/2)</f>
        <v>3.999680025597952E-3</v>
      </c>
      <c r="AE131" s="274">
        <f>AE21/(((AE145+AE152)+(AD145+AD152))/2)</f>
        <v>4.1791810223717127E-3</v>
      </c>
      <c r="AF131" s="274">
        <f>AF21/(((AF145+AF152)+(AE145+AE152))/2)</f>
        <v>4.4399650608076321E-3</v>
      </c>
      <c r="AG131" s="551"/>
      <c r="AH131" s="274">
        <f>AH21/(((AH145+AH152)+(AF145+AF152))/2)</f>
        <v>4.9062034014953236E-3</v>
      </c>
      <c r="AI131" s="274">
        <f>AI21/(((AI145+AI152)+(AH145+AH152))/2)</f>
        <v>4.8043190145786235E-3</v>
      </c>
      <c r="AJ131" s="274">
        <f>AJ21/(((AJ145+AJ152)+(AI145+AI152))/2)</f>
        <v>4.8787723953783524E-3</v>
      </c>
      <c r="AK131" s="274">
        <f>AK21/(((AK145+AK152)+(AJ145+AJ152))/2)</f>
        <v>4.8143053645116922E-3</v>
      </c>
      <c r="AL131" s="551"/>
      <c r="AM131" s="274">
        <f>AM21/(((AM145+AM152)+(AK145+AK152))/2)</f>
        <v>5.4787162615818454E-3</v>
      </c>
      <c r="AN131" s="274">
        <f>AN21/(((AN145+AN152)+(AM145+AM152))/2)</f>
        <v>5.4390829078304554E-3</v>
      </c>
      <c r="AO131" s="552">
        <v>5.0000000000000001E-3</v>
      </c>
      <c r="AP131" s="552">
        <f>AO131</f>
        <v>5.0000000000000001E-3</v>
      </c>
      <c r="AQ131" s="551"/>
      <c r="AR131" s="552">
        <f>AP131</f>
        <v>5.0000000000000001E-3</v>
      </c>
      <c r="AS131" s="552">
        <f t="shared" ref="AS131:AU132" si="171">AR131</f>
        <v>5.0000000000000001E-3</v>
      </c>
      <c r="AT131" s="552">
        <f t="shared" si="171"/>
        <v>5.0000000000000001E-3</v>
      </c>
      <c r="AU131" s="552">
        <f t="shared" si="171"/>
        <v>5.0000000000000001E-3</v>
      </c>
      <c r="AV131" s="551"/>
      <c r="AW131" s="552">
        <f>AU131</f>
        <v>5.0000000000000001E-3</v>
      </c>
      <c r="AX131" s="552">
        <f t="shared" ref="AX131:AZ132" si="172">AW131</f>
        <v>5.0000000000000001E-3</v>
      </c>
      <c r="AY131" s="552">
        <f t="shared" si="172"/>
        <v>5.0000000000000001E-3</v>
      </c>
      <c r="AZ131" s="552">
        <f t="shared" si="172"/>
        <v>5.0000000000000001E-3</v>
      </c>
      <c r="BA131" s="551"/>
      <c r="BB131" s="552">
        <f>AZ131</f>
        <v>5.0000000000000001E-3</v>
      </c>
      <c r="BC131" s="552">
        <f t="shared" ref="BC131:BE132" si="173">BB131</f>
        <v>5.0000000000000001E-3</v>
      </c>
      <c r="BD131" s="552">
        <f t="shared" si="173"/>
        <v>5.0000000000000001E-3</v>
      </c>
      <c r="BE131" s="552">
        <f t="shared" si="173"/>
        <v>5.0000000000000001E-3</v>
      </c>
      <c r="BF131" s="551"/>
      <c r="BG131" s="552">
        <f>BE131</f>
        <v>5.0000000000000001E-3</v>
      </c>
      <c r="BH131" s="552">
        <f t="shared" ref="BH131:BJ132" si="174">BG131</f>
        <v>5.0000000000000001E-3</v>
      </c>
      <c r="BI131" s="552">
        <f t="shared" si="174"/>
        <v>5.0000000000000001E-3</v>
      </c>
      <c r="BJ131" s="552">
        <f t="shared" si="174"/>
        <v>5.0000000000000001E-3</v>
      </c>
      <c r="BK131" s="551"/>
    </row>
    <row r="132" spans="2:63" s="199" customFormat="1" outlineLevel="1" x14ac:dyDescent="0.3">
      <c r="B132" s="447" t="s">
        <v>423</v>
      </c>
      <c r="C132" s="448"/>
      <c r="D132" s="57"/>
      <c r="E132" s="57"/>
      <c r="F132" s="57"/>
      <c r="G132" s="57"/>
      <c r="H132" s="16"/>
      <c r="I132" s="56"/>
      <c r="J132" s="56"/>
      <c r="K132" s="56"/>
      <c r="L132" s="56"/>
      <c r="M132" s="16"/>
      <c r="N132" s="56">
        <f>N22/((N163+N166)+(L163+L166)/2)</f>
        <v>0</v>
      </c>
      <c r="O132" s="56">
        <f>O22/((O163+O166)+(N163+N166)/2)</f>
        <v>0</v>
      </c>
      <c r="P132" s="56">
        <f>P22/((P163+P166)+(O163+O166)/2)</f>
        <v>0</v>
      </c>
      <c r="Q132" s="56">
        <f>Q22/((Q163+Q166)+(P163+P166)/2)</f>
        <v>0</v>
      </c>
      <c r="R132" s="16"/>
      <c r="S132" s="56">
        <f>S22/((S163+S166)+(Q163+Q166)/2)</f>
        <v>0</v>
      </c>
      <c r="T132" s="56">
        <f>T22/((T163+T166)+(S163+S166)/2)</f>
        <v>0</v>
      </c>
      <c r="U132" s="56">
        <f>U22/((U163+U166)+(T163+T166)/2)</f>
        <v>-1.9348714953271028E-3</v>
      </c>
      <c r="V132" s="56">
        <f>V22/((V163+V166)+(U163+U166)/2)</f>
        <v>-3.2627068674083099E-3</v>
      </c>
      <c r="W132" s="16"/>
      <c r="X132" s="56">
        <f>X22/((X163+X166)+(V163+V166)/2)</f>
        <v>-3.3017570064069811E-3</v>
      </c>
      <c r="Y132" s="56">
        <f>Y22/((Y163+Y166)+(X163+X166)/2)</f>
        <v>-3.3408666601159476E-3</v>
      </c>
      <c r="Z132" s="56">
        <f>Z22/((Z163+Z166)+(Y163+Y166)/2)</f>
        <v>-2.5303003466511475E-3</v>
      </c>
      <c r="AA132" s="56">
        <f>AA22/((AA163+AA166)+(Z163+Z166)/2)</f>
        <v>-2.2631112860375868E-3</v>
      </c>
      <c r="AB132" s="16"/>
      <c r="AC132" s="56">
        <f>AC22/((AC163+AC166)+(AA163+AA166)/2)</f>
        <v>-2.423659355602631E-3</v>
      </c>
      <c r="AD132" s="56">
        <f>AD22/((AD163+AD166)+(AC163+AC166)/2)</f>
        <v>-2.6259615771879658E-3</v>
      </c>
      <c r="AE132" s="56">
        <f>AE22/((AE163+AE166)+(AD163+AD166)/2)</f>
        <v>-2.6324922891550486E-3</v>
      </c>
      <c r="AF132" s="56">
        <f>AF22/((AF163+AF166)+(AE163+AE166)/2)</f>
        <v>-2.5962409049754016E-3</v>
      </c>
      <c r="AG132" s="16"/>
      <c r="AH132" s="56">
        <f>AH22/((AH163+AH166)+(AF163+AF166)/2)</f>
        <v>-2.8993423955291299E-3</v>
      </c>
      <c r="AI132" s="56">
        <f>AI22/((AI163+AI166)+(AH163+AH166)/2)</f>
        <v>-2.8827113651569104E-3</v>
      </c>
      <c r="AJ132" s="56">
        <f>AJ22/((AJ163+AJ166)+(AI163+AI166)/2)</f>
        <v>-3.2753801923585141E-3</v>
      </c>
      <c r="AK132" s="56">
        <f>AK22/((AK163+AK166)+(AJ163+AJ166)/2)</f>
        <v>-3.4749168915710112E-3</v>
      </c>
      <c r="AL132" s="16"/>
      <c r="AM132" s="56">
        <f>AM22/((AM163+AM166)+(AK163+AK166)/2)</f>
        <v>-4.0056460534849117E-3</v>
      </c>
      <c r="AN132" s="56">
        <f>AN22/((AN163+AN166)+(AM163+AM166)/2)</f>
        <v>-3.7246172604385912E-3</v>
      </c>
      <c r="AO132" s="209">
        <v>-6.5783489981932966E-3</v>
      </c>
      <c r="AP132" s="209">
        <v>-6.3882315692805726E-3</v>
      </c>
      <c r="AQ132" s="16"/>
      <c r="AR132" s="209">
        <f>AP132</f>
        <v>-6.3882315692805726E-3</v>
      </c>
      <c r="AS132" s="209">
        <f t="shared" si="171"/>
        <v>-6.3882315692805726E-3</v>
      </c>
      <c r="AT132" s="209">
        <f t="shared" si="171"/>
        <v>-6.3882315692805726E-3</v>
      </c>
      <c r="AU132" s="209">
        <f t="shared" si="171"/>
        <v>-6.3882315692805726E-3</v>
      </c>
      <c r="AV132" s="16"/>
      <c r="AW132" s="209">
        <f>AU132</f>
        <v>-6.3882315692805726E-3</v>
      </c>
      <c r="AX132" s="209">
        <f t="shared" si="172"/>
        <v>-6.3882315692805726E-3</v>
      </c>
      <c r="AY132" s="209">
        <f t="shared" si="172"/>
        <v>-6.3882315692805726E-3</v>
      </c>
      <c r="AZ132" s="209">
        <f t="shared" si="172"/>
        <v>-6.3882315692805726E-3</v>
      </c>
      <c r="BA132" s="16"/>
      <c r="BB132" s="209">
        <f>AZ132</f>
        <v>-6.3882315692805726E-3</v>
      </c>
      <c r="BC132" s="209">
        <f t="shared" si="173"/>
        <v>-6.3882315692805726E-3</v>
      </c>
      <c r="BD132" s="209">
        <f t="shared" si="173"/>
        <v>-6.3882315692805726E-3</v>
      </c>
      <c r="BE132" s="209">
        <f t="shared" si="173"/>
        <v>-6.3882315692805726E-3</v>
      </c>
      <c r="BF132" s="16"/>
      <c r="BG132" s="209">
        <f>BE132</f>
        <v>-6.3882315692805726E-3</v>
      </c>
      <c r="BH132" s="209">
        <f t="shared" si="174"/>
        <v>-6.3882315692805726E-3</v>
      </c>
      <c r="BI132" s="209">
        <f t="shared" si="174"/>
        <v>-6.3882315692805726E-3</v>
      </c>
      <c r="BJ132" s="209">
        <f t="shared" si="174"/>
        <v>-6.3882315692805726E-3</v>
      </c>
      <c r="BK132" s="16"/>
    </row>
    <row r="133" spans="2:63" s="199" customFormat="1" x14ac:dyDescent="0.3">
      <c r="B133" s="754" t="s">
        <v>424</v>
      </c>
      <c r="C133" s="755"/>
      <c r="D133" s="274"/>
      <c r="E133" s="274"/>
      <c r="F133" s="274"/>
      <c r="G133" s="274"/>
      <c r="H133" s="275"/>
      <c r="I133" s="274"/>
      <c r="J133" s="274"/>
      <c r="K133" s="274"/>
      <c r="L133" s="274"/>
      <c r="M133" s="275"/>
      <c r="N133" s="274"/>
      <c r="O133" s="274"/>
      <c r="P133" s="274"/>
      <c r="Q133" s="274"/>
      <c r="R133" s="275"/>
      <c r="S133" s="274"/>
      <c r="T133" s="274"/>
      <c r="U133" s="274"/>
      <c r="V133" s="274"/>
      <c r="W133" s="275"/>
      <c r="X133" s="274"/>
      <c r="Y133" s="274"/>
      <c r="Z133" s="274"/>
      <c r="AA133" s="274"/>
      <c r="AB133" s="275"/>
      <c r="AC133" s="274"/>
      <c r="AD133" s="274"/>
      <c r="AE133" s="274"/>
      <c r="AF133" s="274"/>
      <c r="AG133" s="275"/>
      <c r="AH133" s="274"/>
      <c r="AI133" s="274"/>
      <c r="AJ133" s="274"/>
      <c r="AK133" s="274"/>
      <c r="AL133" s="275"/>
      <c r="AM133" s="274"/>
      <c r="AN133" s="274"/>
      <c r="AO133" s="274"/>
      <c r="AP133" s="274"/>
      <c r="AQ133" s="275"/>
      <c r="AR133" s="274"/>
      <c r="AS133" s="274"/>
      <c r="AT133" s="274"/>
      <c r="AU133" s="274"/>
      <c r="AV133" s="275"/>
      <c r="AW133" s="274"/>
      <c r="AX133" s="274"/>
      <c r="AY133" s="274"/>
      <c r="AZ133" s="274"/>
      <c r="BA133" s="275"/>
      <c r="BB133" s="274"/>
      <c r="BC133" s="274"/>
      <c r="BD133" s="274"/>
      <c r="BE133" s="274"/>
      <c r="BF133" s="275"/>
      <c r="BG133" s="274"/>
      <c r="BH133" s="274"/>
      <c r="BI133" s="274"/>
      <c r="BJ133" s="274"/>
      <c r="BK133" s="275"/>
    </row>
    <row r="134" spans="2:63" outlineLevel="1" x14ac:dyDescent="0.3">
      <c r="B134" s="726" t="s">
        <v>229</v>
      </c>
      <c r="C134" s="728"/>
      <c r="D134" s="57"/>
      <c r="E134" s="57">
        <f t="shared" ref="E134:G135" si="175">E28/D28-1</f>
        <v>4.4336621872584914E-3</v>
      </c>
      <c r="F134" s="57">
        <f t="shared" si="175"/>
        <v>5.1225940666499437E-3</v>
      </c>
      <c r="G134" s="57">
        <f t="shared" si="175"/>
        <v>2.6792879978088102E-3</v>
      </c>
      <c r="H134" s="16"/>
      <c r="I134" s="57">
        <f>G28/H28-1</f>
        <v>5.6957235920367388E-3</v>
      </c>
      <c r="J134" s="57">
        <f t="shared" ref="J134:L135" si="176">J28/I28-1</f>
        <v>4.244561587479101E-3</v>
      </c>
      <c r="K134" s="57">
        <f t="shared" si="176"/>
        <v>3.1542597671565531E-3</v>
      </c>
      <c r="L134" s="57">
        <f t="shared" si="176"/>
        <v>3.0378772426513656E-3</v>
      </c>
      <c r="M134" s="16"/>
      <c r="N134" s="57">
        <f>L28/M28-1</f>
        <v>5.0455634870754107E-3</v>
      </c>
      <c r="O134" s="57">
        <f t="shared" ref="O134:Q135" si="177">O28/N28-1</f>
        <v>2.7292031178003384E-3</v>
      </c>
      <c r="P134" s="57">
        <f t="shared" si="177"/>
        <v>3.2284255694732256E-3</v>
      </c>
      <c r="Q134" s="57">
        <f t="shared" si="177"/>
        <v>2.2479350414565946E-3</v>
      </c>
      <c r="R134" s="16"/>
      <c r="S134" s="57">
        <f>Q28/R28-1</f>
        <v>4.1541850585762319E-3</v>
      </c>
      <c r="T134" s="57">
        <f t="shared" ref="T134:V135" si="178">T28/S28-1</f>
        <v>7.5938635618100214E-4</v>
      </c>
      <c r="U134" s="57">
        <f t="shared" si="178"/>
        <v>-2.2360953099574421E-2</v>
      </c>
      <c r="V134" s="57">
        <f t="shared" si="178"/>
        <v>-1.5942360606191919E-2</v>
      </c>
      <c r="W134" s="16"/>
      <c r="X134" s="57">
        <f>V28/W28-1</f>
        <v>-2.308140483279908E-2</v>
      </c>
      <c r="Y134" s="57">
        <f t="shared" ref="Y134:AA135" si="179">Y28/X28-1</f>
        <v>-2.3787151032506393E-2</v>
      </c>
      <c r="Z134" s="57">
        <f t="shared" si="179"/>
        <v>5.8734917239873479</v>
      </c>
      <c r="AA134" s="57">
        <f t="shared" si="179"/>
        <v>-1.5326327495604031E-2</v>
      </c>
      <c r="AB134" s="16"/>
      <c r="AC134" s="56">
        <f>(AC28+AC138)/AA28-1</f>
        <v>-5.3538783380819854E-3</v>
      </c>
      <c r="AD134" s="56">
        <f>(AD28+AD138)/AC28-1</f>
        <v>1.2182918610792459E-3</v>
      </c>
      <c r="AE134" s="56">
        <f>(AE28+AE138)/AD28-1</f>
        <v>-5.6409480291934599E-3</v>
      </c>
      <c r="AF134" s="56">
        <f>(AF28+AF138)/AE28-1</f>
        <v>6.7778555379809369E-3</v>
      </c>
      <c r="AG134" s="16"/>
      <c r="AH134" s="56">
        <f>(AH28+AH138)/AF28-1</f>
        <v>-7.3696723694836042E-3</v>
      </c>
      <c r="AI134" s="56">
        <f>(AI28+AI138)/AH28-1</f>
        <v>4.8959835017454711E-3</v>
      </c>
      <c r="AJ134" s="56">
        <f>(AJ28+AJ138)/AI28-1</f>
        <v>3.28184344725857E-3</v>
      </c>
      <c r="AK134" s="56">
        <f>(AK28+AK138)/AJ28-1</f>
        <v>-8.7351626256555459E-3</v>
      </c>
      <c r="AL134" s="16"/>
      <c r="AM134" s="56">
        <f>(AM28+AM138)/AK28-1</f>
        <v>3.8847867004352388E-3</v>
      </c>
      <c r="AN134" s="56">
        <f>(AN28+AN138)/AM28-1</f>
        <v>-4.5809694187122219E-3</v>
      </c>
      <c r="AO134" s="209">
        <v>-1.458381310478768E-2</v>
      </c>
      <c r="AP134" s="209">
        <v>-1.7040164027228452E-2</v>
      </c>
      <c r="AQ134" s="16"/>
      <c r="AR134" s="209">
        <v>-1.4999999999999999E-2</v>
      </c>
      <c r="AS134" s="209">
        <v>-1.4999999999999999E-2</v>
      </c>
      <c r="AT134" s="209">
        <v>-1.4999999999999999E-2</v>
      </c>
      <c r="AU134" s="209">
        <v>-1.4999999999999999E-2</v>
      </c>
      <c r="AV134" s="16"/>
      <c r="AW134" s="209">
        <f>AVERAGE(AU134,AT134,AS134,AR134)</f>
        <v>-1.4999999999999999E-2</v>
      </c>
      <c r="AX134" s="209">
        <f>AVERAGE(AW134,AU134,AT134,AS134)</f>
        <v>-1.4999999999999999E-2</v>
      </c>
      <c r="AY134" s="209">
        <f>AVERAGE(AX134,AW134,AU134,AT134)</f>
        <v>-1.4999999999999999E-2</v>
      </c>
      <c r="AZ134" s="209">
        <f>AVERAGE(AY134,AX134,AW134,AU134)</f>
        <v>-1.4999999999999999E-2</v>
      </c>
      <c r="BA134" s="16"/>
      <c r="BB134" s="209">
        <f>AVERAGE(AZ134,AY134,AX134,AW134)</f>
        <v>-1.4999999999999999E-2</v>
      </c>
      <c r="BC134" s="209">
        <f>AVERAGE(BB134,AZ134,AY134,AX134)</f>
        <v>-1.4999999999999999E-2</v>
      </c>
      <c r="BD134" s="209">
        <f>AVERAGE(BC134,BB134,AZ134,AY134)</f>
        <v>-1.4999999999999999E-2</v>
      </c>
      <c r="BE134" s="209">
        <f>AVERAGE(BD134,BC134,BB134,AZ134)</f>
        <v>-1.4999999999999999E-2</v>
      </c>
      <c r="BF134" s="16"/>
      <c r="BG134" s="209">
        <f>AVERAGE(BE134,BD134,BC134,BB134)</f>
        <v>-1.4999999999999999E-2</v>
      </c>
      <c r="BH134" s="209">
        <f>AVERAGE(BG134,BE134,BD134,BC134)</f>
        <v>-1.4999999999999999E-2</v>
      </c>
      <c r="BI134" s="209">
        <f>AVERAGE(BH134,BG134,BE134,BD134)</f>
        <v>-1.4999999999999999E-2</v>
      </c>
      <c r="BJ134" s="209">
        <f>AVERAGE(BI134,BH134,BG134,BE134)</f>
        <v>-1.4999999999999999E-2</v>
      </c>
      <c r="BK134" s="16"/>
    </row>
    <row r="135" spans="2:63" outlineLevel="1" x14ac:dyDescent="0.3">
      <c r="B135" s="726" t="s">
        <v>230</v>
      </c>
      <c r="C135" s="728"/>
      <c r="D135" s="57"/>
      <c r="E135" s="57">
        <f t="shared" si="175"/>
        <v>3.3649241179714018E-3</v>
      </c>
      <c r="F135" s="57">
        <f t="shared" si="175"/>
        <v>4.8576301526310761E-3</v>
      </c>
      <c r="G135" s="57">
        <f t="shared" si="175"/>
        <v>1.1616095174478147E-3</v>
      </c>
      <c r="H135" s="16"/>
      <c r="I135" s="57">
        <f>G29/H29-1</f>
        <v>4.0296128564460965E-3</v>
      </c>
      <c r="J135" s="57">
        <f t="shared" si="176"/>
        <v>2.9898601945659298E-3</v>
      </c>
      <c r="K135" s="57">
        <f t="shared" si="176"/>
        <v>1.9937090253263623E-3</v>
      </c>
      <c r="L135" s="57">
        <f t="shared" si="176"/>
        <v>1.6652231661626882E-3</v>
      </c>
      <c r="M135" s="16"/>
      <c r="N135" s="57">
        <f>L29/M29-1</f>
        <v>2.911095385614626E-3</v>
      </c>
      <c r="O135" s="57">
        <f t="shared" si="177"/>
        <v>3.5270802445273031E-3</v>
      </c>
      <c r="P135" s="57">
        <f t="shared" si="177"/>
        <v>2.2923230461013855E-3</v>
      </c>
      <c r="Q135" s="57">
        <f t="shared" si="177"/>
        <v>1.3900341391299698E-3</v>
      </c>
      <c r="R135" s="16"/>
      <c r="S135" s="57">
        <f>Q29/R29-1</f>
        <v>3.1950371466489269E-3</v>
      </c>
      <c r="T135" s="57">
        <f t="shared" si="178"/>
        <v>-1.247866117267793E-3</v>
      </c>
      <c r="U135" s="57">
        <f t="shared" si="178"/>
        <v>-2.3011833600236731E-2</v>
      </c>
      <c r="V135" s="57">
        <f t="shared" si="178"/>
        <v>-1.6082848082870749E-2</v>
      </c>
      <c r="W135" s="16"/>
      <c r="X135" s="57">
        <f>V29/W29-1</f>
        <v>-2.3894731762500343E-2</v>
      </c>
      <c r="Y135" s="57">
        <f t="shared" si="179"/>
        <v>-2.4320762503161508E-2</v>
      </c>
      <c r="Z135" s="57">
        <f t="shared" si="179"/>
        <v>5.8806348405053619</v>
      </c>
      <c r="AA135" s="57">
        <f t="shared" si="179"/>
        <v>-1.4783660604794857E-2</v>
      </c>
      <c r="AB135" s="16"/>
      <c r="AC135" s="56">
        <f>(AC29+AC138)/AA29-1</f>
        <v>-5.8262822053652963E-3</v>
      </c>
      <c r="AD135" s="56">
        <f>(AD29+AD138)/AC29-1</f>
        <v>1.6077687818205622E-3</v>
      </c>
      <c r="AE135" s="56">
        <f>(AE29+AE138)/AD29-1</f>
        <v>-5.2320928890803309E-3</v>
      </c>
      <c r="AF135" s="56">
        <f>(AF29+AF138)/AE29-1</f>
        <v>5.4089388657807547E-3</v>
      </c>
      <c r="AG135" s="16"/>
      <c r="AH135" s="56">
        <f>(AH29+AH138)/AF29-1</f>
        <v>-7.3949459417549379E-3</v>
      </c>
      <c r="AI135" s="56">
        <f>(AI29+AI138)/AH29-1</f>
        <v>3.3114066890789218E-3</v>
      </c>
      <c r="AJ135" s="56">
        <f>(AJ29+AJ138)/AI29-1</f>
        <v>3.8469181915197215E-3</v>
      </c>
      <c r="AK135" s="56">
        <f>(AK29+AK138)/AJ29-1</f>
        <v>-9.2910709949614034E-3</v>
      </c>
      <c r="AL135" s="16"/>
      <c r="AM135" s="56">
        <f>(AM29+AM138)/AK29-1</f>
        <v>4.4058670881264028E-3</v>
      </c>
      <c r="AN135" s="56">
        <f>(AN29+AN138)/AM29-1</f>
        <v>-3.3239528192354761E-3</v>
      </c>
      <c r="AO135" s="209">
        <v>-1.4328112807066945E-2</v>
      </c>
      <c r="AP135" s="209">
        <v>-1.6483391810546678E-2</v>
      </c>
      <c r="AQ135" s="16"/>
      <c r="AR135" s="209">
        <v>-1.4999999999999999E-2</v>
      </c>
      <c r="AS135" s="209">
        <v>-1.4999999999999999E-2</v>
      </c>
      <c r="AT135" s="209">
        <v>-1.4999999999999999E-2</v>
      </c>
      <c r="AU135" s="209">
        <v>-1.4999999999999999E-2</v>
      </c>
      <c r="AV135" s="16"/>
      <c r="AW135" s="209">
        <f>AVERAGE(AU135,AT135,AS135,AR135)</f>
        <v>-1.4999999999999999E-2</v>
      </c>
      <c r="AX135" s="209">
        <f>AVERAGE(AW135,AU135,AT135,AS135)</f>
        <v>-1.4999999999999999E-2</v>
      </c>
      <c r="AY135" s="209">
        <f>AVERAGE(AX135,AW135,AU135,AT135)</f>
        <v>-1.4999999999999999E-2</v>
      </c>
      <c r="AZ135" s="209">
        <f>AVERAGE(AY135,AX135,AW135,AU135)</f>
        <v>-1.4999999999999999E-2</v>
      </c>
      <c r="BA135" s="16"/>
      <c r="BB135" s="209">
        <f>AVERAGE(AZ135,AY135,AX135,AW135)</f>
        <v>-1.4999999999999999E-2</v>
      </c>
      <c r="BC135" s="209">
        <f>AVERAGE(BB135,AZ135,AY135,AX135)</f>
        <v>-1.4999999999999999E-2</v>
      </c>
      <c r="BD135" s="209">
        <f>AVERAGE(BC135,BB135,AZ135,AY135)</f>
        <v>-1.4999999999999999E-2</v>
      </c>
      <c r="BE135" s="209">
        <f>AVERAGE(BD135,BC135,BB135,AZ135)</f>
        <v>-1.4999999999999999E-2</v>
      </c>
      <c r="BF135" s="16"/>
      <c r="BG135" s="209">
        <f>AVERAGE(BE135,BD135,BC135,BB135)</f>
        <v>-1.4999999999999999E-2</v>
      </c>
      <c r="BH135" s="209">
        <f>AVERAGE(BG135,BE135,BD135,BC135)</f>
        <v>-1.4999999999999999E-2</v>
      </c>
      <c r="BI135" s="209">
        <f>AVERAGE(BH135,BG135,BE135,BD135)</f>
        <v>-1.4999999999999999E-2</v>
      </c>
      <c r="BJ135" s="209">
        <f>AVERAGE(BI135,BH135,BG135,BE135)</f>
        <v>-1.4999999999999999E-2</v>
      </c>
      <c r="BK135" s="16"/>
    </row>
    <row r="136" spans="2:63" outlineLevel="1" x14ac:dyDescent="0.3">
      <c r="B136" s="726" t="s">
        <v>68</v>
      </c>
      <c r="C136" s="728"/>
      <c r="D136" s="57"/>
      <c r="E136" s="57"/>
      <c r="F136" s="57"/>
      <c r="G136" s="57"/>
      <c r="H136" s="16"/>
      <c r="I136" s="57"/>
      <c r="J136" s="57"/>
      <c r="K136" s="57"/>
      <c r="L136" s="57"/>
      <c r="M136" s="16"/>
      <c r="N136" s="57"/>
      <c r="O136" s="57"/>
      <c r="P136" s="57"/>
      <c r="Q136" s="57"/>
      <c r="R136" s="16"/>
      <c r="S136" s="57"/>
      <c r="T136" s="57"/>
      <c r="U136" s="57"/>
      <c r="V136" s="57"/>
      <c r="W136" s="16"/>
      <c r="X136" s="57"/>
      <c r="Y136" s="57"/>
      <c r="Z136" s="57"/>
      <c r="AA136" s="57"/>
      <c r="AB136" s="16"/>
      <c r="AC136" s="72">
        <v>109.4</v>
      </c>
      <c r="AD136" s="72">
        <v>124.11</v>
      </c>
      <c r="AE136" s="72">
        <v>128.08000000000001</v>
      </c>
      <c r="AF136" s="72">
        <v>115.15</v>
      </c>
      <c r="AG136" s="133"/>
      <c r="AH136" s="72">
        <v>129.39378378996761</v>
      </c>
      <c r="AI136" s="72">
        <v>97.54</v>
      </c>
      <c r="AJ136" s="72">
        <v>111.83138581582324</v>
      </c>
      <c r="AK136" s="72">
        <v>104.8950931984792</v>
      </c>
      <c r="AL136" s="133"/>
      <c r="AM136" s="72">
        <v>123.45636286189911</v>
      </c>
      <c r="AN136" s="72">
        <v>144.06240254360216</v>
      </c>
      <c r="AO136" s="220">
        <v>150</v>
      </c>
      <c r="AP136" s="220">
        <v>150</v>
      </c>
      <c r="AQ136" s="133"/>
      <c r="AR136" s="220">
        <f>AP136</f>
        <v>150</v>
      </c>
      <c r="AS136" s="220">
        <f>AR136</f>
        <v>150</v>
      </c>
      <c r="AT136" s="220">
        <f>AS136</f>
        <v>150</v>
      </c>
      <c r="AU136" s="220">
        <f>AT136</f>
        <v>150</v>
      </c>
      <c r="AV136" s="133"/>
      <c r="AW136" s="220">
        <f>AU136</f>
        <v>150</v>
      </c>
      <c r="AX136" s="220">
        <f>AW136</f>
        <v>150</v>
      </c>
      <c r="AY136" s="220">
        <f>AX136</f>
        <v>150</v>
      </c>
      <c r="AZ136" s="220">
        <f>AY136</f>
        <v>150</v>
      </c>
      <c r="BA136" s="133"/>
      <c r="BB136" s="220">
        <f>AZ136</f>
        <v>150</v>
      </c>
      <c r="BC136" s="220">
        <f>BB136</f>
        <v>150</v>
      </c>
      <c r="BD136" s="220">
        <f>BC136</f>
        <v>150</v>
      </c>
      <c r="BE136" s="220">
        <f>BD136</f>
        <v>150</v>
      </c>
      <c r="BF136" s="133"/>
      <c r="BG136" s="220">
        <f>BE136</f>
        <v>150</v>
      </c>
      <c r="BH136" s="220">
        <f>BG136</f>
        <v>150</v>
      </c>
      <c r="BI136" s="220">
        <f>BH136</f>
        <v>150</v>
      </c>
      <c r="BJ136" s="220">
        <f>BI136</f>
        <v>150</v>
      </c>
      <c r="BK136" s="133"/>
    </row>
    <row r="137" spans="2:63" outlineLevel="1" x14ac:dyDescent="0.3">
      <c r="B137" s="726" t="s">
        <v>69</v>
      </c>
      <c r="C137" s="728"/>
      <c r="D137" s="57"/>
      <c r="E137" s="57"/>
      <c r="F137" s="57"/>
      <c r="G137" s="57"/>
      <c r="H137" s="16"/>
      <c r="I137" s="57"/>
      <c r="J137" s="57"/>
      <c r="K137" s="57"/>
      <c r="L137" s="57"/>
      <c r="M137" s="16"/>
      <c r="N137" s="57"/>
      <c r="O137" s="57"/>
      <c r="P137" s="57"/>
      <c r="Q137" s="57"/>
      <c r="R137" s="16"/>
      <c r="S137" s="57"/>
      <c r="T137" s="57"/>
      <c r="U137" s="57"/>
      <c r="V137" s="57"/>
      <c r="W137" s="16"/>
      <c r="X137" s="57"/>
      <c r="Y137" s="57"/>
      <c r="Z137" s="57"/>
      <c r="AA137" s="57"/>
      <c r="AB137" s="16"/>
      <c r="AC137" s="72">
        <v>5000</v>
      </c>
      <c r="AD137" s="72">
        <v>7000</v>
      </c>
      <c r="AE137" s="72">
        <v>4000</v>
      </c>
      <c r="AF137" s="72">
        <v>14026</v>
      </c>
      <c r="AG137" s="133"/>
      <c r="AH137" s="72">
        <f>3000+3000</f>
        <v>6000</v>
      </c>
      <c r="AI137" s="72">
        <v>7000</v>
      </c>
      <c r="AJ137" s="72">
        <f>6000+4000</f>
        <v>10000</v>
      </c>
      <c r="AK137" s="72">
        <v>3000</v>
      </c>
      <c r="AL137" s="133"/>
      <c r="AM137" s="72">
        <v>11000</v>
      </c>
      <c r="AN137" s="72">
        <f>3000+4001</f>
        <v>7001</v>
      </c>
      <c r="AO137" s="220">
        <v>5000</v>
      </c>
      <c r="AP137" s="220">
        <v>5000</v>
      </c>
      <c r="AQ137" s="133"/>
      <c r="AR137" s="220">
        <v>4000</v>
      </c>
      <c r="AS137" s="220">
        <v>4000</v>
      </c>
      <c r="AT137" s="220">
        <v>4000</v>
      </c>
      <c r="AU137" s="220">
        <v>4000</v>
      </c>
      <c r="AV137" s="133"/>
      <c r="AW137" s="220">
        <v>4000</v>
      </c>
      <c r="AX137" s="220">
        <v>4000</v>
      </c>
      <c r="AY137" s="220">
        <v>4000</v>
      </c>
      <c r="AZ137" s="220">
        <v>4000</v>
      </c>
      <c r="BA137" s="133"/>
      <c r="BB137" s="220">
        <v>4000</v>
      </c>
      <c r="BC137" s="220">
        <v>4000</v>
      </c>
      <c r="BD137" s="220">
        <v>4000</v>
      </c>
      <c r="BE137" s="220">
        <v>4000</v>
      </c>
      <c r="BF137" s="133"/>
      <c r="BG137" s="220">
        <v>4000</v>
      </c>
      <c r="BH137" s="220">
        <v>4000</v>
      </c>
      <c r="BI137" s="220">
        <v>4000</v>
      </c>
      <c r="BJ137" s="220">
        <v>4000</v>
      </c>
      <c r="BK137" s="133"/>
    </row>
    <row r="138" spans="2:63" outlineLevel="1" x14ac:dyDescent="0.3">
      <c r="B138" s="726" t="s">
        <v>268</v>
      </c>
      <c r="C138" s="728"/>
      <c r="D138" s="57"/>
      <c r="E138" s="57"/>
      <c r="F138" s="57"/>
      <c r="G138" s="57"/>
      <c r="H138" s="16"/>
      <c r="I138" s="57"/>
      <c r="J138" s="57"/>
      <c r="K138" s="57"/>
      <c r="L138" s="57"/>
      <c r="M138" s="16"/>
      <c r="N138" s="57"/>
      <c r="O138" s="57"/>
      <c r="P138" s="57"/>
      <c r="Q138" s="57"/>
      <c r="R138" s="16"/>
      <c r="S138" s="57"/>
      <c r="T138" s="57"/>
      <c r="U138" s="57"/>
      <c r="V138" s="57"/>
      <c r="W138" s="16"/>
      <c r="X138" s="57"/>
      <c r="Y138" s="57"/>
      <c r="Z138" s="131"/>
      <c r="AA138" s="131"/>
      <c r="AB138" s="16"/>
      <c r="AC138" s="219">
        <f>IF((AC137)&gt;0,(AC137/AC136),0)</f>
        <v>45.703839122486286</v>
      </c>
      <c r="AD138" s="219">
        <f>IF((AD137)&gt;0,(AD137/AD136),0)</f>
        <v>56.401579244218837</v>
      </c>
      <c r="AE138" s="219">
        <f>IF((AE137)&gt;0,(AE137/AE136),0)</f>
        <v>31.230480949406619</v>
      </c>
      <c r="AF138" s="219">
        <f>IF((AF137)&gt;0,(AF137/AF136),0)</f>
        <v>121.80633955709943</v>
      </c>
      <c r="AG138" s="133"/>
      <c r="AH138" s="72">
        <f>IF((AH137)&gt;0,(AH137/AH136),0)</f>
        <v>46.370079182004744</v>
      </c>
      <c r="AI138" s="72">
        <f>IF((AI137)&gt;0,(AI137/AI136),0)</f>
        <v>71.765429567356975</v>
      </c>
      <c r="AJ138" s="72">
        <f>IF((AJ137)&gt;0,(AJ137/AJ136),0)</f>
        <v>89.420335150537682</v>
      </c>
      <c r="AK138" s="219">
        <f>IF((AK137)&gt;0,(AK137/AK136),0)</f>
        <v>28.60000318912434</v>
      </c>
      <c r="AL138" s="282"/>
      <c r="AM138" s="72">
        <f>IF((AM137)&gt;0,(AM137/AM136),0)</f>
        <v>89.100308360005968</v>
      </c>
      <c r="AN138" s="72">
        <f>IF((AN137)&gt;0,(AN137/AN136),0)</f>
        <v>48.596995998876707</v>
      </c>
      <c r="AO138" s="72">
        <f>IF((AO137)&gt;0,(AO137/AO136),0)</f>
        <v>33.333333333333336</v>
      </c>
      <c r="AP138" s="72">
        <f>IF((AP137)&gt;0,(AP137/AP136),0)</f>
        <v>33.333333333333336</v>
      </c>
      <c r="AQ138" s="133"/>
      <c r="AR138" s="72">
        <f>IF((AR137)&gt;0,(AR137/AR136),0)</f>
        <v>26.666666666666668</v>
      </c>
      <c r="AS138" s="72">
        <f>IF((AS137)&gt;0,(AS137/AS136),0)</f>
        <v>26.666666666666668</v>
      </c>
      <c r="AT138" s="72">
        <f>IF((AT137)&gt;0,(AT137/AT136),0)</f>
        <v>26.666666666666668</v>
      </c>
      <c r="AU138" s="72">
        <f>IF((AU137)&gt;0,(AU137/AU136),0)</f>
        <v>26.666666666666668</v>
      </c>
      <c r="AV138" s="133"/>
      <c r="AW138" s="72">
        <f>IF((AW137)&gt;0,(AW137/AW136),0)</f>
        <v>26.666666666666668</v>
      </c>
      <c r="AX138" s="72">
        <f>IF((AX137)&gt;0,(AX137/AX136),0)</f>
        <v>26.666666666666668</v>
      </c>
      <c r="AY138" s="72">
        <f>IF((AY137)&gt;0,(AY137/AY136),0)</f>
        <v>26.666666666666668</v>
      </c>
      <c r="AZ138" s="72">
        <f>IF((AZ137)&gt;0,(AZ137/AZ136),0)</f>
        <v>26.666666666666668</v>
      </c>
      <c r="BA138" s="133"/>
      <c r="BB138" s="72">
        <f>IF((BB137)&gt;0,(BB137/BB136),0)</f>
        <v>26.666666666666668</v>
      </c>
      <c r="BC138" s="72">
        <f>IF((BC137)&gt;0,(BC137/BC136),0)</f>
        <v>26.666666666666668</v>
      </c>
      <c r="BD138" s="72">
        <f>IF((BD137)&gt;0,(BD137/BD136),0)</f>
        <v>26.666666666666668</v>
      </c>
      <c r="BE138" s="72">
        <f>IF((BE137)&gt;0,(BE137/BE136),0)</f>
        <v>26.666666666666668</v>
      </c>
      <c r="BF138" s="133"/>
      <c r="BG138" s="72">
        <f>IF((BG137)&gt;0,(BG137/BG136),0)</f>
        <v>26.666666666666668</v>
      </c>
      <c r="BH138" s="72">
        <f>IF((BH137)&gt;0,(BH137/BH136),0)</f>
        <v>26.666666666666668</v>
      </c>
      <c r="BI138" s="72">
        <f>IF((BI137)&gt;0,(BI137/BI136),0)</f>
        <v>26.666666666666668</v>
      </c>
      <c r="BJ138" s="72">
        <f>IF((BJ137)&gt;0,(BJ137/BJ136),0)</f>
        <v>26.666666666666668</v>
      </c>
      <c r="BK138" s="133"/>
    </row>
    <row r="139" spans="2:63" outlineLevel="1" x14ac:dyDescent="0.3">
      <c r="B139" s="750" t="s">
        <v>70</v>
      </c>
      <c r="C139" s="751"/>
      <c r="D139" s="166"/>
      <c r="E139" s="166"/>
      <c r="F139" s="166"/>
      <c r="G139" s="167"/>
      <c r="H139" s="168"/>
      <c r="I139" s="166"/>
      <c r="J139" s="166"/>
      <c r="K139" s="166"/>
      <c r="L139" s="167"/>
      <c r="M139" s="168"/>
      <c r="N139" s="166"/>
      <c r="O139" s="166"/>
      <c r="P139" s="166"/>
      <c r="Q139" s="167"/>
      <c r="R139" s="168"/>
      <c r="S139" s="166"/>
      <c r="T139" s="166"/>
      <c r="U139" s="166"/>
      <c r="V139" s="167"/>
      <c r="W139" s="168"/>
      <c r="X139" s="166"/>
      <c r="Y139" s="166"/>
      <c r="Z139" s="166"/>
      <c r="AA139" s="167"/>
      <c r="AB139" s="168"/>
      <c r="AC139" s="126">
        <v>0</v>
      </c>
      <c r="AD139" s="127">
        <v>0</v>
      </c>
      <c r="AE139" s="127">
        <v>0</v>
      </c>
      <c r="AF139" s="128">
        <v>0</v>
      </c>
      <c r="AG139" s="129"/>
      <c r="AH139" s="126">
        <v>0</v>
      </c>
      <c r="AI139" s="127">
        <v>0</v>
      </c>
      <c r="AJ139" s="128">
        <v>0</v>
      </c>
      <c r="AK139" s="128">
        <v>0</v>
      </c>
      <c r="AL139" s="129"/>
      <c r="AM139" s="126">
        <v>0</v>
      </c>
      <c r="AN139" s="127">
        <v>0</v>
      </c>
      <c r="AO139" s="128">
        <v>0</v>
      </c>
      <c r="AP139" s="128">
        <v>0</v>
      </c>
      <c r="AQ139" s="129"/>
      <c r="AR139" s="126">
        <v>0</v>
      </c>
      <c r="AS139" s="127">
        <v>0</v>
      </c>
      <c r="AT139" s="128">
        <v>0</v>
      </c>
      <c r="AU139" s="128">
        <v>0</v>
      </c>
      <c r="AV139" s="129"/>
      <c r="AW139" s="201">
        <v>0</v>
      </c>
      <c r="AX139" s="127">
        <v>0</v>
      </c>
      <c r="AY139" s="128">
        <v>0</v>
      </c>
      <c r="AZ139" s="128">
        <v>0</v>
      </c>
      <c r="BA139" s="129"/>
      <c r="BB139" s="201">
        <v>0</v>
      </c>
      <c r="BC139" s="127">
        <v>0</v>
      </c>
      <c r="BD139" s="128">
        <v>0</v>
      </c>
      <c r="BE139" s="128">
        <v>0</v>
      </c>
      <c r="BF139" s="129"/>
      <c r="BG139" s="201">
        <v>0</v>
      </c>
      <c r="BH139" s="127">
        <v>0</v>
      </c>
      <c r="BI139" s="128">
        <v>0</v>
      </c>
      <c r="BJ139" s="128">
        <v>0</v>
      </c>
      <c r="BK139" s="129"/>
    </row>
    <row r="140" spans="2:63" x14ac:dyDescent="0.3">
      <c r="B140" s="136"/>
      <c r="C140" s="137"/>
      <c r="D140" s="123">
        <f t="shared" ref="D140:AI140" si="180">D13*2-(D45+D118)</f>
        <v>0</v>
      </c>
      <c r="E140" s="123">
        <f t="shared" si="180"/>
        <v>0</v>
      </c>
      <c r="F140" s="123">
        <f t="shared" si="180"/>
        <v>0</v>
      </c>
      <c r="G140" s="123">
        <f t="shared" si="180"/>
        <v>0</v>
      </c>
      <c r="H140" s="123">
        <f t="shared" si="180"/>
        <v>0</v>
      </c>
      <c r="I140" s="123">
        <f t="shared" si="180"/>
        <v>0</v>
      </c>
      <c r="J140" s="123">
        <f t="shared" si="180"/>
        <v>0</v>
      </c>
      <c r="K140" s="123">
        <f t="shared" si="180"/>
        <v>0</v>
      </c>
      <c r="L140" s="123">
        <f t="shared" si="180"/>
        <v>0</v>
      </c>
      <c r="M140" s="123">
        <f t="shared" si="180"/>
        <v>0</v>
      </c>
      <c r="N140" s="123">
        <f t="shared" si="180"/>
        <v>0</v>
      </c>
      <c r="O140" s="123">
        <f t="shared" si="180"/>
        <v>0</v>
      </c>
      <c r="P140" s="123">
        <f t="shared" si="180"/>
        <v>0</v>
      </c>
      <c r="Q140" s="123">
        <f t="shared" si="180"/>
        <v>0</v>
      </c>
      <c r="R140" s="123">
        <f t="shared" si="180"/>
        <v>0</v>
      </c>
      <c r="S140" s="123">
        <f t="shared" si="180"/>
        <v>0</v>
      </c>
      <c r="T140" s="123">
        <f t="shared" si="180"/>
        <v>0</v>
      </c>
      <c r="U140" s="123">
        <f t="shared" si="180"/>
        <v>0</v>
      </c>
      <c r="V140" s="123">
        <f t="shared" si="180"/>
        <v>0</v>
      </c>
      <c r="W140" s="123">
        <f t="shared" si="180"/>
        <v>0</v>
      </c>
      <c r="X140" s="123">
        <f t="shared" si="180"/>
        <v>0</v>
      </c>
      <c r="Y140" s="123">
        <f t="shared" si="180"/>
        <v>0</v>
      </c>
      <c r="Z140" s="123">
        <f t="shared" si="180"/>
        <v>0</v>
      </c>
      <c r="AA140" s="123">
        <f t="shared" si="180"/>
        <v>0</v>
      </c>
      <c r="AB140" s="207">
        <f t="shared" si="180"/>
        <v>0</v>
      </c>
      <c r="AC140" s="207">
        <f t="shared" si="180"/>
        <v>0</v>
      </c>
      <c r="AD140" s="207">
        <f t="shared" si="180"/>
        <v>0</v>
      </c>
      <c r="AE140" s="207">
        <f t="shared" si="180"/>
        <v>0</v>
      </c>
      <c r="AF140" s="207">
        <f t="shared" si="180"/>
        <v>0</v>
      </c>
      <c r="AG140" s="207">
        <f t="shared" si="180"/>
        <v>0</v>
      </c>
      <c r="AH140" s="207">
        <f t="shared" si="180"/>
        <v>0</v>
      </c>
      <c r="AI140" s="418">
        <f t="shared" si="180"/>
        <v>0</v>
      </c>
      <c r="AJ140" s="418">
        <f t="shared" ref="AJ140:BK140" si="181">AJ13*2-(AJ45+AJ118)</f>
        <v>0</v>
      </c>
      <c r="AK140" s="418">
        <f t="shared" si="181"/>
        <v>0</v>
      </c>
      <c r="AL140" s="207">
        <f t="shared" si="181"/>
        <v>0</v>
      </c>
      <c r="AM140" s="207">
        <f t="shared" si="181"/>
        <v>0</v>
      </c>
      <c r="AN140" s="207">
        <f t="shared" si="181"/>
        <v>0</v>
      </c>
      <c r="AO140" s="207">
        <f t="shared" si="181"/>
        <v>0</v>
      </c>
      <c r="AP140" s="207">
        <f t="shared" si="181"/>
        <v>0</v>
      </c>
      <c r="AQ140" s="207">
        <f t="shared" si="181"/>
        <v>0</v>
      </c>
      <c r="AR140" s="207">
        <f t="shared" si="181"/>
        <v>0</v>
      </c>
      <c r="AS140" s="207">
        <f t="shared" si="181"/>
        <v>0</v>
      </c>
      <c r="AT140" s="207">
        <f t="shared" si="181"/>
        <v>0</v>
      </c>
      <c r="AU140" s="207">
        <f t="shared" si="181"/>
        <v>0</v>
      </c>
      <c r="AV140" s="207">
        <f t="shared" si="181"/>
        <v>0</v>
      </c>
      <c r="AW140" s="207">
        <f t="shared" si="181"/>
        <v>0</v>
      </c>
      <c r="AX140" s="207">
        <f t="shared" si="181"/>
        <v>0</v>
      </c>
      <c r="AY140" s="207">
        <f t="shared" si="181"/>
        <v>0</v>
      </c>
      <c r="AZ140" s="207">
        <f t="shared" si="181"/>
        <v>0</v>
      </c>
      <c r="BA140" s="207">
        <f t="shared" si="181"/>
        <v>0</v>
      </c>
      <c r="BB140" s="207">
        <f t="shared" si="181"/>
        <v>0</v>
      </c>
      <c r="BC140" s="207">
        <f t="shared" si="181"/>
        <v>0</v>
      </c>
      <c r="BD140" s="207">
        <f t="shared" si="181"/>
        <v>0</v>
      </c>
      <c r="BE140" s="207">
        <f t="shared" si="181"/>
        <v>0</v>
      </c>
      <c r="BF140" s="207">
        <f t="shared" si="181"/>
        <v>0</v>
      </c>
      <c r="BG140" s="207">
        <f t="shared" si="181"/>
        <v>0</v>
      </c>
      <c r="BH140" s="207">
        <f t="shared" si="181"/>
        <v>0</v>
      </c>
      <c r="BI140" s="207">
        <f t="shared" si="181"/>
        <v>0</v>
      </c>
      <c r="BJ140" s="207">
        <f t="shared" si="181"/>
        <v>0</v>
      </c>
      <c r="BK140" s="207">
        <f t="shared" si="181"/>
        <v>0</v>
      </c>
    </row>
    <row r="141" spans="2:63" ht="15.6" x14ac:dyDescent="0.3">
      <c r="B141" s="733" t="s">
        <v>86</v>
      </c>
      <c r="C141" s="734"/>
      <c r="D141" s="170" t="s">
        <v>117</v>
      </c>
      <c r="E141" s="170" t="s">
        <v>118</v>
      </c>
      <c r="F141" s="170" t="s">
        <v>119</v>
      </c>
      <c r="G141" s="170" t="s">
        <v>120</v>
      </c>
      <c r="H141" s="170" t="s">
        <v>120</v>
      </c>
      <c r="I141" s="170" t="s">
        <v>116</v>
      </c>
      <c r="J141" s="170" t="s">
        <v>126</v>
      </c>
      <c r="K141" s="170" t="s">
        <v>127</v>
      </c>
      <c r="L141" s="170" t="s">
        <v>128</v>
      </c>
      <c r="M141" s="170" t="s">
        <v>128</v>
      </c>
      <c r="N141" s="170" t="s">
        <v>134</v>
      </c>
      <c r="O141" s="170" t="s">
        <v>135</v>
      </c>
      <c r="P141" s="170" t="s">
        <v>136</v>
      </c>
      <c r="Q141" s="170" t="s">
        <v>137</v>
      </c>
      <c r="R141" s="170" t="s">
        <v>137</v>
      </c>
      <c r="S141" s="170" t="s">
        <v>143</v>
      </c>
      <c r="T141" s="170" t="s">
        <v>144</v>
      </c>
      <c r="U141" s="170" t="s">
        <v>145</v>
      </c>
      <c r="V141" s="170" t="s">
        <v>95</v>
      </c>
      <c r="W141" s="170" t="s">
        <v>95</v>
      </c>
      <c r="X141" s="170" t="s">
        <v>94</v>
      </c>
      <c r="Y141" s="170" t="s">
        <v>93</v>
      </c>
      <c r="Z141" s="170" t="s">
        <v>92</v>
      </c>
      <c r="AA141" s="170" t="s">
        <v>91</v>
      </c>
      <c r="AB141" s="170" t="s">
        <v>91</v>
      </c>
      <c r="AC141" s="170" t="s">
        <v>96</v>
      </c>
      <c r="AD141" s="170" t="s">
        <v>97</v>
      </c>
      <c r="AE141" s="170" t="s">
        <v>98</v>
      </c>
      <c r="AF141" s="170" t="s">
        <v>99</v>
      </c>
      <c r="AG141" s="170" t="s">
        <v>99</v>
      </c>
      <c r="AH141" s="170" t="s">
        <v>101</v>
      </c>
      <c r="AI141" s="170" t="s">
        <v>102</v>
      </c>
      <c r="AJ141" s="170" t="s">
        <v>103</v>
      </c>
      <c r="AK141" s="170" t="s">
        <v>104</v>
      </c>
      <c r="AL141" s="170" t="s">
        <v>104</v>
      </c>
      <c r="AM141" s="170" t="s">
        <v>100</v>
      </c>
      <c r="AN141" s="170" t="s">
        <v>105</v>
      </c>
      <c r="AO141" s="202" t="s">
        <v>106</v>
      </c>
      <c r="AP141" s="202" t="s">
        <v>107</v>
      </c>
      <c r="AQ141" s="202" t="s">
        <v>107</v>
      </c>
      <c r="AR141" s="202" t="s">
        <v>108</v>
      </c>
      <c r="AS141" s="202" t="s">
        <v>109</v>
      </c>
      <c r="AT141" s="202" t="s">
        <v>110</v>
      </c>
      <c r="AU141" s="202" t="s">
        <v>111</v>
      </c>
      <c r="AV141" s="202" t="s">
        <v>111</v>
      </c>
      <c r="AW141" s="202" t="s">
        <v>112</v>
      </c>
      <c r="AX141" s="202" t="s">
        <v>113</v>
      </c>
      <c r="AY141" s="202" t="s">
        <v>114</v>
      </c>
      <c r="AZ141" s="202" t="s">
        <v>115</v>
      </c>
      <c r="BA141" s="202" t="s">
        <v>115</v>
      </c>
      <c r="BB141" s="202" t="s">
        <v>233</v>
      </c>
      <c r="BC141" s="202" t="s">
        <v>234</v>
      </c>
      <c r="BD141" s="202" t="s">
        <v>235</v>
      </c>
      <c r="BE141" s="202" t="s">
        <v>236</v>
      </c>
      <c r="BF141" s="202" t="s">
        <v>236</v>
      </c>
      <c r="BG141" s="202" t="s">
        <v>272</v>
      </c>
      <c r="BH141" s="202" t="s">
        <v>273</v>
      </c>
      <c r="BI141" s="202" t="s">
        <v>274</v>
      </c>
      <c r="BJ141" s="202" t="s">
        <v>275</v>
      </c>
      <c r="BK141" s="203" t="s">
        <v>275</v>
      </c>
    </row>
    <row r="142" spans="2:63" ht="16.2" x14ac:dyDescent="0.45">
      <c r="B142" s="443" t="s">
        <v>10</v>
      </c>
      <c r="C142" s="444"/>
      <c r="D142" s="171" t="s">
        <v>121</v>
      </c>
      <c r="E142" s="171" t="s">
        <v>122</v>
      </c>
      <c r="F142" s="171" t="s">
        <v>123</v>
      </c>
      <c r="G142" s="171" t="s">
        <v>124</v>
      </c>
      <c r="H142" s="171" t="s">
        <v>125</v>
      </c>
      <c r="I142" s="171" t="s">
        <v>129</v>
      </c>
      <c r="J142" s="171" t="s">
        <v>130</v>
      </c>
      <c r="K142" s="171" t="s">
        <v>131</v>
      </c>
      <c r="L142" s="171" t="s">
        <v>132</v>
      </c>
      <c r="M142" s="171" t="s">
        <v>133</v>
      </c>
      <c r="N142" s="171" t="s">
        <v>138</v>
      </c>
      <c r="O142" s="171" t="s">
        <v>139</v>
      </c>
      <c r="P142" s="171" t="s">
        <v>140</v>
      </c>
      <c r="Q142" s="171" t="s">
        <v>141</v>
      </c>
      <c r="R142" s="171" t="s">
        <v>142</v>
      </c>
      <c r="S142" s="171" t="s">
        <v>146</v>
      </c>
      <c r="T142" s="171" t="s">
        <v>147</v>
      </c>
      <c r="U142" s="171" t="s">
        <v>148</v>
      </c>
      <c r="V142" s="171" t="s">
        <v>149</v>
      </c>
      <c r="W142" s="171" t="s">
        <v>0</v>
      </c>
      <c r="X142" s="171" t="s">
        <v>40</v>
      </c>
      <c r="Y142" s="171" t="s">
        <v>41</v>
      </c>
      <c r="Z142" s="171" t="s">
        <v>42</v>
      </c>
      <c r="AA142" s="171" t="s">
        <v>43</v>
      </c>
      <c r="AB142" s="171" t="s">
        <v>6</v>
      </c>
      <c r="AC142" s="171" t="s">
        <v>206</v>
      </c>
      <c r="AD142" s="171" t="s">
        <v>211</v>
      </c>
      <c r="AE142" s="171" t="s">
        <v>213</v>
      </c>
      <c r="AF142" s="171" t="s">
        <v>215</v>
      </c>
      <c r="AG142" s="171" t="s">
        <v>231</v>
      </c>
      <c r="AH142" s="171" t="s">
        <v>243</v>
      </c>
      <c r="AI142" s="171" t="s">
        <v>247</v>
      </c>
      <c r="AJ142" s="171" t="s">
        <v>248</v>
      </c>
      <c r="AK142" s="171" t="s">
        <v>270</v>
      </c>
      <c r="AL142" s="171" t="s">
        <v>271</v>
      </c>
      <c r="AM142" s="171" t="s">
        <v>281</v>
      </c>
      <c r="AN142" s="171" t="s">
        <v>440</v>
      </c>
      <c r="AO142" s="204" t="s">
        <v>58</v>
      </c>
      <c r="AP142" s="204" t="s">
        <v>59</v>
      </c>
      <c r="AQ142" s="204" t="s">
        <v>216</v>
      </c>
      <c r="AR142" s="204" t="s">
        <v>60</v>
      </c>
      <c r="AS142" s="204" t="s">
        <v>61</v>
      </c>
      <c r="AT142" s="204" t="s">
        <v>62</v>
      </c>
      <c r="AU142" s="204" t="s">
        <v>63</v>
      </c>
      <c r="AV142" s="204" t="s">
        <v>217</v>
      </c>
      <c r="AW142" s="204" t="s">
        <v>64</v>
      </c>
      <c r="AX142" s="204" t="s">
        <v>65</v>
      </c>
      <c r="AY142" s="204" t="s">
        <v>66</v>
      </c>
      <c r="AZ142" s="204" t="s">
        <v>67</v>
      </c>
      <c r="BA142" s="204" t="s">
        <v>218</v>
      </c>
      <c r="BB142" s="204" t="s">
        <v>232</v>
      </c>
      <c r="BC142" s="204" t="s">
        <v>237</v>
      </c>
      <c r="BD142" s="204" t="s">
        <v>238</v>
      </c>
      <c r="BE142" s="204" t="s">
        <v>239</v>
      </c>
      <c r="BF142" s="204" t="s">
        <v>240</v>
      </c>
      <c r="BG142" s="204" t="s">
        <v>276</v>
      </c>
      <c r="BH142" s="204" t="s">
        <v>277</v>
      </c>
      <c r="BI142" s="204" t="s">
        <v>278</v>
      </c>
      <c r="BJ142" s="204" t="s">
        <v>279</v>
      </c>
      <c r="BK142" s="205" t="s">
        <v>280</v>
      </c>
    </row>
    <row r="143" spans="2:63" ht="14.4" hidden="1" customHeight="1" outlineLevel="1" x14ac:dyDescent="0.3">
      <c r="B143" s="729" t="s">
        <v>15</v>
      </c>
      <c r="C143" s="738"/>
      <c r="D143" s="106"/>
      <c r="E143" s="114"/>
      <c r="F143" s="114"/>
      <c r="G143" s="108"/>
      <c r="H143" s="105"/>
      <c r="I143" s="106"/>
      <c r="J143" s="107"/>
      <c r="K143" s="107"/>
      <c r="L143" s="108"/>
      <c r="M143" s="105"/>
      <c r="N143" s="106"/>
      <c r="O143" s="107"/>
      <c r="P143" s="107"/>
      <c r="Q143" s="108"/>
      <c r="R143" s="105"/>
      <c r="S143" s="106"/>
      <c r="T143" s="107"/>
      <c r="U143" s="107"/>
      <c r="V143" s="108"/>
      <c r="W143" s="105"/>
      <c r="X143" s="106"/>
      <c r="Y143" s="107"/>
      <c r="Z143" s="107"/>
      <c r="AA143" s="108"/>
      <c r="AB143" s="105"/>
      <c r="AC143" s="21"/>
      <c r="AD143" s="24"/>
      <c r="AE143" s="20"/>
      <c r="AF143" s="20"/>
      <c r="AG143" s="25"/>
      <c r="AH143" s="21"/>
      <c r="AI143" s="241"/>
      <c r="AJ143" s="20"/>
      <c r="AK143" s="20"/>
      <c r="AL143" s="25"/>
      <c r="AM143" s="21"/>
      <c r="AN143" s="547"/>
      <c r="AO143" s="548"/>
      <c r="AP143" s="20"/>
      <c r="AQ143" s="25"/>
      <c r="AR143" s="21"/>
      <c r="AS143" s="24"/>
      <c r="AT143" s="20"/>
      <c r="AU143" s="20"/>
      <c r="AV143" s="25"/>
      <c r="AW143" s="21"/>
      <c r="AX143" s="24"/>
      <c r="AY143" s="20"/>
      <c r="AZ143" s="20"/>
      <c r="BA143" s="25"/>
      <c r="BB143" s="21"/>
      <c r="BC143" s="24"/>
      <c r="BD143" s="20"/>
      <c r="BE143" s="20"/>
      <c r="BF143" s="25"/>
      <c r="BG143" s="21"/>
      <c r="BH143" s="24"/>
      <c r="BI143" s="20"/>
      <c r="BJ143" s="20"/>
      <c r="BK143" s="25"/>
    </row>
    <row r="144" spans="2:63" ht="14.4" hidden="1" customHeight="1" outlineLevel="1" x14ac:dyDescent="0.3">
      <c r="B144" s="726" t="s">
        <v>151</v>
      </c>
      <c r="C144" s="728"/>
      <c r="D144" s="36">
        <v>7609</v>
      </c>
      <c r="E144" s="72">
        <v>10018</v>
      </c>
      <c r="F144" s="72">
        <v>9705</v>
      </c>
      <c r="G144" s="37">
        <v>11261</v>
      </c>
      <c r="H144" s="4">
        <f>G144</f>
        <v>11261</v>
      </c>
      <c r="I144" s="36">
        <v>10734</v>
      </c>
      <c r="J144" s="5">
        <v>15978</v>
      </c>
      <c r="K144" s="5">
        <v>12091</v>
      </c>
      <c r="L144" s="37">
        <v>9815</v>
      </c>
      <c r="M144" s="4">
        <f>L144</f>
        <v>9815</v>
      </c>
      <c r="N144" s="71">
        <v>10310</v>
      </c>
      <c r="O144" s="5">
        <v>10121</v>
      </c>
      <c r="P144" s="5">
        <v>7945</v>
      </c>
      <c r="Q144" s="37">
        <v>10746</v>
      </c>
      <c r="R144" s="4">
        <f>Q144</f>
        <v>10746</v>
      </c>
      <c r="S144" s="36">
        <v>16154</v>
      </c>
      <c r="T144" s="5">
        <v>12053</v>
      </c>
      <c r="U144" s="5">
        <v>11248</v>
      </c>
      <c r="V144" s="37">
        <v>14259</v>
      </c>
      <c r="W144" s="4">
        <f>V144</f>
        <v>14259</v>
      </c>
      <c r="X144" s="36">
        <v>14077</v>
      </c>
      <c r="Y144" s="5">
        <v>18949</v>
      </c>
      <c r="Z144" s="5">
        <v>12977</v>
      </c>
      <c r="AA144" s="37">
        <v>13844</v>
      </c>
      <c r="AB144" s="4">
        <f>AA144</f>
        <v>13844</v>
      </c>
      <c r="AC144" s="50">
        <f>AC241</f>
        <v>19478</v>
      </c>
      <c r="AD144" s="44">
        <v>14489</v>
      </c>
      <c r="AE144" s="189">
        <f>AE241</f>
        <v>15319</v>
      </c>
      <c r="AF144" s="44">
        <f>AF241</f>
        <v>21120</v>
      </c>
      <c r="AG144" s="4">
        <f>AF144</f>
        <v>21120</v>
      </c>
      <c r="AH144" s="44">
        <f>AH241</f>
        <v>16689</v>
      </c>
      <c r="AI144" s="189">
        <f>AI241</f>
        <v>21514</v>
      </c>
      <c r="AJ144" s="189">
        <f>AJ241</f>
        <v>18237</v>
      </c>
      <c r="AK144" s="44">
        <f>AK241</f>
        <v>20484</v>
      </c>
      <c r="AL144" s="4">
        <f>AK144</f>
        <v>20484</v>
      </c>
      <c r="AM144" s="189">
        <f>AM241</f>
        <v>16371</v>
      </c>
      <c r="AN144" s="189">
        <f>AN241</f>
        <v>15157</v>
      </c>
      <c r="AO144" s="189">
        <f>AO241</f>
        <v>16746.374355798987</v>
      </c>
      <c r="AP144" s="44">
        <f>AP241</f>
        <v>21594.78734479866</v>
      </c>
      <c r="AQ144" s="4">
        <f>AP144</f>
        <v>21594.78734479866</v>
      </c>
      <c r="AR144" s="44">
        <f>AR241</f>
        <v>26565.682976849643</v>
      </c>
      <c r="AS144" s="44">
        <f>AS241</f>
        <v>32616.110599755924</v>
      </c>
      <c r="AT144" s="44">
        <f>AT241</f>
        <v>33509.742932163965</v>
      </c>
      <c r="AU144" s="44">
        <f>AU241</f>
        <v>44919.830797085684</v>
      </c>
      <c r="AV144" s="4">
        <f>AU144</f>
        <v>44919.830797085684</v>
      </c>
      <c r="AW144" s="44">
        <f>AW241</f>
        <v>47605.331690939725</v>
      </c>
      <c r="AX144" s="44">
        <f>AX241</f>
        <v>48798.93453572112</v>
      </c>
      <c r="AY144" s="44">
        <f>AY241</f>
        <v>46903.589038004378</v>
      </c>
      <c r="AZ144" s="44">
        <f>AZ241</f>
        <v>61908.582279157934</v>
      </c>
      <c r="BA144" s="4">
        <f>AZ144</f>
        <v>61908.582279157934</v>
      </c>
      <c r="BB144" s="188">
        <f>BB241</f>
        <v>59006.198923471078</v>
      </c>
      <c r="BC144" s="188">
        <f>BC241</f>
        <v>57935.247866578233</v>
      </c>
      <c r="BD144" s="188">
        <f>BD241</f>
        <v>55143.046411865907</v>
      </c>
      <c r="BE144" s="188">
        <f>BE241</f>
        <v>72906.638519393135</v>
      </c>
      <c r="BF144" s="4">
        <f>BE144</f>
        <v>72906.638519393135</v>
      </c>
      <c r="BG144" s="188">
        <f>BG241</f>
        <v>60799.378829082365</v>
      </c>
      <c r="BH144" s="188">
        <f>BH241</f>
        <v>60442.89151081827</v>
      </c>
      <c r="BI144" s="188">
        <f>BI241</f>
        <v>54515.039015648465</v>
      </c>
      <c r="BJ144" s="188">
        <f>BJ241</f>
        <v>75733.254406465319</v>
      </c>
      <c r="BK144" s="4">
        <f>BJ144</f>
        <v>75733.254406465319</v>
      </c>
    </row>
    <row r="145" spans="2:63" ht="14.4" hidden="1" customHeight="1" outlineLevel="1" x14ac:dyDescent="0.3">
      <c r="B145" s="726" t="s">
        <v>152</v>
      </c>
      <c r="C145" s="728"/>
      <c r="D145" s="36">
        <v>17187</v>
      </c>
      <c r="E145" s="72">
        <v>13137</v>
      </c>
      <c r="F145" s="72">
        <v>14583</v>
      </c>
      <c r="G145" s="37">
        <v>14359</v>
      </c>
      <c r="H145" s="4">
        <f t="shared" ref="H145:H150" si="182">G145</f>
        <v>14359</v>
      </c>
      <c r="I145" s="36">
        <v>16243</v>
      </c>
      <c r="J145" s="5">
        <v>13256</v>
      </c>
      <c r="K145" s="5">
        <v>16304</v>
      </c>
      <c r="L145" s="37">
        <v>16137</v>
      </c>
      <c r="M145" s="4">
        <f t="shared" ref="M145:M150" si="183">L145</f>
        <v>16137</v>
      </c>
      <c r="N145" s="71">
        <v>19846</v>
      </c>
      <c r="O145" s="5">
        <v>18417</v>
      </c>
      <c r="P145" s="5">
        <v>19709</v>
      </c>
      <c r="Q145" s="37">
        <v>18383</v>
      </c>
      <c r="R145" s="4">
        <f t="shared" ref="R145:R150" si="184">Q145</f>
        <v>18383</v>
      </c>
      <c r="S145" s="36">
        <v>23666</v>
      </c>
      <c r="T145" s="5">
        <v>27084</v>
      </c>
      <c r="U145" s="5">
        <v>31358</v>
      </c>
      <c r="V145" s="37">
        <v>26287</v>
      </c>
      <c r="W145" s="4">
        <f t="shared" ref="W145:W150" si="185">V145</f>
        <v>26287</v>
      </c>
      <c r="X145" s="36">
        <v>26634</v>
      </c>
      <c r="Y145" s="5">
        <v>22401</v>
      </c>
      <c r="Z145" s="5">
        <v>24828</v>
      </c>
      <c r="AA145" s="37">
        <v>11233</v>
      </c>
      <c r="AB145" s="4">
        <f t="shared" ref="AB145:AB150" si="186">AA145</f>
        <v>11233</v>
      </c>
      <c r="AC145" s="50">
        <v>12985</v>
      </c>
      <c r="AD145" s="44">
        <v>18607</v>
      </c>
      <c r="AE145" s="44">
        <v>19384</v>
      </c>
      <c r="AF145" s="44">
        <v>20481</v>
      </c>
      <c r="AG145" s="4">
        <f t="shared" ref="AG145:AG150" si="187">AF145</f>
        <v>20481</v>
      </c>
      <c r="AH145" s="44">
        <v>21385</v>
      </c>
      <c r="AI145" s="189">
        <v>33769</v>
      </c>
      <c r="AJ145" s="189">
        <v>43519</v>
      </c>
      <c r="AK145" s="44">
        <v>46671</v>
      </c>
      <c r="AL145" s="4">
        <f t="shared" ref="AL145:AL150" si="188">AK145</f>
        <v>46671</v>
      </c>
      <c r="AM145" s="189">
        <v>44081</v>
      </c>
      <c r="AN145" s="189">
        <v>51944</v>
      </c>
      <c r="AO145" s="189">
        <f>+(AN145+AN152)*(1+AO180)*AO181</f>
        <v>50396.654622444636</v>
      </c>
      <c r="AP145" s="189">
        <f>+(AO145+AO152)*(1+AP180)*AP181</f>
        <v>51049.463884916557</v>
      </c>
      <c r="AQ145" s="4">
        <f t="shared" ref="AQ145:AQ150" si="189">AP145</f>
        <v>51049.463884916557</v>
      </c>
      <c r="AR145" s="189">
        <f>+(AP145+AP152)*(1+AR180)*AR181</f>
        <v>53595.537686356984</v>
      </c>
      <c r="AS145" s="189">
        <f>+(AR145+AR152)*(1+AS180)*AS181</f>
        <v>56091.221577093129</v>
      </c>
      <c r="AT145" s="189">
        <f>+(AS145+AS152)*(1+AT180)*AT181</f>
        <v>56207.441384525278</v>
      </c>
      <c r="AU145" s="189">
        <f>+(AT145+AT152)*(1+AU180)*AU181</f>
        <v>56789.314376560375</v>
      </c>
      <c r="AV145" s="4">
        <f t="shared" ref="AV145:AV150" si="190">AU145</f>
        <v>56789.314376560375</v>
      </c>
      <c r="AW145" s="189">
        <f>+(AU145+AU152)*(1+AW180)*AW181</f>
        <v>60178.976547938873</v>
      </c>
      <c r="AX145" s="189">
        <f>+(AW145+AW152)*(1+AX180)*AX181</f>
        <v>62109.801075291522</v>
      </c>
      <c r="AY145" s="189">
        <f>+(AX145+AX152)*(1+AY180)*AY181</f>
        <v>62639.613620426186</v>
      </c>
      <c r="AZ145" s="189">
        <f>+(AY145+AY152)*(1+AZ180)*AZ181</f>
        <v>63275.818547945804</v>
      </c>
      <c r="BA145" s="4">
        <f t="shared" ref="BA145:BA150" si="191">AZ145</f>
        <v>63275.818547945804</v>
      </c>
      <c r="BB145" s="189">
        <f>+(AZ145+AZ152)*(1+BB180)*BB181</f>
        <v>67079.520907992512</v>
      </c>
      <c r="BC145" s="189">
        <f>+(BB145+BB152)*(1+BC180)*BC181</f>
        <v>69106.191564133362</v>
      </c>
      <c r="BD145" s="189">
        <f>+(BC145+BC152)*(1+BD180)*BD181</f>
        <v>69780.007726181269</v>
      </c>
      <c r="BE145" s="189">
        <f>+(BD145+BD152)*(1+BE180)*BE181</f>
        <v>70481.706398233815</v>
      </c>
      <c r="BF145" s="4">
        <f t="shared" ref="BF145:BF150" si="192">BE145</f>
        <v>70481.706398233815</v>
      </c>
      <c r="BG145" s="189">
        <f>+(BE145+BE152)*(1+BG180)*BG181</f>
        <v>74712.879429302557</v>
      </c>
      <c r="BH145" s="189">
        <f>+(BG145+BG152)*(1+BH180)*BH181</f>
        <v>76955.137795070681</v>
      </c>
      <c r="BI145" s="189">
        <f>+(BH145+BH152)*(1+BI180)*BI181</f>
        <v>77721.772806192399</v>
      </c>
      <c r="BJ145" s="189">
        <f>+(BI145+BI152)*(1+BJ180)*BJ181</f>
        <v>78500.158483305131</v>
      </c>
      <c r="BK145" s="4">
        <f t="shared" ref="BK145:BK150" si="193">BJ145</f>
        <v>78500.158483305131</v>
      </c>
    </row>
    <row r="146" spans="2:63" ht="14.4" hidden="1" customHeight="1" outlineLevel="1" x14ac:dyDescent="0.3">
      <c r="B146" s="726" t="s">
        <v>153</v>
      </c>
      <c r="C146" s="728"/>
      <c r="D146" s="36">
        <v>3090</v>
      </c>
      <c r="E146" s="72">
        <v>2886</v>
      </c>
      <c r="F146" s="72">
        <v>3447</v>
      </c>
      <c r="G146" s="37">
        <v>5510</v>
      </c>
      <c r="H146" s="4">
        <f t="shared" si="182"/>
        <v>5510</v>
      </c>
      <c r="I146" s="36">
        <v>6027</v>
      </c>
      <c r="J146" s="5">
        <v>5798</v>
      </c>
      <c r="K146" s="5">
        <v>6102</v>
      </c>
      <c r="L146" s="37">
        <v>5369</v>
      </c>
      <c r="M146" s="4">
        <f t="shared" si="183"/>
        <v>5369</v>
      </c>
      <c r="N146" s="71">
        <v>8930</v>
      </c>
      <c r="O146" s="5">
        <v>7042</v>
      </c>
      <c r="P146" s="5">
        <v>7657</v>
      </c>
      <c r="Q146" s="37">
        <v>10930</v>
      </c>
      <c r="R146" s="4">
        <f t="shared" si="184"/>
        <v>10930</v>
      </c>
      <c r="S146" s="36">
        <v>11598</v>
      </c>
      <c r="T146" s="5">
        <v>7084</v>
      </c>
      <c r="U146" s="5">
        <v>8839</v>
      </c>
      <c r="V146" s="37">
        <v>13102</v>
      </c>
      <c r="W146" s="4">
        <f t="shared" si="185"/>
        <v>13102</v>
      </c>
      <c r="X146" s="36">
        <v>14200</v>
      </c>
      <c r="Y146" s="5">
        <v>9700</v>
      </c>
      <c r="Z146" s="5">
        <v>10788</v>
      </c>
      <c r="AA146" s="37">
        <v>17460</v>
      </c>
      <c r="AB146" s="4">
        <f t="shared" si="186"/>
        <v>17460</v>
      </c>
      <c r="AC146" s="50">
        <v>16709</v>
      </c>
      <c r="AD146" s="44">
        <v>10905</v>
      </c>
      <c r="AE146" s="44">
        <v>10370</v>
      </c>
      <c r="AF146" s="44">
        <v>16849</v>
      </c>
      <c r="AG146" s="4">
        <f t="shared" si="187"/>
        <v>16849</v>
      </c>
      <c r="AH146" s="188">
        <v>12953</v>
      </c>
      <c r="AI146" s="189">
        <v>12229</v>
      </c>
      <c r="AJ146" s="189">
        <v>11714</v>
      </c>
      <c r="AK146" s="44">
        <v>15754</v>
      </c>
      <c r="AL146" s="4">
        <f t="shared" si="188"/>
        <v>15754</v>
      </c>
      <c r="AM146" s="189">
        <v>14057</v>
      </c>
      <c r="AN146" s="44">
        <v>11579</v>
      </c>
      <c r="AO146" s="44">
        <f>(AO13/AO186*2)-AN146</f>
        <v>13155.539452523717</v>
      </c>
      <c r="AP146" s="44">
        <f>(AP13/AP186*2)-AO146</f>
        <v>15793.075133937287</v>
      </c>
      <c r="AQ146" s="4">
        <f t="shared" si="189"/>
        <v>15793.075133937287</v>
      </c>
      <c r="AR146" s="44">
        <f>(AR13/AR186*2)-AP146</f>
        <v>15284.372339492314</v>
      </c>
      <c r="AS146" s="44">
        <f>(AS13/AS186*2)-AR146</f>
        <v>13130.534481852294</v>
      </c>
      <c r="AT146" s="44">
        <f>(AT13/AT186*2)-AS146</f>
        <v>14516.24752770751</v>
      </c>
      <c r="AU146" s="44">
        <f>(AU13/AU186*2)-AT146</f>
        <v>15790.194752827476</v>
      </c>
      <c r="AV146" s="4">
        <f t="shared" si="190"/>
        <v>15790.194752827476</v>
      </c>
      <c r="AW146" s="44">
        <f>(AW13/AW186*2)-AU146</f>
        <v>14986.231698642372</v>
      </c>
      <c r="AX146" s="44">
        <f>(AX13/AX186*2)-AW146</f>
        <v>10435.784873510951</v>
      </c>
      <c r="AY146" s="44">
        <f>(AY13/AY186*2)-AX146</f>
        <v>14083.206014009153</v>
      </c>
      <c r="AZ146" s="44">
        <f>(AZ13/AZ186*2)-AY146</f>
        <v>15731.465547369979</v>
      </c>
      <c r="BA146" s="4">
        <f t="shared" si="191"/>
        <v>15731.465547369979</v>
      </c>
      <c r="BB146" s="188">
        <f>(BB13/BB186*2)-AZ146</f>
        <v>14132.897921289135</v>
      </c>
      <c r="BC146" s="188">
        <f>(BC13/BC186*2)-BB146</f>
        <v>8025.7882546852852</v>
      </c>
      <c r="BD146" s="188">
        <f>(BD13/BD186*2)-BC146</f>
        <v>14173.590339860839</v>
      </c>
      <c r="BE146" s="188">
        <f>(BE13/BE186*2)-BD146</f>
        <v>15262.47362930805</v>
      </c>
      <c r="BF146" s="4">
        <f t="shared" si="192"/>
        <v>15262.47362930805</v>
      </c>
      <c r="BG146" s="188">
        <f>(BG13/BG186*2)-BE146</f>
        <v>12554.933289007764</v>
      </c>
      <c r="BH146" s="188">
        <f>(BH13/BH186*2)-BG146</f>
        <v>7550.2717835119547</v>
      </c>
      <c r="BI146" s="188">
        <f>(BI13/BI186*2)-BH146</f>
        <v>12937.314660253367</v>
      </c>
      <c r="BJ146" s="188">
        <f>(BJ13/BJ186*2)-BI146</f>
        <v>15122.851600076639</v>
      </c>
      <c r="BK146" s="4">
        <f t="shared" si="193"/>
        <v>15122.851600076639</v>
      </c>
    </row>
    <row r="147" spans="2:63" ht="14.4" hidden="1" customHeight="1" outlineLevel="1" x14ac:dyDescent="0.3">
      <c r="B147" s="726" t="s">
        <v>11</v>
      </c>
      <c r="C147" s="728"/>
      <c r="D147" s="36">
        <v>576</v>
      </c>
      <c r="E147" s="72">
        <v>638</v>
      </c>
      <c r="F147" s="72">
        <v>942</v>
      </c>
      <c r="G147" s="37">
        <v>1051</v>
      </c>
      <c r="H147" s="4">
        <f t="shared" si="182"/>
        <v>1051</v>
      </c>
      <c r="I147" s="36">
        <v>885</v>
      </c>
      <c r="J147" s="5">
        <v>930</v>
      </c>
      <c r="K147" s="5">
        <v>889</v>
      </c>
      <c r="L147" s="37">
        <v>776</v>
      </c>
      <c r="M147" s="4">
        <f t="shared" si="183"/>
        <v>776</v>
      </c>
      <c r="N147" s="71">
        <v>1236</v>
      </c>
      <c r="O147" s="5">
        <v>1102</v>
      </c>
      <c r="P147" s="5">
        <v>1122</v>
      </c>
      <c r="Q147" s="37">
        <v>791</v>
      </c>
      <c r="R147" s="4">
        <f t="shared" si="184"/>
        <v>791</v>
      </c>
      <c r="S147" s="36">
        <v>1455</v>
      </c>
      <c r="T147" s="5">
        <v>1245</v>
      </c>
      <c r="U147" s="5">
        <v>1697</v>
      </c>
      <c r="V147" s="37">
        <v>1764</v>
      </c>
      <c r="W147" s="4">
        <f t="shared" si="185"/>
        <v>1764</v>
      </c>
      <c r="X147" s="36">
        <v>2122</v>
      </c>
      <c r="Y147" s="5">
        <v>1829</v>
      </c>
      <c r="Z147" s="5">
        <v>1594</v>
      </c>
      <c r="AA147" s="37">
        <v>2111</v>
      </c>
      <c r="AB147" s="4">
        <f t="shared" si="186"/>
        <v>2111</v>
      </c>
      <c r="AC147" s="50">
        <v>2283</v>
      </c>
      <c r="AD147" s="44">
        <v>2396</v>
      </c>
      <c r="AE147" s="189">
        <v>2042</v>
      </c>
      <c r="AF147" s="44">
        <v>2349</v>
      </c>
      <c r="AG147" s="4">
        <f t="shared" si="187"/>
        <v>2349</v>
      </c>
      <c r="AH147" s="44">
        <v>2451</v>
      </c>
      <c r="AI147" s="189">
        <v>2281</v>
      </c>
      <c r="AJ147" s="189">
        <v>1831</v>
      </c>
      <c r="AK147" s="44">
        <v>2132</v>
      </c>
      <c r="AL147" s="4">
        <f t="shared" si="188"/>
        <v>2132</v>
      </c>
      <c r="AM147" s="189">
        <v>2712</v>
      </c>
      <c r="AN147" s="188">
        <v>2910</v>
      </c>
      <c r="AO147" s="44">
        <f>(AO14/AO184*2)-AN147</f>
        <v>1995.6897282772543</v>
      </c>
      <c r="AP147" s="44">
        <f>(AP14/AP184*2)-AO147</f>
        <v>2816.4159698530884</v>
      </c>
      <c r="AQ147" s="4">
        <f t="shared" si="189"/>
        <v>2816.4159698530884</v>
      </c>
      <c r="AR147" s="44">
        <f>(AR14/AR184*2)-AP147</f>
        <v>3030.4013421585205</v>
      </c>
      <c r="AS147" s="44">
        <f>(AS14/AS184*2)-AR147</f>
        <v>4192.0431173814859</v>
      </c>
      <c r="AT147" s="44">
        <f>(AT14/AT184*2)-AS147</f>
        <v>2176.846125289494</v>
      </c>
      <c r="AU147" s="44">
        <f>(AU14/AU184*2)-AT147</f>
        <v>3687.9103804185306</v>
      </c>
      <c r="AV147" s="4">
        <f t="shared" si="190"/>
        <v>3687.9103804185306</v>
      </c>
      <c r="AW147" s="44">
        <f>(AW14/AW184*2)-AU147</f>
        <v>3073.5439473744445</v>
      </c>
      <c r="AX147" s="44">
        <f>(AX14/AX184*2)-AW147</f>
        <v>4515.2922652066891</v>
      </c>
      <c r="AY147" s="44">
        <f>(AY14/AY184*2)-AX147</f>
        <v>2025.2177401125791</v>
      </c>
      <c r="AZ147" s="44">
        <f>(AZ14/AZ184*2)-AY147</f>
        <v>4655.6822750443534</v>
      </c>
      <c r="BA147" s="4">
        <f t="shared" si="191"/>
        <v>4655.6822750443534</v>
      </c>
      <c r="BB147" s="188">
        <f>(BB14/BB184*2)-AZ147</f>
        <v>2941.7196802870203</v>
      </c>
      <c r="BC147" s="188">
        <f>(BC14/BC184*2)-BB147</f>
        <v>4748.6420687660993</v>
      </c>
      <c r="BD147" s="188">
        <f>(BD14/BD184*2)-BC147</f>
        <v>2163.7455195942912</v>
      </c>
      <c r="BE147" s="188">
        <f>(BE14/BE184*2)-BD147</f>
        <v>5566.5595863474418</v>
      </c>
      <c r="BF147" s="4">
        <f t="shared" si="192"/>
        <v>5566.5595863474418</v>
      </c>
      <c r="BG147" s="188">
        <f>(BG14/BG184*2)-BE147</f>
        <v>2760.0319165361516</v>
      </c>
      <c r="BH147" s="188">
        <f>(BH14/BH184*2)-BG147</f>
        <v>5417.1258557273168</v>
      </c>
      <c r="BI147" s="188">
        <f>(BI14/BI184*2)-BH147</f>
        <v>2028.9680488477616</v>
      </c>
      <c r="BJ147" s="188">
        <f>(BJ14/BJ184*2)-BI147</f>
        <v>6537.935363380856</v>
      </c>
      <c r="BK147" s="4">
        <f t="shared" si="193"/>
        <v>6537.935363380856</v>
      </c>
    </row>
    <row r="148" spans="2:63" ht="14.4" hidden="1" customHeight="1" outlineLevel="1" x14ac:dyDescent="0.3">
      <c r="B148" s="726" t="s">
        <v>19</v>
      </c>
      <c r="C148" s="728"/>
      <c r="D148" s="36">
        <v>1180</v>
      </c>
      <c r="E148" s="72">
        <v>1142</v>
      </c>
      <c r="F148" s="72">
        <v>1216</v>
      </c>
      <c r="G148" s="37">
        <v>1636</v>
      </c>
      <c r="H148" s="4">
        <f t="shared" si="182"/>
        <v>1636</v>
      </c>
      <c r="I148" s="36">
        <v>1724</v>
      </c>
      <c r="J148" s="5">
        <v>1683</v>
      </c>
      <c r="K148" s="5">
        <v>1892</v>
      </c>
      <c r="L148" s="37">
        <v>2014</v>
      </c>
      <c r="M148" s="4">
        <f t="shared" si="183"/>
        <v>2014</v>
      </c>
      <c r="N148" s="71">
        <v>1937</v>
      </c>
      <c r="O148" s="5">
        <v>2253</v>
      </c>
      <c r="P148" s="5">
        <v>2309</v>
      </c>
      <c r="Q148" s="37">
        <v>2583</v>
      </c>
      <c r="R148" s="4">
        <f t="shared" si="184"/>
        <v>2583</v>
      </c>
      <c r="S148" s="36">
        <v>2895</v>
      </c>
      <c r="T148" s="5">
        <v>3242</v>
      </c>
      <c r="U148" s="5">
        <v>3193</v>
      </c>
      <c r="V148" s="37">
        <v>3453</v>
      </c>
      <c r="W148" s="4">
        <f t="shared" si="185"/>
        <v>3453</v>
      </c>
      <c r="X148" s="36">
        <v>3742</v>
      </c>
      <c r="Y148" s="5">
        <v>4014</v>
      </c>
      <c r="Z148" s="5">
        <v>3884</v>
      </c>
      <c r="AA148" s="37">
        <v>4318</v>
      </c>
      <c r="AB148" s="4">
        <f t="shared" si="186"/>
        <v>4318</v>
      </c>
      <c r="AC148" s="50">
        <v>5046</v>
      </c>
      <c r="AD148" s="50">
        <v>5141</v>
      </c>
      <c r="AE148" s="189">
        <v>5010</v>
      </c>
      <c r="AF148" s="189">
        <v>5546</v>
      </c>
      <c r="AG148" s="4">
        <f t="shared" si="187"/>
        <v>5546</v>
      </c>
      <c r="AH148" s="189">
        <v>0</v>
      </c>
      <c r="AI148" s="189">
        <f>AH148</f>
        <v>0</v>
      </c>
      <c r="AJ148" s="189">
        <f>AI148</f>
        <v>0</v>
      </c>
      <c r="AK148" s="189">
        <f>AJ148</f>
        <v>0</v>
      </c>
      <c r="AL148" s="4">
        <f t="shared" si="188"/>
        <v>0</v>
      </c>
      <c r="AM148" s="189">
        <f t="shared" ref="AM148:AP148" si="194">AL148</f>
        <v>0</v>
      </c>
      <c r="AN148" s="189">
        <f t="shared" si="194"/>
        <v>0</v>
      </c>
      <c r="AO148" s="189">
        <f t="shared" si="194"/>
        <v>0</v>
      </c>
      <c r="AP148" s="189">
        <f t="shared" si="194"/>
        <v>0</v>
      </c>
      <c r="AQ148" s="133">
        <f t="shared" si="189"/>
        <v>0</v>
      </c>
      <c r="AR148" s="189">
        <f t="shared" ref="AR148:AU148" si="195">AQ148</f>
        <v>0</v>
      </c>
      <c r="AS148" s="189">
        <f t="shared" si="195"/>
        <v>0</v>
      </c>
      <c r="AT148" s="189">
        <f t="shared" si="195"/>
        <v>0</v>
      </c>
      <c r="AU148" s="189">
        <f t="shared" si="195"/>
        <v>0</v>
      </c>
      <c r="AV148" s="133">
        <f t="shared" si="190"/>
        <v>0</v>
      </c>
      <c r="AW148" s="189">
        <f t="shared" ref="AW148:AZ148" si="196">AV148</f>
        <v>0</v>
      </c>
      <c r="AX148" s="189">
        <f t="shared" si="196"/>
        <v>0</v>
      </c>
      <c r="AY148" s="189">
        <f t="shared" si="196"/>
        <v>0</v>
      </c>
      <c r="AZ148" s="189">
        <f t="shared" si="196"/>
        <v>0</v>
      </c>
      <c r="BA148" s="133">
        <f t="shared" si="191"/>
        <v>0</v>
      </c>
      <c r="BB148" s="189">
        <f>BA148</f>
        <v>0</v>
      </c>
      <c r="BC148" s="189">
        <f>BB148</f>
        <v>0</v>
      </c>
      <c r="BD148" s="189">
        <f>BC148</f>
        <v>0</v>
      </c>
      <c r="BE148" s="189">
        <f>BD148</f>
        <v>0</v>
      </c>
      <c r="BF148" s="133">
        <f t="shared" si="192"/>
        <v>0</v>
      </c>
      <c r="BG148" s="189">
        <f>BF148</f>
        <v>0</v>
      </c>
      <c r="BH148" s="189">
        <f>BG148</f>
        <v>0</v>
      </c>
      <c r="BI148" s="189">
        <f>BH148</f>
        <v>0</v>
      </c>
      <c r="BJ148" s="189">
        <f>BI148</f>
        <v>0</v>
      </c>
      <c r="BK148" s="133">
        <f t="shared" si="193"/>
        <v>0</v>
      </c>
    </row>
    <row r="149" spans="2:63" ht="14.4" hidden="1" customHeight="1" outlineLevel="1" x14ac:dyDescent="0.3">
      <c r="B149" s="726" t="s">
        <v>168</v>
      </c>
      <c r="C149" s="728"/>
      <c r="D149" s="36">
        <v>0</v>
      </c>
      <c r="E149" s="72">
        <v>0</v>
      </c>
      <c r="F149" s="72">
        <v>2952</v>
      </c>
      <c r="G149" s="37">
        <v>4414</v>
      </c>
      <c r="H149" s="4">
        <f t="shared" si="182"/>
        <v>4414</v>
      </c>
      <c r="I149" s="36">
        <v>4847</v>
      </c>
      <c r="J149" s="5">
        <v>5297</v>
      </c>
      <c r="K149" s="5">
        <v>5369</v>
      </c>
      <c r="L149" s="37">
        <v>6348</v>
      </c>
      <c r="M149" s="4">
        <f t="shared" si="183"/>
        <v>6348</v>
      </c>
      <c r="N149" s="71">
        <v>7554</v>
      </c>
      <c r="O149" s="5">
        <v>6727</v>
      </c>
      <c r="P149" s="5">
        <v>6641</v>
      </c>
      <c r="Q149" s="37">
        <v>7762</v>
      </c>
      <c r="R149" s="4">
        <f t="shared" si="184"/>
        <v>7762</v>
      </c>
      <c r="S149" s="36">
        <v>9936</v>
      </c>
      <c r="T149" s="5">
        <v>6252</v>
      </c>
      <c r="U149" s="5">
        <v>4614</v>
      </c>
      <c r="V149" s="37">
        <v>7539</v>
      </c>
      <c r="W149" s="4">
        <f t="shared" si="185"/>
        <v>7539</v>
      </c>
      <c r="X149" s="36">
        <v>10998</v>
      </c>
      <c r="Y149" s="5">
        <v>6120</v>
      </c>
      <c r="Z149" s="5">
        <v>6053</v>
      </c>
      <c r="AA149" s="37">
        <v>9759</v>
      </c>
      <c r="AB149" s="4">
        <f t="shared" si="186"/>
        <v>9759</v>
      </c>
      <c r="AC149" s="50">
        <v>13267</v>
      </c>
      <c r="AD149" s="50">
        <v>7259</v>
      </c>
      <c r="AE149" s="189">
        <v>9537</v>
      </c>
      <c r="AF149" s="189">
        <v>13494</v>
      </c>
      <c r="AG149" s="4">
        <f t="shared" si="187"/>
        <v>13494</v>
      </c>
      <c r="AH149" s="189">
        <v>11668</v>
      </c>
      <c r="AI149" s="189">
        <v>7595</v>
      </c>
      <c r="AJ149" s="189">
        <v>7328</v>
      </c>
      <c r="AK149" s="189">
        <v>13545</v>
      </c>
      <c r="AL149" s="4">
        <f t="shared" si="188"/>
        <v>13545</v>
      </c>
      <c r="AM149" s="189">
        <v>13920</v>
      </c>
      <c r="AN149" s="189">
        <v>9033</v>
      </c>
      <c r="AO149" s="189">
        <f>(AO14/AO183*2)-AN149</f>
        <v>8822.5213974860635</v>
      </c>
      <c r="AP149" s="189">
        <f>(AP14/AP183*2)-AO149</f>
        <v>16596.883889886041</v>
      </c>
      <c r="AQ149" s="133">
        <f t="shared" si="189"/>
        <v>16596.883889886041</v>
      </c>
      <c r="AR149" s="189">
        <f>(AR14/AR183*2)-AP149</f>
        <v>16651.031434980876</v>
      </c>
      <c r="AS149" s="189">
        <f>(AS14/AS183*2)-AR149</f>
        <v>12922.436354882757</v>
      </c>
      <c r="AT149" s="189">
        <f>(AT14/AT183*2)-AS149</f>
        <v>10326.633525955513</v>
      </c>
      <c r="AU149" s="189">
        <f>(AU14/AU183*2)-AT149</f>
        <v>20743.966473540084</v>
      </c>
      <c r="AV149" s="133">
        <f t="shared" si="190"/>
        <v>20743.966473540084</v>
      </c>
      <c r="AW149" s="189">
        <f>(AW14/AW183*2)-AU149</f>
        <v>17817.579877639026</v>
      </c>
      <c r="AX149" s="189">
        <f>(AX14/AX183*2)-AW149</f>
        <v>13347.098447840835</v>
      </c>
      <c r="AY149" s="189">
        <f>(AY14/AY183*2)-AX149</f>
        <v>10598.347390756371</v>
      </c>
      <c r="AZ149" s="189">
        <f>(AZ14/AZ183*2)-AY149</f>
        <v>24899.666353324876</v>
      </c>
      <c r="BA149" s="133">
        <f t="shared" si="191"/>
        <v>24899.666353324876</v>
      </c>
      <c r="BB149" s="189">
        <f>(BB14/BB183*2)-AZ149</f>
        <v>18556.244094491554</v>
      </c>
      <c r="BC149" s="189">
        <f>(BC14/BC183*2)-BB149</f>
        <v>13117.810779913681</v>
      </c>
      <c r="BD149" s="189">
        <f>(BD14/BD183*2)-BC149</f>
        <v>12263.194628680434</v>
      </c>
      <c r="BE149" s="189">
        <f>(BE14/BE183*2)-BD149</f>
        <v>28930.917144783507</v>
      </c>
      <c r="BF149" s="133">
        <f t="shared" si="192"/>
        <v>28930.917144783507</v>
      </c>
      <c r="BG149" s="189">
        <f>(BG14/BG183*2)-BE149</f>
        <v>18835.254486442009</v>
      </c>
      <c r="BH149" s="189">
        <f>(BH14/BH183*2)-BG149</f>
        <v>14942.338604228582</v>
      </c>
      <c r="BI149" s="189">
        <f>(BI14/BI183*2)-BH149</f>
        <v>12478.370124008226</v>
      </c>
      <c r="BJ149" s="189">
        <f>(BJ14/BJ183*2)-BI149</f>
        <v>33307.535093935192</v>
      </c>
      <c r="BK149" s="133">
        <f t="shared" si="193"/>
        <v>33307.535093935192</v>
      </c>
    </row>
    <row r="150" spans="2:63" ht="16.2" hidden="1" customHeight="1" outlineLevel="1" x14ac:dyDescent="0.45">
      <c r="B150" s="726" t="s">
        <v>18</v>
      </c>
      <c r="C150" s="728"/>
      <c r="D150" s="34">
        <v>3690</v>
      </c>
      <c r="E150" s="248">
        <v>4515</v>
      </c>
      <c r="F150" s="248">
        <v>3188</v>
      </c>
      <c r="G150" s="35">
        <v>3447</v>
      </c>
      <c r="H150" s="7">
        <f t="shared" si="182"/>
        <v>3447</v>
      </c>
      <c r="I150" s="34">
        <v>3467</v>
      </c>
      <c r="J150" s="8">
        <v>4055</v>
      </c>
      <c r="K150" s="8">
        <v>4251</v>
      </c>
      <c r="L150" s="35">
        <v>4529</v>
      </c>
      <c r="M150" s="7">
        <f t="shared" si="183"/>
        <v>4529</v>
      </c>
      <c r="N150" s="247">
        <v>4958</v>
      </c>
      <c r="O150" s="8">
        <v>5050</v>
      </c>
      <c r="P150" s="8">
        <v>6560</v>
      </c>
      <c r="Q150" s="35">
        <v>6458</v>
      </c>
      <c r="R150" s="7">
        <f t="shared" si="184"/>
        <v>6458</v>
      </c>
      <c r="S150" s="34">
        <v>6644</v>
      </c>
      <c r="T150" s="8">
        <v>6377</v>
      </c>
      <c r="U150" s="8">
        <v>7270</v>
      </c>
      <c r="V150" s="35">
        <v>6882</v>
      </c>
      <c r="W150" s="7">
        <f t="shared" si="185"/>
        <v>6882</v>
      </c>
      <c r="X150" s="34">
        <v>8574</v>
      </c>
      <c r="Y150" s="8">
        <v>7528</v>
      </c>
      <c r="Z150" s="8">
        <v>7825</v>
      </c>
      <c r="AA150" s="35">
        <v>9806</v>
      </c>
      <c r="AB150" s="7">
        <f t="shared" si="186"/>
        <v>9806</v>
      </c>
      <c r="AC150" s="76">
        <v>13635</v>
      </c>
      <c r="AD150" s="76">
        <v>9094</v>
      </c>
      <c r="AE150" s="76">
        <v>9291</v>
      </c>
      <c r="AF150" s="76">
        <v>9539</v>
      </c>
      <c r="AG150" s="7">
        <f t="shared" si="187"/>
        <v>9539</v>
      </c>
      <c r="AH150" s="76">
        <v>11073</v>
      </c>
      <c r="AI150" s="76">
        <v>10204</v>
      </c>
      <c r="AJ150" s="76">
        <v>11132</v>
      </c>
      <c r="AK150" s="76">
        <v>8283</v>
      </c>
      <c r="AL150" s="7">
        <f t="shared" si="188"/>
        <v>8283</v>
      </c>
      <c r="AM150" s="76">
        <v>12191</v>
      </c>
      <c r="AN150" s="76">
        <v>11367</v>
      </c>
      <c r="AO150" s="76">
        <f t="shared" ref="AO150:AP150" si="197">AN150*(AJ150/AI150)</f>
        <v>12400.768718149746</v>
      </c>
      <c r="AP150" s="76">
        <f t="shared" si="197"/>
        <v>9227.0541944335564</v>
      </c>
      <c r="AQ150" s="7">
        <f t="shared" si="189"/>
        <v>9227.0541944335564</v>
      </c>
      <c r="AR150" s="76">
        <f>AP150*(AM150/AK150)</f>
        <v>13580.4681497452</v>
      </c>
      <c r="AS150" s="76">
        <f>AR150*(AN150/AM150)</f>
        <v>12662.552822422582</v>
      </c>
      <c r="AT150" s="76">
        <f>AS150*(AO150/AN150)</f>
        <v>13814.145239044316</v>
      </c>
      <c r="AU150" s="76">
        <f>AT150*(AP150/AO150)</f>
        <v>10278.706882411432</v>
      </c>
      <c r="AV150" s="7">
        <f t="shared" si="190"/>
        <v>10278.706882411432</v>
      </c>
      <c r="AW150" s="76">
        <f>AU150*(AR150/AP150)</f>
        <v>15128.300809305538</v>
      </c>
      <c r="AX150" s="76">
        <f>AW150*(AS150/AR150)</f>
        <v>14105.766163512104</v>
      </c>
      <c r="AY150" s="76">
        <f>AX150*(AT150/AS150)</f>
        <v>15388.611224247035</v>
      </c>
      <c r="AZ150" s="76">
        <f>AY150*(AU150/AT150)</f>
        <v>11450.221592745078</v>
      </c>
      <c r="BA150" s="7">
        <f t="shared" si="191"/>
        <v>11450.221592745078</v>
      </c>
      <c r="BB150" s="76">
        <f>AZ150*(AW150/AU150)</f>
        <v>16852.547559719336</v>
      </c>
      <c r="BC150" s="76">
        <f>BB150*(AX150/AW150)</f>
        <v>15713.469617859873</v>
      </c>
      <c r="BD150" s="76">
        <f>BC150*(AY150/AX150)</f>
        <v>17142.526831244231</v>
      </c>
      <c r="BE150" s="76">
        <f>BD150*(AZ150/AY150)</f>
        <v>12755.259588860579</v>
      </c>
      <c r="BF150" s="7">
        <f t="shared" si="192"/>
        <v>12755.259588860579</v>
      </c>
      <c r="BG150" s="76">
        <f>BE150*(BB150/AZ150)</f>
        <v>18773.315181431768</v>
      </c>
      <c r="BH150" s="76">
        <f>BG150*(BC150/BB150)</f>
        <v>17504.410931616349</v>
      </c>
      <c r="BI150" s="76">
        <f>BH150*(BD150/BC150)</f>
        <v>19096.344814852335</v>
      </c>
      <c r="BJ150" s="76">
        <f>BI150*(BE150/BD150)</f>
        <v>14209.039175478072</v>
      </c>
      <c r="BK150" s="7">
        <f t="shared" si="193"/>
        <v>14209.039175478072</v>
      </c>
    </row>
    <row r="151" spans="2:63" ht="14.4" hidden="1" customHeight="1" outlineLevel="1" x14ac:dyDescent="0.3">
      <c r="B151" s="722" t="s">
        <v>12</v>
      </c>
      <c r="C151" s="723"/>
      <c r="D151" s="14">
        <f t="shared" ref="D151:AI151" si="198">SUM(D144:D150)</f>
        <v>33332</v>
      </c>
      <c r="E151" s="115">
        <f t="shared" si="198"/>
        <v>32336</v>
      </c>
      <c r="F151" s="115">
        <f t="shared" si="198"/>
        <v>36033</v>
      </c>
      <c r="G151" s="15">
        <f t="shared" si="198"/>
        <v>41678</v>
      </c>
      <c r="H151" s="9">
        <f t="shared" si="198"/>
        <v>41678</v>
      </c>
      <c r="I151" s="14">
        <f t="shared" si="198"/>
        <v>43927</v>
      </c>
      <c r="J151" s="10">
        <f t="shared" si="198"/>
        <v>46997</v>
      </c>
      <c r="K151" s="10">
        <f t="shared" si="198"/>
        <v>46898</v>
      </c>
      <c r="L151" s="15">
        <f t="shared" si="198"/>
        <v>44988</v>
      </c>
      <c r="M151" s="9">
        <f t="shared" si="198"/>
        <v>44988</v>
      </c>
      <c r="N151" s="117">
        <f t="shared" si="198"/>
        <v>54771</v>
      </c>
      <c r="O151" s="10">
        <f t="shared" si="198"/>
        <v>50712</v>
      </c>
      <c r="P151" s="10">
        <f t="shared" si="198"/>
        <v>51943</v>
      </c>
      <c r="Q151" s="15">
        <f t="shared" si="198"/>
        <v>57653</v>
      </c>
      <c r="R151" s="9">
        <f t="shared" si="198"/>
        <v>57653</v>
      </c>
      <c r="S151" s="14">
        <f t="shared" si="198"/>
        <v>72348</v>
      </c>
      <c r="T151" s="10">
        <f t="shared" si="198"/>
        <v>63337</v>
      </c>
      <c r="U151" s="10">
        <f t="shared" si="198"/>
        <v>68219</v>
      </c>
      <c r="V151" s="15">
        <f t="shared" si="198"/>
        <v>73286</v>
      </c>
      <c r="W151" s="9">
        <f t="shared" si="198"/>
        <v>73286</v>
      </c>
      <c r="X151" s="14">
        <f t="shared" si="198"/>
        <v>80347</v>
      </c>
      <c r="Y151" s="10">
        <f t="shared" si="198"/>
        <v>70541</v>
      </c>
      <c r="Z151" s="10">
        <f t="shared" si="198"/>
        <v>67949</v>
      </c>
      <c r="AA151" s="15">
        <f t="shared" si="198"/>
        <v>68531</v>
      </c>
      <c r="AB151" s="9">
        <f t="shared" si="198"/>
        <v>68531</v>
      </c>
      <c r="AC151" s="49">
        <f t="shared" si="198"/>
        <v>83403</v>
      </c>
      <c r="AD151" s="47">
        <f t="shared" si="198"/>
        <v>67891</v>
      </c>
      <c r="AE151" s="49">
        <f t="shared" si="198"/>
        <v>70953</v>
      </c>
      <c r="AF151" s="49">
        <f t="shared" si="198"/>
        <v>89378</v>
      </c>
      <c r="AG151" s="9">
        <f t="shared" si="198"/>
        <v>89378</v>
      </c>
      <c r="AH151" s="47">
        <f t="shared" si="198"/>
        <v>76219</v>
      </c>
      <c r="AI151" s="49">
        <f t="shared" si="198"/>
        <v>87592</v>
      </c>
      <c r="AJ151" s="49">
        <f t="shared" ref="AJ151:BK151" si="199">SUM(AJ144:AJ150)</f>
        <v>93761</v>
      </c>
      <c r="AK151" s="49">
        <f t="shared" si="199"/>
        <v>106869</v>
      </c>
      <c r="AL151" s="9">
        <f t="shared" si="199"/>
        <v>106869</v>
      </c>
      <c r="AM151" s="49">
        <f t="shared" si="199"/>
        <v>103332</v>
      </c>
      <c r="AN151" s="47">
        <f>SUM(AN144:AN150)</f>
        <v>101990</v>
      </c>
      <c r="AO151" s="47">
        <f t="shared" si="199"/>
        <v>103517.5482746804</v>
      </c>
      <c r="AP151" s="47">
        <f t="shared" si="199"/>
        <v>117077.68041782519</v>
      </c>
      <c r="AQ151" s="9">
        <f t="shared" si="199"/>
        <v>117077.68041782519</v>
      </c>
      <c r="AR151" s="47">
        <f t="shared" si="199"/>
        <v>128707.49392958354</v>
      </c>
      <c r="AS151" s="47">
        <f t="shared" si="199"/>
        <v>131614.89895338818</v>
      </c>
      <c r="AT151" s="47">
        <f t="shared" si="199"/>
        <v>130551.05673468606</v>
      </c>
      <c r="AU151" s="47">
        <f t="shared" si="199"/>
        <v>152209.92366284359</v>
      </c>
      <c r="AV151" s="9">
        <f t="shared" si="199"/>
        <v>152209.92366284359</v>
      </c>
      <c r="AW151" s="47">
        <f t="shared" si="199"/>
        <v>158789.96457183998</v>
      </c>
      <c r="AX151" s="47">
        <f t="shared" si="199"/>
        <v>153312.67736108322</v>
      </c>
      <c r="AY151" s="47">
        <f t="shared" si="199"/>
        <v>151638.58502755567</v>
      </c>
      <c r="AZ151" s="47">
        <f t="shared" si="199"/>
        <v>181921.43659558799</v>
      </c>
      <c r="BA151" s="9">
        <f t="shared" si="199"/>
        <v>181921.43659558799</v>
      </c>
      <c r="BB151" s="47">
        <f t="shared" si="199"/>
        <v>178569.12908725065</v>
      </c>
      <c r="BC151" s="47">
        <f t="shared" si="199"/>
        <v>168647.15015193651</v>
      </c>
      <c r="BD151" s="47">
        <f t="shared" si="199"/>
        <v>170666.111457427</v>
      </c>
      <c r="BE151" s="47">
        <f t="shared" si="199"/>
        <v>205903.55486692651</v>
      </c>
      <c r="BF151" s="9">
        <f t="shared" si="199"/>
        <v>205903.55486692651</v>
      </c>
      <c r="BG151" s="47">
        <f t="shared" si="199"/>
        <v>188435.79313180264</v>
      </c>
      <c r="BH151" s="47">
        <f t="shared" si="199"/>
        <v>182812.17648097314</v>
      </c>
      <c r="BI151" s="47">
        <f t="shared" si="199"/>
        <v>178777.80946980257</v>
      </c>
      <c r="BJ151" s="47">
        <f t="shared" si="199"/>
        <v>223410.77412264122</v>
      </c>
      <c r="BK151" s="9">
        <f t="shared" si="199"/>
        <v>223410.77412264122</v>
      </c>
    </row>
    <row r="152" spans="2:63" ht="14.4" hidden="1" customHeight="1" outlineLevel="1" x14ac:dyDescent="0.3">
      <c r="B152" s="726" t="s">
        <v>154</v>
      </c>
      <c r="C152" s="728"/>
      <c r="D152" s="36">
        <v>15024</v>
      </c>
      <c r="E152" s="72">
        <v>18549</v>
      </c>
      <c r="F152" s="72">
        <v>21551</v>
      </c>
      <c r="G152" s="37">
        <v>25391</v>
      </c>
      <c r="H152" s="4">
        <f>G152</f>
        <v>25391</v>
      </c>
      <c r="I152" s="36">
        <v>32730</v>
      </c>
      <c r="J152" s="5">
        <v>36533</v>
      </c>
      <c r="K152" s="5">
        <v>47761</v>
      </c>
      <c r="L152" s="37">
        <v>55618</v>
      </c>
      <c r="M152" s="4">
        <f>L152</f>
        <v>55618</v>
      </c>
      <c r="N152" s="71">
        <v>67445</v>
      </c>
      <c r="O152" s="5">
        <v>81638</v>
      </c>
      <c r="P152" s="5">
        <v>89567</v>
      </c>
      <c r="Q152" s="37">
        <v>92122</v>
      </c>
      <c r="R152" s="4">
        <f>Q152</f>
        <v>92122</v>
      </c>
      <c r="S152" s="36">
        <v>97292</v>
      </c>
      <c r="T152" s="5">
        <v>105550</v>
      </c>
      <c r="U152" s="5">
        <v>104014</v>
      </c>
      <c r="V152" s="37">
        <v>106215</v>
      </c>
      <c r="W152" s="4">
        <f>V152</f>
        <v>106215</v>
      </c>
      <c r="X152" s="36">
        <v>118131</v>
      </c>
      <c r="Y152" s="5">
        <v>109239</v>
      </c>
      <c r="Z152" s="5">
        <v>126685</v>
      </c>
      <c r="AA152" s="37">
        <v>130162</v>
      </c>
      <c r="AB152" s="4">
        <f>AA152</f>
        <v>130162</v>
      </c>
      <c r="AC152" s="50">
        <v>145492</v>
      </c>
      <c r="AD152" s="44">
        <v>160443</v>
      </c>
      <c r="AE152" s="189">
        <v>168145</v>
      </c>
      <c r="AF152" s="189">
        <v>164065</v>
      </c>
      <c r="AG152" s="4">
        <f>AF152</f>
        <v>164065</v>
      </c>
      <c r="AH152" s="44">
        <v>177665</v>
      </c>
      <c r="AI152" s="189">
        <v>177645</v>
      </c>
      <c r="AJ152" s="189">
        <v>169764</v>
      </c>
      <c r="AK152" s="189">
        <v>170430</v>
      </c>
      <c r="AL152" s="4">
        <f>AK152</f>
        <v>170430</v>
      </c>
      <c r="AM152" s="189">
        <v>185638</v>
      </c>
      <c r="AN152" s="189">
        <v>189740</v>
      </c>
      <c r="AO152" s="189">
        <f>+(AN145+AN152)*(1+AO180)*(1-AO181)</f>
        <v>193704.18537755535</v>
      </c>
      <c r="AP152" s="189">
        <f>+(AO145+AO152)*(1+AP180)*(1-AP181)</f>
        <v>195492.38451508342</v>
      </c>
      <c r="AQ152" s="4">
        <f>AP152</f>
        <v>195492.38451508342</v>
      </c>
      <c r="AR152" s="189">
        <f>+(AP145+AP152)*(1+AR180)*(1-AR181)</f>
        <v>207738.82161764303</v>
      </c>
      <c r="AS152" s="189">
        <f>+(AR145+AR152)*(1+AS180)*(1-AS181)</f>
        <v>213083.16850602691</v>
      </c>
      <c r="AT152" s="189">
        <f>+(AS145+AS152)*(1+AT180)*(1-AT181)</f>
        <v>215658.69259942597</v>
      </c>
      <c r="AU152" s="189">
        <f>+(AT145+AT152)*(1+AU180)*(1-AU181)</f>
        <v>217795.48094723036</v>
      </c>
      <c r="AV152" s="4">
        <f>AU152</f>
        <v>217795.48094723036</v>
      </c>
      <c r="AW152" s="189">
        <f>+(AU145+AU152)*(1+AW180)*(1-AW181)</f>
        <v>230880.90649527934</v>
      </c>
      <c r="AX152" s="189">
        <f>+(AW145+AW152)*(1+AX180)*(1-AX181)</f>
        <v>237681.87845922326</v>
      </c>
      <c r="AY152" s="189">
        <f>+(AX145+AX152)*(1+AY180)*(1-AY181)</f>
        <v>240149.98270943371</v>
      </c>
      <c r="AZ152" s="189">
        <f>+(AY145+AY152)*(1+AZ180)*(1-AZ181)</f>
        <v>242541.67374521276</v>
      </c>
      <c r="BA152" s="4">
        <f>AZ152</f>
        <v>242541.67374521276</v>
      </c>
      <c r="BB152" s="189">
        <f>+(AZ145+AZ152)*(1+BB180)*(1-BB181)</f>
        <v>257087.02092275559</v>
      </c>
      <c r="BC152" s="189">
        <f>+(BB145+BB152)*(1+BC180)*(1-BC181)</f>
        <v>264785.34652153717</v>
      </c>
      <c r="BD152" s="189">
        <f>+(BC145+BC152)*(1+BD180)*(1-BD181)</f>
        <v>267450.44574034598</v>
      </c>
      <c r="BE152" s="189">
        <f>+(BD145+BD152)*(1+BE180)*(1-BE181)</f>
        <v>270121.0516029587</v>
      </c>
      <c r="BF152" s="4">
        <f>BE152</f>
        <v>270121.0516029587</v>
      </c>
      <c r="BG152" s="189">
        <f>+(BE145+BE152)*(1+BG180)*(1-BG181)</f>
        <v>286326.04405196157</v>
      </c>
      <c r="BH152" s="189">
        <f>+(BG145+BG152)*(1+BH180)*(1-BH181)</f>
        <v>294914.95339063142</v>
      </c>
      <c r="BI152" s="189">
        <f>+(BH145+BH152)*(1+BI180)*(1-BI181)</f>
        <v>297867.01929136674</v>
      </c>
      <c r="BJ152" s="189">
        <f>+(BI145+BI152)*(1+BJ180)*(1-BJ181)</f>
        <v>300844.52153522958</v>
      </c>
      <c r="BK152" s="4">
        <f>BJ152</f>
        <v>300844.52153522958</v>
      </c>
    </row>
    <row r="153" spans="2:63" hidden="1" outlineLevel="1" x14ac:dyDescent="0.3">
      <c r="B153" s="726" t="s">
        <v>13</v>
      </c>
      <c r="C153" s="728"/>
      <c r="D153" s="36">
        <v>3115</v>
      </c>
      <c r="E153" s="72">
        <v>3504</v>
      </c>
      <c r="F153" s="72">
        <v>3990</v>
      </c>
      <c r="G153" s="37">
        <v>4768</v>
      </c>
      <c r="H153" s="4">
        <f>G153</f>
        <v>4768</v>
      </c>
      <c r="I153" s="36">
        <v>5868</v>
      </c>
      <c r="J153" s="5">
        <v>6241</v>
      </c>
      <c r="K153" s="5">
        <v>6749</v>
      </c>
      <c r="L153" s="37">
        <v>7777</v>
      </c>
      <c r="M153" s="4">
        <f>L153</f>
        <v>7777</v>
      </c>
      <c r="N153" s="71">
        <v>7816</v>
      </c>
      <c r="O153" s="5">
        <v>8847</v>
      </c>
      <c r="P153" s="5">
        <v>10487</v>
      </c>
      <c r="Q153" s="37">
        <v>15452</v>
      </c>
      <c r="R153" s="4">
        <f>Q153</f>
        <v>15452</v>
      </c>
      <c r="S153" s="36">
        <v>15422</v>
      </c>
      <c r="T153" s="5">
        <v>15026</v>
      </c>
      <c r="U153" s="5">
        <v>16327</v>
      </c>
      <c r="V153" s="37">
        <v>16597</v>
      </c>
      <c r="W153" s="4">
        <f>V153</f>
        <v>16597</v>
      </c>
      <c r="X153" s="36">
        <v>15488</v>
      </c>
      <c r="Y153" s="5">
        <v>15120</v>
      </c>
      <c r="Z153" s="5">
        <v>17585</v>
      </c>
      <c r="AA153" s="37">
        <v>20624</v>
      </c>
      <c r="AB153" s="4">
        <f>AA153</f>
        <v>20624</v>
      </c>
      <c r="AC153" s="50">
        <v>20392</v>
      </c>
      <c r="AD153" s="50">
        <v>20151</v>
      </c>
      <c r="AE153" s="189">
        <v>21149</v>
      </c>
      <c r="AF153" s="189">
        <v>22471</v>
      </c>
      <c r="AG153" s="4">
        <f>AF153</f>
        <v>22471</v>
      </c>
      <c r="AH153" s="50">
        <v>22300</v>
      </c>
      <c r="AI153" s="189">
        <v>23203</v>
      </c>
      <c r="AJ153" s="189">
        <v>25448</v>
      </c>
      <c r="AK153" s="189">
        <v>27010</v>
      </c>
      <c r="AL153" s="4">
        <f>AK153</f>
        <v>27010</v>
      </c>
      <c r="AM153" s="189">
        <v>26510</v>
      </c>
      <c r="AN153" s="189">
        <v>27163</v>
      </c>
      <c r="AO153" s="189">
        <f>AN153-AO224-AO203</f>
        <v>27731.171348561857</v>
      </c>
      <c r="AP153" s="189">
        <f>AO153-AP224-AP203</f>
        <v>28220.960524036476</v>
      </c>
      <c r="AQ153" s="4">
        <f>AP153</f>
        <v>28220.960524036476</v>
      </c>
      <c r="AR153" s="189">
        <f>AP153-AR224-AR203</f>
        <v>28624.692937681844</v>
      </c>
      <c r="AS153" s="189">
        <f>AR153-AS224-AS203</f>
        <v>29120.853349272824</v>
      </c>
      <c r="AT153" s="189">
        <f>AS153-AT224-AT203</f>
        <v>29559.67346617096</v>
      </c>
      <c r="AU153" s="189">
        <f>AT153-AU224-AU203</f>
        <v>30008.413264025054</v>
      </c>
      <c r="AV153" s="4">
        <f>AU153</f>
        <v>30008.413264025054</v>
      </c>
      <c r="AW153" s="189">
        <f>AU153-AW224-AW203</f>
        <v>30352.086568693703</v>
      </c>
      <c r="AX153" s="189">
        <f>AW153-AX224-AX203</f>
        <v>30709.336967098516</v>
      </c>
      <c r="AY153" s="189">
        <f>AX153-AY224-AY203</f>
        <v>31059.524707493441</v>
      </c>
      <c r="AZ153" s="189">
        <f>AY153-AZ224-AZ203</f>
        <v>31415.8587758346</v>
      </c>
      <c r="BA153" s="4">
        <f>AZ153</f>
        <v>31415.8587758346</v>
      </c>
      <c r="BB153" s="189">
        <f>AZ153-BB224-BB203</f>
        <v>31728.869800599234</v>
      </c>
      <c r="BC153" s="189">
        <f>BB153-BC224-BC203</f>
        <v>32046.288013579895</v>
      </c>
      <c r="BD153" s="189">
        <f>BC153-BD224-BD203</f>
        <v>32365.725904122024</v>
      </c>
      <c r="BE153" s="189">
        <f>BD153-BE224-BE203</f>
        <v>32689.580133513751</v>
      </c>
      <c r="BF153" s="4">
        <f>BE153</f>
        <v>32689.580133513751</v>
      </c>
      <c r="BG153" s="189">
        <f>BE153-BG224-BG203</f>
        <v>32997.410399002256</v>
      </c>
      <c r="BH153" s="189">
        <f>BG153-BH224-BH203</f>
        <v>33308.914063707554</v>
      </c>
      <c r="BI153" s="189">
        <f>BH153-BI224-BI203</f>
        <v>33623.909866106842</v>
      </c>
      <c r="BJ153" s="189">
        <f>BI153-BJ224-BJ203</f>
        <v>33942.79414364323</v>
      </c>
      <c r="BK153" s="4">
        <f>BJ153</f>
        <v>33942.79414364323</v>
      </c>
    </row>
    <row r="154" spans="2:63" hidden="1" outlineLevel="1" x14ac:dyDescent="0.3">
      <c r="B154" s="726" t="s">
        <v>155</v>
      </c>
      <c r="C154" s="728"/>
      <c r="D154" s="36">
        <v>253</v>
      </c>
      <c r="E154" s="72">
        <v>480</v>
      </c>
      <c r="F154" s="72">
        <v>714</v>
      </c>
      <c r="G154" s="37">
        <v>741</v>
      </c>
      <c r="H154" s="4">
        <f>G154</f>
        <v>741</v>
      </c>
      <c r="I154" s="36">
        <v>741</v>
      </c>
      <c r="J154" s="5">
        <v>741</v>
      </c>
      <c r="K154" s="5">
        <v>741</v>
      </c>
      <c r="L154" s="37">
        <v>896</v>
      </c>
      <c r="M154" s="4">
        <f>L154</f>
        <v>896</v>
      </c>
      <c r="N154" s="71">
        <v>896</v>
      </c>
      <c r="O154" s="5">
        <v>1141</v>
      </c>
      <c r="P154" s="5">
        <v>1132</v>
      </c>
      <c r="Q154" s="37">
        <v>1135</v>
      </c>
      <c r="R154" s="4">
        <f>Q154</f>
        <v>1135</v>
      </c>
      <c r="S154" s="36">
        <v>1381</v>
      </c>
      <c r="T154" s="5">
        <v>1400</v>
      </c>
      <c r="U154" s="5">
        <v>1522</v>
      </c>
      <c r="V154" s="37">
        <v>1577</v>
      </c>
      <c r="W154" s="4">
        <f>V154</f>
        <v>1577</v>
      </c>
      <c r="X154" s="36">
        <v>2022</v>
      </c>
      <c r="Y154" s="5">
        <v>2055</v>
      </c>
      <c r="Z154" s="5">
        <v>2374</v>
      </c>
      <c r="AA154" s="37">
        <v>4616</v>
      </c>
      <c r="AB154" s="4">
        <f>AA154</f>
        <v>4616</v>
      </c>
      <c r="AC154" s="50">
        <v>4629</v>
      </c>
      <c r="AD154" s="50">
        <v>4711</v>
      </c>
      <c r="AE154" s="189">
        <v>5044</v>
      </c>
      <c r="AF154" s="189">
        <v>5116</v>
      </c>
      <c r="AG154" s="4">
        <f>AF154</f>
        <v>5116</v>
      </c>
      <c r="AH154" s="189">
        <v>5202</v>
      </c>
      <c r="AI154" s="189">
        <v>5249</v>
      </c>
      <c r="AJ154" s="189">
        <v>5261</v>
      </c>
      <c r="AK154" s="189">
        <v>5414</v>
      </c>
      <c r="AL154" s="4">
        <f>AK154</f>
        <v>5414</v>
      </c>
      <c r="AM154" s="189">
        <v>5423</v>
      </c>
      <c r="AN154" s="189">
        <v>5473</v>
      </c>
      <c r="AO154" s="189">
        <f t="shared" ref="AO154" si="200">AN154*(AJ154/AI154)</f>
        <v>5485.5120975423888</v>
      </c>
      <c r="AP154" s="189">
        <f t="shared" ref="AP154" si="201">AO154*(AK154/AJ154)</f>
        <v>5645.0413412078497</v>
      </c>
      <c r="AQ154" s="4">
        <f>AP154</f>
        <v>5645.0413412078497</v>
      </c>
      <c r="AR154" s="189">
        <f>AP154*(AM154/AK154)</f>
        <v>5654.4254143646413</v>
      </c>
      <c r="AS154" s="189">
        <f>AR154*(AN154/AM154)</f>
        <v>5706.5591541245949</v>
      </c>
      <c r="AT154" s="189">
        <f>AS154*(AO154/AN154)</f>
        <v>5719.6052028671165</v>
      </c>
      <c r="AU154" s="189">
        <f>AT154*(AP154/AO154)</f>
        <v>5885.9423243342653</v>
      </c>
      <c r="AV154" s="4">
        <f>AU154</f>
        <v>5885.9423243342653</v>
      </c>
      <c r="AW154" s="189">
        <f>AU154*(AR154/AP154)</f>
        <v>5895.7268608911563</v>
      </c>
      <c r="AX154" s="189">
        <f>AW154*(AS154/AR154)</f>
        <v>5950.0853973183284</v>
      </c>
      <c r="AY154" s="189">
        <f>AX154*(AT154/AS154)</f>
        <v>5963.6881835190943</v>
      </c>
      <c r="AZ154" s="189">
        <f>AY154*(AU154/AT154)</f>
        <v>6137.1237075788595</v>
      </c>
      <c r="BA154" s="4">
        <f>AZ154</f>
        <v>6137.1237075788595</v>
      </c>
      <c r="BB154" s="189">
        <f>AZ154*(AW154/AU154)</f>
        <v>6147.3257972294341</v>
      </c>
      <c r="BC154" s="189">
        <f>BB154*(AX154/AW154)</f>
        <v>6204.0040730659575</v>
      </c>
      <c r="BD154" s="189">
        <f>BC154*(AY154/AX154)</f>
        <v>6218.1873553819778</v>
      </c>
      <c r="BE154" s="189">
        <f>BD154*(AZ154/AY154)</f>
        <v>6399.0242049112394</v>
      </c>
      <c r="BF154" s="4">
        <f>BE154</f>
        <v>6399.0242049112394</v>
      </c>
      <c r="BG154" s="189">
        <f>BE154*(BB154/AZ154)</f>
        <v>6409.661666648255</v>
      </c>
      <c r="BH154" s="189">
        <f>BG154*(BC154/BB154)</f>
        <v>6468.7586762983401</v>
      </c>
      <c r="BI154" s="189">
        <f>BH154*(BD154/BC154)</f>
        <v>6483.5472272824472</v>
      </c>
      <c r="BJ154" s="189">
        <f>BI154*(BE154/BD154)</f>
        <v>6672.1012523298177</v>
      </c>
      <c r="BK154" s="4">
        <f>BJ154</f>
        <v>6672.1012523298177</v>
      </c>
    </row>
    <row r="155" spans="2:63" hidden="1" outlineLevel="1" x14ac:dyDescent="0.3">
      <c r="B155" s="726" t="s">
        <v>156</v>
      </c>
      <c r="C155" s="728"/>
      <c r="D155" s="36">
        <v>241</v>
      </c>
      <c r="E155" s="72">
        <v>263</v>
      </c>
      <c r="F155" s="72">
        <v>318</v>
      </c>
      <c r="G155" s="37">
        <v>342</v>
      </c>
      <c r="H155" s="4">
        <f>G155</f>
        <v>342</v>
      </c>
      <c r="I155" s="36">
        <v>522</v>
      </c>
      <c r="J155" s="5">
        <v>507</v>
      </c>
      <c r="K155" s="5">
        <v>1169</v>
      </c>
      <c r="L155" s="37">
        <v>3536</v>
      </c>
      <c r="M155" s="4">
        <f>L155</f>
        <v>3536</v>
      </c>
      <c r="N155" s="71">
        <v>3472</v>
      </c>
      <c r="O155" s="5">
        <v>3604</v>
      </c>
      <c r="P155" s="5">
        <v>4329</v>
      </c>
      <c r="Q155" s="37">
        <v>4224</v>
      </c>
      <c r="R155" s="4">
        <f>Q155</f>
        <v>4224</v>
      </c>
      <c r="S155" s="36">
        <v>4462</v>
      </c>
      <c r="T155" s="5">
        <v>4136</v>
      </c>
      <c r="U155" s="5">
        <v>4353</v>
      </c>
      <c r="V155" s="37">
        <v>4179</v>
      </c>
      <c r="W155" s="4">
        <f>V155</f>
        <v>4179</v>
      </c>
      <c r="X155" s="36">
        <v>4105</v>
      </c>
      <c r="Y155" s="5">
        <v>3928</v>
      </c>
      <c r="Z155" s="5">
        <v>3767</v>
      </c>
      <c r="AA155" s="37">
        <v>4142</v>
      </c>
      <c r="AB155" s="4">
        <f>AA155</f>
        <v>4142</v>
      </c>
      <c r="AC155" s="50">
        <v>4370</v>
      </c>
      <c r="AD155" s="50">
        <v>4061</v>
      </c>
      <c r="AE155" s="189">
        <v>3779</v>
      </c>
      <c r="AF155" s="189">
        <v>3893</v>
      </c>
      <c r="AG155" s="4">
        <f>AF155</f>
        <v>3893</v>
      </c>
      <c r="AH155" s="189">
        <v>3924</v>
      </c>
      <c r="AI155" s="189">
        <v>3843</v>
      </c>
      <c r="AJ155" s="189">
        <v>3506</v>
      </c>
      <c r="AK155" s="189">
        <v>3206</v>
      </c>
      <c r="AL155" s="4">
        <f>AK155</f>
        <v>3206</v>
      </c>
      <c r="AM155" s="189">
        <v>2848</v>
      </c>
      <c r="AN155" s="189">
        <v>2617</v>
      </c>
      <c r="AO155" s="189">
        <f>AN155-AO225-AO202</f>
        <v>2388.5</v>
      </c>
      <c r="AP155" s="189">
        <f>AO155-AP225-AP202</f>
        <v>2153.6875</v>
      </c>
      <c r="AQ155" s="4">
        <f>AP155</f>
        <v>2153.6875</v>
      </c>
      <c r="AR155" s="189">
        <f>AP155-AR225-AR202</f>
        <v>1993.484375</v>
      </c>
      <c r="AS155" s="189">
        <f>AR155-AS225-AS202</f>
        <v>1828.10546875</v>
      </c>
      <c r="AT155" s="189">
        <f>AS155-AT225-AT202</f>
        <v>1667.7568359375</v>
      </c>
      <c r="AU155" s="189">
        <f>AT155-AU225-AU202</f>
        <v>1506.008544921875</v>
      </c>
      <c r="AV155" s="4">
        <f>AU155</f>
        <v>1506.008544921875</v>
      </c>
      <c r="AW155" s="189">
        <f>AU155-AW225-AW202</f>
        <v>1457.3388061523438</v>
      </c>
      <c r="AX155" s="189">
        <f>AW155-AX225-AX202</f>
        <v>1408.2399139404297</v>
      </c>
      <c r="AY155" s="189">
        <f>AX155-AY225-AY202</f>
        <v>1359.8985252380371</v>
      </c>
      <c r="AZ155" s="189">
        <f>AY155-AZ225-AZ202</f>
        <v>1311.2464475631714</v>
      </c>
      <c r="BA155" s="4">
        <f>AZ155</f>
        <v>1311.2464475631714</v>
      </c>
      <c r="BB155" s="189">
        <f>AZ155-BB225-BB202</f>
        <v>1311.0559232234955</v>
      </c>
      <c r="BC155" s="189">
        <f>BB155-BC225-BC202</f>
        <v>1310.8602024912834</v>
      </c>
      <c r="BD155" s="189">
        <f>BC155-BD225-BD202</f>
        <v>1310.7652746289968</v>
      </c>
      <c r="BE155" s="189">
        <f>BD155-BE225-BE202</f>
        <v>1310.6069619767368</v>
      </c>
      <c r="BF155" s="4">
        <f>BE155</f>
        <v>1310.6069619767368</v>
      </c>
      <c r="BG155" s="189">
        <f>BE155-BG225-BG202</f>
        <v>1330.4470905801281</v>
      </c>
      <c r="BH155" s="189">
        <f>BG155-BH225-BH202</f>
        <v>1350.2948824192863</v>
      </c>
      <c r="BI155" s="189">
        <f>BH155-BI225-BI202</f>
        <v>1370.153552401287</v>
      </c>
      <c r="BJ155" s="189">
        <f>BI155-BJ225-BJ202</f>
        <v>1390.0006218443596</v>
      </c>
      <c r="BK155" s="4">
        <f>BJ155</f>
        <v>1390.0006218443596</v>
      </c>
    </row>
    <row r="156" spans="2:63" ht="16.2" hidden="1" outlineLevel="1" x14ac:dyDescent="0.45">
      <c r="B156" s="726" t="s">
        <v>20</v>
      </c>
      <c r="C156" s="728"/>
      <c r="D156" s="34">
        <v>1961</v>
      </c>
      <c r="E156" s="248">
        <v>1925</v>
      </c>
      <c r="F156" s="248">
        <v>2119</v>
      </c>
      <c r="G156" s="35">
        <v>2263</v>
      </c>
      <c r="H156" s="7">
        <f>G156</f>
        <v>2263</v>
      </c>
      <c r="I156" s="34">
        <v>2954</v>
      </c>
      <c r="J156" s="8">
        <v>3885</v>
      </c>
      <c r="K156" s="8">
        <v>3440</v>
      </c>
      <c r="L156" s="35">
        <v>3556</v>
      </c>
      <c r="M156" s="7">
        <f>L156</f>
        <v>3556</v>
      </c>
      <c r="N156" s="247">
        <v>4281</v>
      </c>
      <c r="O156" s="8">
        <v>4992</v>
      </c>
      <c r="P156" s="8">
        <v>5438</v>
      </c>
      <c r="Q156" s="35">
        <v>5478</v>
      </c>
      <c r="R156" s="7">
        <f>Q156</f>
        <v>5478</v>
      </c>
      <c r="S156" s="34">
        <v>5183</v>
      </c>
      <c r="T156" s="8">
        <v>5294</v>
      </c>
      <c r="U156" s="8">
        <v>5421</v>
      </c>
      <c r="V156" s="35">
        <v>5146</v>
      </c>
      <c r="W156" s="7">
        <f>V156</f>
        <v>5146</v>
      </c>
      <c r="X156" s="34">
        <v>5091</v>
      </c>
      <c r="Y156" s="8">
        <v>5106</v>
      </c>
      <c r="Z156" s="8">
        <v>4160</v>
      </c>
      <c r="AA156" s="35">
        <v>3764</v>
      </c>
      <c r="AB156" s="7">
        <f>AA156</f>
        <v>3764</v>
      </c>
      <c r="AC156" s="76">
        <v>3608</v>
      </c>
      <c r="AD156" s="76">
        <v>3937</v>
      </c>
      <c r="AE156" s="76">
        <v>4081</v>
      </c>
      <c r="AF156" s="76">
        <v>5556</v>
      </c>
      <c r="AG156" s="7">
        <f>AF156</f>
        <v>5556</v>
      </c>
      <c r="AH156" s="76">
        <v>7974</v>
      </c>
      <c r="AI156" s="76">
        <v>7745</v>
      </c>
      <c r="AJ156" s="76">
        <v>7862</v>
      </c>
      <c r="AK156" s="76">
        <v>8757</v>
      </c>
      <c r="AL156" s="7">
        <f>AK156</f>
        <v>8757</v>
      </c>
      <c r="AM156" s="76">
        <v>7390</v>
      </c>
      <c r="AN156" s="76">
        <v>7549</v>
      </c>
      <c r="AO156" s="76">
        <f t="shared" ref="AO156" si="202">AN156*(AJ156/AI156)</f>
        <v>7663.0391220142019</v>
      </c>
      <c r="AP156" s="76">
        <f t="shared" ref="AP156" si="203">AO156*(AK156/AJ156)</f>
        <v>8535.3896707553267</v>
      </c>
      <c r="AQ156" s="7">
        <f>AP156</f>
        <v>8535.3896707553267</v>
      </c>
      <c r="AR156" s="76">
        <f>AP156*(AM156/AK156)</f>
        <v>7202.9838605551977</v>
      </c>
      <c r="AS156" s="76">
        <f>AR156*(AN156/AM156)</f>
        <v>7357.9601032924475</v>
      </c>
      <c r="AT156" s="76">
        <f>AS156*(AO156/AN156)</f>
        <v>7469.1132772221072</v>
      </c>
      <c r="AU156" s="76">
        <f>AT156*(AP156/AO156)</f>
        <v>8319.3875564276259</v>
      </c>
      <c r="AV156" s="7">
        <f>AU156</f>
        <v>8319.3875564276259</v>
      </c>
      <c r="AW156" s="76">
        <f>AU156*(AR156/AP156)</f>
        <v>7020.7004729930513</v>
      </c>
      <c r="AX156" s="76">
        <f>AW156*(AS156/AR156)</f>
        <v>7171.7547862820757</v>
      </c>
      <c r="AY156" s="76">
        <f>AX156*(AT156/AS156)</f>
        <v>7280.0950458037023</v>
      </c>
      <c r="AZ156" s="76">
        <f>AY156*(AU156/AT156)</f>
        <v>8108.8517318879458</v>
      </c>
      <c r="BA156" s="7">
        <f>AZ156</f>
        <v>8108.8517318879458</v>
      </c>
      <c r="BB156" s="76">
        <f>AZ156*(AW156/AU156)</f>
        <v>6843.0300672207286</v>
      </c>
      <c r="BC156" s="76">
        <f>BB156*(AX156/AW156)</f>
        <v>6990.2617019552472</v>
      </c>
      <c r="BD156" s="76">
        <f>BC156*(AY156/AX156)</f>
        <v>7095.8602325077018</v>
      </c>
      <c r="BE156" s="76">
        <f>BD156*(AZ156/AY156)</f>
        <v>7903.6438636568237</v>
      </c>
      <c r="BF156" s="7">
        <f>BE156</f>
        <v>7903.6438636568237</v>
      </c>
      <c r="BG156" s="76">
        <f>BE156*(BB156/AZ156)</f>
        <v>6669.8559041251483</v>
      </c>
      <c r="BH156" s="76">
        <f>BG156*(BC156/BB156)</f>
        <v>6813.3615994913043</v>
      </c>
      <c r="BI156" s="76">
        <f>BH156*(BD156/BC156)</f>
        <v>6916.2877850485002</v>
      </c>
      <c r="BJ156" s="76">
        <f>BI156*(BE156/BD156)</f>
        <v>7703.6291190116663</v>
      </c>
      <c r="BK156" s="7">
        <f>BJ156</f>
        <v>7703.6291190116663</v>
      </c>
    </row>
    <row r="157" spans="2:63" hidden="1" outlineLevel="1" x14ac:dyDescent="0.3">
      <c r="B157" s="722" t="s">
        <v>14</v>
      </c>
      <c r="C157" s="723"/>
      <c r="D157" s="14">
        <f>SUM(D151:D156)</f>
        <v>53926</v>
      </c>
      <c r="E157" s="115">
        <f t="shared" ref="E157:AH157" si="204">SUM(E151:E156)</f>
        <v>57057</v>
      </c>
      <c r="F157" s="115">
        <f t="shared" si="204"/>
        <v>64725</v>
      </c>
      <c r="G157" s="15">
        <f t="shared" si="204"/>
        <v>75183</v>
      </c>
      <c r="H157" s="9">
        <f t="shared" si="204"/>
        <v>75183</v>
      </c>
      <c r="I157" s="14">
        <f t="shared" si="204"/>
        <v>86742</v>
      </c>
      <c r="J157" s="10">
        <f t="shared" si="204"/>
        <v>94904</v>
      </c>
      <c r="K157" s="10">
        <f t="shared" si="204"/>
        <v>106758</v>
      </c>
      <c r="L157" s="15">
        <f t="shared" si="204"/>
        <v>116371</v>
      </c>
      <c r="M157" s="9">
        <f>SUM(M151:M156)</f>
        <v>116371</v>
      </c>
      <c r="N157" s="117">
        <f t="shared" si="204"/>
        <v>138681</v>
      </c>
      <c r="O157" s="10">
        <f t="shared" si="204"/>
        <v>150934</v>
      </c>
      <c r="P157" s="10">
        <f t="shared" si="204"/>
        <v>162896</v>
      </c>
      <c r="Q157" s="15">
        <f t="shared" si="204"/>
        <v>176064</v>
      </c>
      <c r="R157" s="9">
        <f>SUM(R151:R156)</f>
        <v>176064</v>
      </c>
      <c r="S157" s="14">
        <f t="shared" si="204"/>
        <v>196088</v>
      </c>
      <c r="T157" s="10">
        <f t="shared" si="204"/>
        <v>194743</v>
      </c>
      <c r="U157" s="10">
        <f t="shared" si="204"/>
        <v>199856</v>
      </c>
      <c r="V157" s="15">
        <f t="shared" si="204"/>
        <v>207000</v>
      </c>
      <c r="W157" s="9">
        <f>SUM(W151:W156)</f>
        <v>207000</v>
      </c>
      <c r="X157" s="14">
        <f t="shared" si="204"/>
        <v>225184</v>
      </c>
      <c r="Y157" s="10">
        <f t="shared" si="204"/>
        <v>205989</v>
      </c>
      <c r="Z157" s="10">
        <f t="shared" si="204"/>
        <v>222520</v>
      </c>
      <c r="AA157" s="15">
        <f t="shared" si="204"/>
        <v>231839</v>
      </c>
      <c r="AB157" s="9">
        <f>SUM(AB151:AB156)</f>
        <v>231839</v>
      </c>
      <c r="AC157" s="49">
        <f t="shared" si="204"/>
        <v>261894</v>
      </c>
      <c r="AD157" s="47">
        <f t="shared" si="204"/>
        <v>261194</v>
      </c>
      <c r="AE157" s="49">
        <f t="shared" si="204"/>
        <v>273151</v>
      </c>
      <c r="AF157" s="49">
        <f t="shared" si="204"/>
        <v>290479</v>
      </c>
      <c r="AG157" s="9">
        <f>SUM(AG151:AG156)</f>
        <v>290479</v>
      </c>
      <c r="AH157" s="47">
        <f t="shared" si="204"/>
        <v>293284</v>
      </c>
      <c r="AI157" s="49">
        <f t="shared" ref="AI157:AZ157" si="205">SUM(AI151:AI156)</f>
        <v>305277</v>
      </c>
      <c r="AJ157" s="49">
        <f t="shared" si="205"/>
        <v>305602</v>
      </c>
      <c r="AK157" s="49">
        <f t="shared" si="205"/>
        <v>321686</v>
      </c>
      <c r="AL157" s="9">
        <f>SUM(AL151:AL156)</f>
        <v>321686</v>
      </c>
      <c r="AM157" s="49">
        <f>SUM(AM151:AM156)</f>
        <v>331141</v>
      </c>
      <c r="AN157" s="47">
        <f>SUM(AN151:AN156)</f>
        <v>334532</v>
      </c>
      <c r="AO157" s="47">
        <f t="shared" si="205"/>
        <v>340489.95622035424</v>
      </c>
      <c r="AP157" s="47">
        <f t="shared" si="205"/>
        <v>357125.14396890829</v>
      </c>
      <c r="AQ157" s="9">
        <f>SUM(AQ151:AQ156)</f>
        <v>357125.14396890829</v>
      </c>
      <c r="AR157" s="47">
        <f t="shared" si="205"/>
        <v>379921.90213482833</v>
      </c>
      <c r="AS157" s="47">
        <f t="shared" si="205"/>
        <v>388711.54553485487</v>
      </c>
      <c r="AT157" s="47">
        <f t="shared" si="205"/>
        <v>390625.89811630972</v>
      </c>
      <c r="AU157" s="47">
        <f t="shared" si="205"/>
        <v>415725.1562997828</v>
      </c>
      <c r="AV157" s="9">
        <f>SUM(AV151:AV156)</f>
        <v>415725.1562997828</v>
      </c>
      <c r="AW157" s="47">
        <f t="shared" si="205"/>
        <v>434396.72377584956</v>
      </c>
      <c r="AX157" s="47">
        <f t="shared" si="205"/>
        <v>436233.97288494586</v>
      </c>
      <c r="AY157" s="47">
        <f t="shared" si="205"/>
        <v>437451.77419904363</v>
      </c>
      <c r="AZ157" s="47">
        <f t="shared" si="205"/>
        <v>471436.19100366533</v>
      </c>
      <c r="BA157" s="9">
        <f t="shared" ref="BA157:BK157" si="206">SUM(BA151:BA156)</f>
        <v>471436.19100366533</v>
      </c>
      <c r="BB157" s="47">
        <f t="shared" si="206"/>
        <v>481686.43159827916</v>
      </c>
      <c r="BC157" s="47">
        <f t="shared" si="206"/>
        <v>479983.91066456604</v>
      </c>
      <c r="BD157" s="47">
        <f t="shared" si="206"/>
        <v>485107.09596441366</v>
      </c>
      <c r="BE157" s="47">
        <f t="shared" si="206"/>
        <v>524327.46163394384</v>
      </c>
      <c r="BF157" s="9">
        <f t="shared" si="206"/>
        <v>524327.46163394384</v>
      </c>
      <c r="BG157" s="47">
        <f t="shared" si="206"/>
        <v>522169.21224411996</v>
      </c>
      <c r="BH157" s="47">
        <f t="shared" si="206"/>
        <v>525668.459093521</v>
      </c>
      <c r="BI157" s="47">
        <f t="shared" si="206"/>
        <v>525038.7271920084</v>
      </c>
      <c r="BJ157" s="47">
        <f t="shared" si="206"/>
        <v>573963.82079469983</v>
      </c>
      <c r="BK157" s="9">
        <f t="shared" si="206"/>
        <v>573963.82079469983</v>
      </c>
    </row>
    <row r="158" spans="2:63" ht="6.75" hidden="1" customHeight="1" outlineLevel="1" x14ac:dyDescent="0.3">
      <c r="B158" s="739"/>
      <c r="C158" s="740"/>
      <c r="D158" s="36"/>
      <c r="E158" s="72"/>
      <c r="F158" s="72"/>
      <c r="G158" s="37"/>
      <c r="H158" s="4"/>
      <c r="I158" s="36"/>
      <c r="J158" s="5"/>
      <c r="K158" s="5"/>
      <c r="L158" s="37"/>
      <c r="M158" s="4"/>
      <c r="N158" s="71"/>
      <c r="O158" s="5"/>
      <c r="P158" s="5"/>
      <c r="Q158" s="37"/>
      <c r="R158" s="4"/>
      <c r="S158" s="36"/>
      <c r="T158" s="5"/>
      <c r="U158" s="5"/>
      <c r="V158" s="37"/>
      <c r="W158" s="4"/>
      <c r="X158" s="36"/>
      <c r="Y158" s="5"/>
      <c r="Z158" s="5"/>
      <c r="AA158" s="37"/>
      <c r="AB158" s="4"/>
      <c r="AC158" s="50"/>
      <c r="AD158" s="44"/>
      <c r="AE158" s="189"/>
      <c r="AF158" s="189"/>
      <c r="AG158" s="4"/>
      <c r="AH158" s="44"/>
      <c r="AI158" s="189"/>
      <c r="AJ158" s="189"/>
      <c r="AK158" s="44"/>
      <c r="AL158" s="4"/>
      <c r="AM158" s="189"/>
      <c r="AN158" s="44"/>
      <c r="AO158" s="44"/>
      <c r="AP158" s="44"/>
      <c r="AQ158" s="4"/>
      <c r="AR158" s="44"/>
      <c r="AS158" s="44"/>
      <c r="AT158" s="44"/>
      <c r="AU158" s="44"/>
      <c r="AV158" s="4"/>
      <c r="AW158" s="44"/>
      <c r="AX158" s="44"/>
      <c r="AY158" s="44"/>
      <c r="AZ158" s="44"/>
      <c r="BA158" s="4"/>
      <c r="BB158" s="188"/>
      <c r="BC158" s="188"/>
      <c r="BD158" s="188"/>
      <c r="BE158" s="188"/>
      <c r="BF158" s="4"/>
      <c r="BG158" s="188"/>
      <c r="BH158" s="188"/>
      <c r="BI158" s="188"/>
      <c r="BJ158" s="188"/>
      <c r="BK158" s="4"/>
    </row>
    <row r="159" spans="2:63" hidden="1" outlineLevel="1" x14ac:dyDescent="0.3">
      <c r="B159" s="729" t="s">
        <v>16</v>
      </c>
      <c r="C159" s="738"/>
      <c r="D159" s="36"/>
      <c r="E159" s="72"/>
      <c r="F159" s="72"/>
      <c r="G159" s="37"/>
      <c r="H159" s="4"/>
      <c r="I159" s="36"/>
      <c r="J159" s="5"/>
      <c r="K159" s="5"/>
      <c r="L159" s="37"/>
      <c r="M159" s="4"/>
      <c r="N159" s="71"/>
      <c r="O159" s="5"/>
      <c r="P159" s="5"/>
      <c r="Q159" s="37"/>
      <c r="R159" s="4"/>
      <c r="S159" s="36"/>
      <c r="T159" s="5"/>
      <c r="U159" s="5"/>
      <c r="V159" s="37"/>
      <c r="W159" s="4"/>
      <c r="X159" s="36"/>
      <c r="Y159" s="5"/>
      <c r="Z159" s="5"/>
      <c r="AA159" s="37"/>
      <c r="AB159" s="4"/>
      <c r="AC159" s="50"/>
      <c r="AD159" s="44"/>
      <c r="AE159" s="189"/>
      <c r="AF159" s="189"/>
      <c r="AG159" s="4"/>
      <c r="AH159" s="44"/>
      <c r="AI159" s="189"/>
      <c r="AJ159" s="189"/>
      <c r="AK159" s="189"/>
      <c r="AL159" s="4"/>
      <c r="AM159" s="189"/>
      <c r="AN159" s="44"/>
      <c r="AO159" s="44"/>
      <c r="AP159" s="44"/>
      <c r="AQ159" s="4"/>
      <c r="AR159" s="44"/>
      <c r="AS159" s="44"/>
      <c r="AT159" s="44"/>
      <c r="AU159" s="44"/>
      <c r="AV159" s="4"/>
      <c r="AW159" s="44"/>
      <c r="AX159" s="44"/>
      <c r="AY159" s="44"/>
      <c r="AZ159" s="44"/>
      <c r="BA159" s="4"/>
      <c r="BB159" s="188"/>
      <c r="BC159" s="188"/>
      <c r="BD159" s="188"/>
      <c r="BE159" s="188"/>
      <c r="BF159" s="4"/>
      <c r="BG159" s="188"/>
      <c r="BH159" s="188"/>
      <c r="BI159" s="188"/>
      <c r="BJ159" s="188"/>
      <c r="BK159" s="4"/>
    </row>
    <row r="160" spans="2:63" hidden="1" outlineLevel="1" x14ac:dyDescent="0.3">
      <c r="B160" s="726" t="s">
        <v>157</v>
      </c>
      <c r="C160" s="728"/>
      <c r="D160" s="38">
        <v>6511</v>
      </c>
      <c r="E160" s="147">
        <v>5666</v>
      </c>
      <c r="F160" s="147">
        <v>8469</v>
      </c>
      <c r="G160" s="39">
        <v>12015</v>
      </c>
      <c r="H160" s="12">
        <f>G160</f>
        <v>12015</v>
      </c>
      <c r="I160" s="38">
        <v>14301</v>
      </c>
      <c r="J160" s="13">
        <v>13714</v>
      </c>
      <c r="K160" s="13">
        <v>15270</v>
      </c>
      <c r="L160" s="39">
        <v>14632</v>
      </c>
      <c r="M160" s="12">
        <f>L160</f>
        <v>14632</v>
      </c>
      <c r="N160" s="146">
        <v>18221</v>
      </c>
      <c r="O160" s="13">
        <v>17011</v>
      </c>
      <c r="P160" s="13">
        <v>16808</v>
      </c>
      <c r="Q160" s="39">
        <v>21175</v>
      </c>
      <c r="R160" s="12">
        <f>Q160</f>
        <v>21175</v>
      </c>
      <c r="S160" s="38">
        <v>26398</v>
      </c>
      <c r="T160" s="13">
        <v>14912</v>
      </c>
      <c r="U160" s="13">
        <v>15516</v>
      </c>
      <c r="V160" s="39">
        <v>22367</v>
      </c>
      <c r="W160" s="12">
        <f>V160</f>
        <v>22367</v>
      </c>
      <c r="X160" s="38">
        <v>29588</v>
      </c>
      <c r="Y160" s="13">
        <v>18914</v>
      </c>
      <c r="Z160" s="13">
        <v>20535</v>
      </c>
      <c r="AA160" s="39">
        <v>30196</v>
      </c>
      <c r="AB160" s="12">
        <f>AA160</f>
        <v>30196</v>
      </c>
      <c r="AC160" s="50">
        <v>38001</v>
      </c>
      <c r="AD160" s="44">
        <v>23159</v>
      </c>
      <c r="AE160" s="189">
        <v>26474</v>
      </c>
      <c r="AF160" s="189">
        <v>35490</v>
      </c>
      <c r="AG160" s="4">
        <f>AF160</f>
        <v>35490</v>
      </c>
      <c r="AH160" s="189">
        <v>33312</v>
      </c>
      <c r="AI160" s="189">
        <v>25098</v>
      </c>
      <c r="AJ160" s="189">
        <v>26318</v>
      </c>
      <c r="AK160" s="189">
        <v>37294</v>
      </c>
      <c r="AL160" s="4">
        <f>AK160</f>
        <v>37294</v>
      </c>
      <c r="AM160" s="189">
        <v>38510</v>
      </c>
      <c r="AN160" s="44">
        <v>28573</v>
      </c>
      <c r="AO160" s="44">
        <f>(AO14/AO188*2)-AN160</f>
        <v>30722.866855979046</v>
      </c>
      <c r="AP160" s="44">
        <f>(AP14/AP188*2)-AO160</f>
        <v>43944.236018610558</v>
      </c>
      <c r="AQ160" s="4">
        <f>AP160</f>
        <v>43944.236018610558</v>
      </c>
      <c r="AR160" s="44">
        <f>(AR14/AR188*2)-AP160</f>
        <v>44503.491166498592</v>
      </c>
      <c r="AS160" s="44">
        <f>(AS14/AS188*2)-AR160</f>
        <v>38804.183172637706</v>
      </c>
      <c r="AT160" s="44">
        <f>(AT14/AT188*2)-AS160</f>
        <v>35611.968421392849</v>
      </c>
      <c r="AU160" s="44">
        <f>(AU14/AU188*2)-AT160</f>
        <v>52355.742942896926</v>
      </c>
      <c r="AV160" s="4">
        <f>AU160</f>
        <v>52355.742942896926</v>
      </c>
      <c r="AW160" s="44">
        <f>(AW14/AW188*2)-AU160</f>
        <v>46519.243471377988</v>
      </c>
      <c r="AX160" s="44">
        <f>(AX14/AX188*2)-AW160</f>
        <v>38097.273419451805</v>
      </c>
      <c r="AY160" s="44">
        <f>(AY14/AY188*2)-AX160</f>
        <v>35777.181521307553</v>
      </c>
      <c r="AZ160" s="44">
        <f>(AZ14/AZ188*2)-AY160</f>
        <v>61092.404669245465</v>
      </c>
      <c r="BA160" s="4">
        <f>AZ160</f>
        <v>61092.404669245465</v>
      </c>
      <c r="BB160" s="188">
        <f>(BB14/BB188*2)-AZ160</f>
        <v>46304.208800766508</v>
      </c>
      <c r="BC160" s="188">
        <f>(BC14/BC188*2)-BB160</f>
        <v>36586.508635839426</v>
      </c>
      <c r="BD160" s="188">
        <f>(BD14/BD188*2)-BC160</f>
        <v>38886.197409801294</v>
      </c>
      <c r="BE160" s="188">
        <f>(BE14/BE188*2)-BD160</f>
        <v>69463.642102928628</v>
      </c>
      <c r="BF160" s="4">
        <f>BE160</f>
        <v>69463.642102928628</v>
      </c>
      <c r="BG160" s="188">
        <f>(BG14/BG188*2)-BE160</f>
        <v>44317.923841407595</v>
      </c>
      <c r="BH160" s="188">
        <f>(BH14/BH188*2)-BG160</f>
        <v>40882.287369829253</v>
      </c>
      <c r="BI160" s="188">
        <f>(BI14/BI188*2)-BH160</f>
        <v>37708.115254823089</v>
      </c>
      <c r="BJ160" s="188">
        <f>(BJ14/BJ188*2)-BI160</f>
        <v>78365.810298175042</v>
      </c>
      <c r="BK160" s="4">
        <f>BJ160</f>
        <v>78365.810298175042</v>
      </c>
    </row>
    <row r="161" spans="2:63" hidden="1" outlineLevel="1" x14ac:dyDescent="0.3">
      <c r="B161" s="714" t="s">
        <v>158</v>
      </c>
      <c r="C161" s="715"/>
      <c r="D161" s="38">
        <v>3996</v>
      </c>
      <c r="E161" s="147">
        <v>4021</v>
      </c>
      <c r="F161" s="147">
        <v>4452</v>
      </c>
      <c r="G161" s="39">
        <v>5723</v>
      </c>
      <c r="H161" s="12">
        <f>G161</f>
        <v>5723</v>
      </c>
      <c r="I161" s="38">
        <v>5953</v>
      </c>
      <c r="J161" s="13">
        <v>7022</v>
      </c>
      <c r="K161" s="13">
        <v>7597</v>
      </c>
      <c r="L161" s="39">
        <v>9247</v>
      </c>
      <c r="M161" s="12">
        <f>L161</f>
        <v>9247</v>
      </c>
      <c r="N161" s="146">
        <v>11500</v>
      </c>
      <c r="O161" s="13">
        <v>9778</v>
      </c>
      <c r="P161" s="13">
        <v>10430</v>
      </c>
      <c r="Q161" s="39">
        <v>11414</v>
      </c>
      <c r="R161" s="12">
        <f>Q161</f>
        <v>11414</v>
      </c>
      <c r="S161" s="38">
        <v>13207</v>
      </c>
      <c r="T161" s="13">
        <v>13331</v>
      </c>
      <c r="U161" s="13">
        <v>13470</v>
      </c>
      <c r="V161" s="39">
        <v>13856</v>
      </c>
      <c r="W161" s="12">
        <f>V161</f>
        <v>13856</v>
      </c>
      <c r="X161" s="38">
        <v>15824</v>
      </c>
      <c r="Y161" s="13">
        <v>15984</v>
      </c>
      <c r="Z161" s="13">
        <v>15264</v>
      </c>
      <c r="AA161" s="39">
        <v>18453</v>
      </c>
      <c r="AB161" s="12">
        <f>AA161</f>
        <v>18453</v>
      </c>
      <c r="AC161" s="50">
        <v>22724</v>
      </c>
      <c r="AD161" s="50">
        <v>22827</v>
      </c>
      <c r="AE161" s="189">
        <v>22724</v>
      </c>
      <c r="AF161" s="189">
        <v>25181</v>
      </c>
      <c r="AG161" s="4">
        <f>AF161</f>
        <v>25181</v>
      </c>
      <c r="AH161" s="189">
        <v>24032</v>
      </c>
      <c r="AI161" s="189">
        <v>23208</v>
      </c>
      <c r="AJ161" s="189">
        <v>20820</v>
      </c>
      <c r="AK161" s="189">
        <v>22027</v>
      </c>
      <c r="AL161" s="4">
        <f>AK161</f>
        <v>22027</v>
      </c>
      <c r="AM161" s="189">
        <v>23739</v>
      </c>
      <c r="AN161" s="189">
        <v>23096</v>
      </c>
      <c r="AO161" s="189">
        <f t="shared" ref="AO161" si="207">AN161*(AJ161/AI161)</f>
        <v>20719.524301964841</v>
      </c>
      <c r="AP161" s="189">
        <f t="shared" ref="AP161" si="208">AO161*(AK161/AJ161)</f>
        <v>21920.699413995175</v>
      </c>
      <c r="AQ161" s="4">
        <f>AP161</f>
        <v>21920.699413995175</v>
      </c>
      <c r="AR161" s="189">
        <f>AP161*(AM161/AK161)</f>
        <v>23624.437435367116</v>
      </c>
      <c r="AS161" s="189">
        <f>AR161*(AN161/AM161)</f>
        <v>22984.540503274733</v>
      </c>
      <c r="AT161" s="189">
        <f>AS161*(AO161/AN161)</f>
        <v>20619.533491820923</v>
      </c>
      <c r="AU161" s="189">
        <f>AT161*(AP161/AO161)</f>
        <v>21814.911826337149</v>
      </c>
      <c r="AV161" s="4">
        <f>AU161</f>
        <v>21814.911826337149</v>
      </c>
      <c r="AW161" s="189">
        <f>AU161*(AR161/AP161)</f>
        <v>23510.42774074625</v>
      </c>
      <c r="AX161" s="189">
        <f>AW161*(AS161/AR161)</f>
        <v>22873.618901397505</v>
      </c>
      <c r="AY161" s="189">
        <f>AX161*(AT161/AS161)</f>
        <v>20520.025229537059</v>
      </c>
      <c r="AZ161" s="189">
        <f>AY161*(AU161/AT161)</f>
        <v>21709.634761335867</v>
      </c>
      <c r="BA161" s="4">
        <f>AZ161</f>
        <v>21709.634761335867</v>
      </c>
      <c r="BB161" s="189">
        <f>AZ161*(AW161/AU161)</f>
        <v>23396.968248029789</v>
      </c>
      <c r="BC161" s="189">
        <f>BB161*(AX161/AW161)</f>
        <v>22763.232598529677</v>
      </c>
      <c r="BD161" s="189">
        <f>BC161*(AY161/AX161)</f>
        <v>20420.997186374865</v>
      </c>
      <c r="BE161" s="189">
        <f>BD161*(AZ161/AY161)</f>
        <v>21604.865755248757</v>
      </c>
      <c r="BF161" s="4">
        <f>BE161</f>
        <v>21604.865755248757</v>
      </c>
      <c r="BG161" s="189">
        <f>BE161*(BB161/AZ161)</f>
        <v>23284.056301986209</v>
      </c>
      <c r="BH161" s="189">
        <f>BG161*(BC161/BB161)</f>
        <v>22653.379011359935</v>
      </c>
      <c r="BI161" s="189">
        <f>BH161*(BD161/BC161)</f>
        <v>20322.447044834273</v>
      </c>
      <c r="BJ161" s="189">
        <f>BI161*(BE161/BD161)</f>
        <v>21500.602356223077</v>
      </c>
      <c r="BK161" s="4">
        <f>BJ161</f>
        <v>21500.602356223077</v>
      </c>
    </row>
    <row r="162" spans="2:63" hidden="1" outlineLevel="1" x14ac:dyDescent="0.3">
      <c r="B162" s="714" t="s">
        <v>602</v>
      </c>
      <c r="C162" s="715"/>
      <c r="D162" s="38">
        <v>2590</v>
      </c>
      <c r="E162" s="147">
        <v>2542</v>
      </c>
      <c r="F162" s="147">
        <v>2691</v>
      </c>
      <c r="G162" s="39">
        <v>2984</v>
      </c>
      <c r="H162" s="12">
        <f>G162</f>
        <v>2984</v>
      </c>
      <c r="I162" s="38">
        <v>3541</v>
      </c>
      <c r="J162" s="13">
        <v>3591</v>
      </c>
      <c r="K162" s="13">
        <v>3992</v>
      </c>
      <c r="L162" s="39">
        <v>4091</v>
      </c>
      <c r="M162" s="12">
        <f>L162</f>
        <v>4091</v>
      </c>
      <c r="N162" s="146">
        <v>4886</v>
      </c>
      <c r="O162" s="13">
        <v>5247</v>
      </c>
      <c r="P162" s="13">
        <v>5822</v>
      </c>
      <c r="Q162" s="39">
        <v>5953</v>
      </c>
      <c r="R162" s="12">
        <f>Q162</f>
        <v>5953</v>
      </c>
      <c r="S162" s="38">
        <v>7274</v>
      </c>
      <c r="T162" s="13">
        <v>7265</v>
      </c>
      <c r="U162" s="13">
        <v>7333</v>
      </c>
      <c r="V162" s="39">
        <v>7435</v>
      </c>
      <c r="W162" s="12">
        <f>V162</f>
        <v>7435</v>
      </c>
      <c r="X162" s="38">
        <v>8357</v>
      </c>
      <c r="Y162" s="13">
        <v>8310</v>
      </c>
      <c r="Z162" s="13">
        <v>8396</v>
      </c>
      <c r="AA162" s="39">
        <v>8491</v>
      </c>
      <c r="AB162" s="12">
        <f>AA162</f>
        <v>8491</v>
      </c>
      <c r="AC162" s="50">
        <v>8987</v>
      </c>
      <c r="AD162" s="50">
        <v>8944</v>
      </c>
      <c r="AE162" s="189">
        <v>9088</v>
      </c>
      <c r="AF162" s="189">
        <v>8940</v>
      </c>
      <c r="AG162" s="4">
        <f>AF162</f>
        <v>8940</v>
      </c>
      <c r="AH162" s="189">
        <v>8989</v>
      </c>
      <c r="AI162" s="189">
        <v>9461</v>
      </c>
      <c r="AJ162" s="189">
        <v>8352</v>
      </c>
      <c r="AK162" s="189">
        <v>8080</v>
      </c>
      <c r="AL162" s="4">
        <f>AK162</f>
        <v>8080</v>
      </c>
      <c r="AM162" s="189">
        <v>7889</v>
      </c>
      <c r="AN162" s="189">
        <v>7682</v>
      </c>
      <c r="AO162" s="189">
        <f>(AN13+AM13+AK13+AO13)*AO191*AO192</f>
        <v>7919.0205000000005</v>
      </c>
      <c r="AP162" s="189">
        <f>(AO13+AN13+AM13+AP13)*AP191*AP192</f>
        <v>8057.2930000000006</v>
      </c>
      <c r="AQ162" s="4">
        <f>AP162</f>
        <v>8057.2930000000006</v>
      </c>
      <c r="AR162" s="189">
        <f>(AP13+AO13+AN13+AR13)*AR191*AR192</f>
        <v>8255.8799999999992</v>
      </c>
      <c r="AS162" s="189">
        <f>(AR13+AP13+AO13+AS13)*AS191*AS192</f>
        <v>8517.16</v>
      </c>
      <c r="AT162" s="189">
        <f>(AS13+AR13+AP13+AT13)*AT191*AT192</f>
        <v>8754.626452477778</v>
      </c>
      <c r="AU162" s="189">
        <f>(AT13+AS13+AR13+AU13)*AU191*AU192</f>
        <v>8891.4364999999998</v>
      </c>
      <c r="AV162" s="4">
        <f>AU162</f>
        <v>8891.4364999999998</v>
      </c>
      <c r="AW162" s="189">
        <f>(AU13+AT13+AS13+AW13)*AW191*AW192</f>
        <v>8944.4247522993337</v>
      </c>
      <c r="AX162" s="189">
        <f>(AW13+AU13+AT13+AX13)*AX191*AX192</f>
        <v>8772.1988246545316</v>
      </c>
      <c r="AY162" s="189">
        <f>(AX13+AW13+AU13+AY13)*AY191*AY192</f>
        <v>8609.8261515027007</v>
      </c>
      <c r="AZ162" s="189">
        <f>(AY13+AX13+AW13+AZ13)*AZ191*AZ192</f>
        <v>8631.2624262407389</v>
      </c>
      <c r="BA162" s="4">
        <f>AZ162</f>
        <v>8631.2624262407389</v>
      </c>
      <c r="BB162" s="189">
        <f>(AZ13+AY13+AX13+BB13)*BB191*BB192</f>
        <v>8623.0087735522502</v>
      </c>
      <c r="BC162" s="189">
        <f>(BB13+AZ13+AY13+BC13)*BC191*BC192</f>
        <v>8418.0797761375834</v>
      </c>
      <c r="BD162" s="189">
        <f>(BC13+BB13+AZ13+BD13)*BD191*BD192</f>
        <v>8301.9155582315252</v>
      </c>
      <c r="BE162" s="189">
        <f>(BD13+BC13+BB13+BE13)*BE191*BE192</f>
        <v>8330.6945277370614</v>
      </c>
      <c r="BF162" s="4">
        <f>BE162</f>
        <v>8330.6945277370614</v>
      </c>
      <c r="BG162" s="189">
        <f>(BE13+BD13+BC13+BG13)*BG191*BG192</f>
        <v>8201.5150971755975</v>
      </c>
      <c r="BH162" s="189">
        <f>(BG13+BE13+BD13+BH13)*BH191*BH192</f>
        <v>8082.5738443502887</v>
      </c>
      <c r="BI162" s="189">
        <f>(BH13+BG13+BE13+BI13)*BI191*BI192</f>
        <v>8002.4490030436918</v>
      </c>
      <c r="BJ162" s="189">
        <f>(BI13+BH13+BG13+BJ13)*BJ191*BJ192</f>
        <v>7962.0765712487673</v>
      </c>
      <c r="BK162" s="4">
        <f>BJ162</f>
        <v>7962.0765712487673</v>
      </c>
    </row>
    <row r="163" spans="2:63" ht="16.2" hidden="1" outlineLevel="1" x14ac:dyDescent="0.45">
      <c r="B163" s="726" t="s">
        <v>214</v>
      </c>
      <c r="C163" s="728"/>
      <c r="D163" s="34">
        <v>0</v>
      </c>
      <c r="E163" s="248">
        <v>0</v>
      </c>
      <c r="F163" s="248">
        <v>0</v>
      </c>
      <c r="G163" s="35">
        <v>0</v>
      </c>
      <c r="H163" s="7">
        <f>G163</f>
        <v>0</v>
      </c>
      <c r="I163" s="34">
        <v>0</v>
      </c>
      <c r="J163" s="8">
        <v>0</v>
      </c>
      <c r="K163" s="8">
        <v>0</v>
      </c>
      <c r="L163" s="35">
        <v>0</v>
      </c>
      <c r="M163" s="7">
        <f>L163</f>
        <v>0</v>
      </c>
      <c r="N163" s="247">
        <v>0</v>
      </c>
      <c r="O163" s="8">
        <v>0</v>
      </c>
      <c r="P163" s="8">
        <v>0</v>
      </c>
      <c r="Q163" s="35">
        <v>0</v>
      </c>
      <c r="R163" s="7">
        <f>Q163</f>
        <v>0</v>
      </c>
      <c r="S163" s="34">
        <v>0</v>
      </c>
      <c r="T163" s="8">
        <v>0</v>
      </c>
      <c r="U163" s="8">
        <v>0</v>
      </c>
      <c r="V163" s="35">
        <v>0</v>
      </c>
      <c r="W163" s="7">
        <f>V163</f>
        <v>0</v>
      </c>
      <c r="X163" s="34">
        <v>0</v>
      </c>
      <c r="Y163" s="8">
        <v>0</v>
      </c>
      <c r="Z163" s="8">
        <v>2010</v>
      </c>
      <c r="AA163" s="35">
        <v>6308</v>
      </c>
      <c r="AB163" s="7">
        <f>AA163</f>
        <v>6308</v>
      </c>
      <c r="AC163" s="76">
        <v>3899</v>
      </c>
      <c r="AD163" s="76">
        <v>3799</v>
      </c>
      <c r="AE163" s="76">
        <f>4499+2500</f>
        <v>6999</v>
      </c>
      <c r="AF163" s="76">
        <f>8499+2500</f>
        <v>10999</v>
      </c>
      <c r="AG163" s="7">
        <f>AF163</f>
        <v>10999</v>
      </c>
      <c r="AH163" s="76">
        <f>7259+2500</f>
        <v>9759</v>
      </c>
      <c r="AI163" s="76">
        <f>7998+2500</f>
        <v>10498</v>
      </c>
      <c r="AJ163" s="76">
        <f>12496+3500</f>
        <v>15996</v>
      </c>
      <c r="AK163" s="76">
        <f>8105+3500</f>
        <v>11605</v>
      </c>
      <c r="AL163" s="7">
        <f>AK163</f>
        <v>11605</v>
      </c>
      <c r="AM163" s="76">
        <f>10493+3499</f>
        <v>13992</v>
      </c>
      <c r="AN163" s="76">
        <f>9992+3999</f>
        <v>13991</v>
      </c>
      <c r="AO163" s="76">
        <f>+AO175*AO194*(AO196)</f>
        <v>15425.376407524498</v>
      </c>
      <c r="AP163" s="76">
        <f>+AP175*AP194*(AP196)</f>
        <v>14886.68129534708</v>
      </c>
      <c r="AQ163" s="7">
        <f>AP163</f>
        <v>14886.68129534708</v>
      </c>
      <c r="AR163" s="76">
        <f>+AR175*AR194*(AR196)</f>
        <v>16172.778666840526</v>
      </c>
      <c r="AS163" s="76">
        <f>+AS175*AS194*(AS196)</f>
        <v>16938.84116828379</v>
      </c>
      <c r="AT163" s="76">
        <f>+AT175*AT194*(AT196)</f>
        <v>17435.11511542253</v>
      </c>
      <c r="AU163" s="76">
        <f>+AU175*AU194*(AU196)</f>
        <v>17673.275547614954</v>
      </c>
      <c r="AV163" s="7">
        <f>AU163</f>
        <v>17673.275547614954</v>
      </c>
      <c r="AW163" s="76">
        <f>+AW175*AW194*(AW196)</f>
        <v>18990.925362474354</v>
      </c>
      <c r="AX163" s="76">
        <f>+AX175*AX194*(AX196)</f>
        <v>19565.28311632586</v>
      </c>
      <c r="AY163" s="76">
        <f>+AY175*AY194*(AY196)</f>
        <v>19802.063518644023</v>
      </c>
      <c r="AZ163" s="76">
        <f>+AZ175*AZ194*(AZ196)</f>
        <v>20194.337477409892</v>
      </c>
      <c r="BA163" s="7">
        <f>AZ163</f>
        <v>20194.337477409892</v>
      </c>
      <c r="BB163" s="76">
        <f>+BB175*BB194*(BB196)</f>
        <v>21499.167961687723</v>
      </c>
      <c r="BC163" s="76">
        <f>+BC175*BC194*(BC196)</f>
        <v>21909.34399541749</v>
      </c>
      <c r="BD163" s="76">
        <f>+BD175*BD194*(BD196)</f>
        <v>22047.541003407045</v>
      </c>
      <c r="BE163" s="76">
        <f>+BE175*BE194*(BE196)</f>
        <v>22453.729337861751</v>
      </c>
      <c r="BF163" s="7">
        <f>BE163</f>
        <v>22453.729337861751</v>
      </c>
      <c r="BG163" s="76">
        <f>+BG175*BG194*(BG196)</f>
        <v>23602.364806615318</v>
      </c>
      <c r="BH163" s="76">
        <f>+BH175*BH194*(BH196)</f>
        <v>23908.583647395419</v>
      </c>
      <c r="BI163" s="76">
        <f>+BI175*BI194*(BI196)</f>
        <v>23990.66624847606</v>
      </c>
      <c r="BJ163" s="76">
        <f>+BJ175*BJ194*(BJ196)</f>
        <v>24373.847851615308</v>
      </c>
      <c r="BK163" s="7">
        <f>BJ163</f>
        <v>24373.847851615308</v>
      </c>
    </row>
    <row r="164" spans="2:63" hidden="1" outlineLevel="1" x14ac:dyDescent="0.3">
      <c r="B164" s="722" t="s">
        <v>17</v>
      </c>
      <c r="C164" s="723"/>
      <c r="D164" s="14">
        <f t="shared" ref="D164:AI164" si="209">SUM(D160:D163)</f>
        <v>13097</v>
      </c>
      <c r="E164" s="115">
        <f t="shared" si="209"/>
        <v>12229</v>
      </c>
      <c r="F164" s="115">
        <f t="shared" si="209"/>
        <v>15612</v>
      </c>
      <c r="G164" s="15">
        <f t="shared" si="209"/>
        <v>20722</v>
      </c>
      <c r="H164" s="9">
        <f t="shared" si="209"/>
        <v>20722</v>
      </c>
      <c r="I164" s="14">
        <f t="shared" si="209"/>
        <v>23795</v>
      </c>
      <c r="J164" s="10">
        <f t="shared" si="209"/>
        <v>24327</v>
      </c>
      <c r="K164" s="10">
        <f t="shared" si="209"/>
        <v>26859</v>
      </c>
      <c r="L164" s="15">
        <f t="shared" si="209"/>
        <v>27970</v>
      </c>
      <c r="M164" s="9">
        <f t="shared" si="209"/>
        <v>27970</v>
      </c>
      <c r="N164" s="117">
        <f t="shared" si="209"/>
        <v>34607</v>
      </c>
      <c r="O164" s="10">
        <f t="shared" si="209"/>
        <v>32036</v>
      </c>
      <c r="P164" s="10">
        <f t="shared" si="209"/>
        <v>33060</v>
      </c>
      <c r="Q164" s="15">
        <f t="shared" si="209"/>
        <v>38542</v>
      </c>
      <c r="R164" s="9">
        <f t="shared" si="209"/>
        <v>38542</v>
      </c>
      <c r="S164" s="14">
        <f t="shared" si="209"/>
        <v>46879</v>
      </c>
      <c r="T164" s="10">
        <f t="shared" si="209"/>
        <v>35508</v>
      </c>
      <c r="U164" s="10">
        <f t="shared" si="209"/>
        <v>36319</v>
      </c>
      <c r="V164" s="15">
        <f t="shared" si="209"/>
        <v>43658</v>
      </c>
      <c r="W164" s="9">
        <f t="shared" si="209"/>
        <v>43658</v>
      </c>
      <c r="X164" s="14">
        <f t="shared" si="209"/>
        <v>53769</v>
      </c>
      <c r="Y164" s="10">
        <f t="shared" si="209"/>
        <v>43208</v>
      </c>
      <c r="Z164" s="10">
        <f t="shared" si="209"/>
        <v>46205</v>
      </c>
      <c r="AA164" s="15">
        <f t="shared" si="209"/>
        <v>63448</v>
      </c>
      <c r="AB164" s="9">
        <f t="shared" si="209"/>
        <v>63448</v>
      </c>
      <c r="AC164" s="49">
        <f t="shared" si="209"/>
        <v>73611</v>
      </c>
      <c r="AD164" s="47">
        <f t="shared" si="209"/>
        <v>58729</v>
      </c>
      <c r="AE164" s="49">
        <f t="shared" si="209"/>
        <v>65285</v>
      </c>
      <c r="AF164" s="49">
        <f t="shared" si="209"/>
        <v>80610</v>
      </c>
      <c r="AG164" s="9">
        <f t="shared" si="209"/>
        <v>80610</v>
      </c>
      <c r="AH164" s="49">
        <f t="shared" si="209"/>
        <v>76092</v>
      </c>
      <c r="AI164" s="49">
        <f t="shared" si="209"/>
        <v>68265</v>
      </c>
      <c r="AJ164" s="49">
        <f t="shared" ref="AJ164:BK164" si="210">SUM(AJ160:AJ163)</f>
        <v>71486</v>
      </c>
      <c r="AK164" s="49">
        <f t="shared" si="210"/>
        <v>79006</v>
      </c>
      <c r="AL164" s="9">
        <f t="shared" si="210"/>
        <v>79006</v>
      </c>
      <c r="AM164" s="49">
        <f t="shared" si="210"/>
        <v>84130</v>
      </c>
      <c r="AN164" s="47">
        <f t="shared" si="210"/>
        <v>73342</v>
      </c>
      <c r="AO164" s="47">
        <f t="shared" si="210"/>
        <v>74786.788065468383</v>
      </c>
      <c r="AP164" s="47">
        <f t="shared" si="210"/>
        <v>88808.909727952821</v>
      </c>
      <c r="AQ164" s="9">
        <f t="shared" si="210"/>
        <v>88808.909727952821</v>
      </c>
      <c r="AR164" s="47">
        <f t="shared" si="210"/>
        <v>92556.587268706251</v>
      </c>
      <c r="AS164" s="47">
        <f t="shared" si="210"/>
        <v>87244.724844196229</v>
      </c>
      <c r="AT164" s="47">
        <f t="shared" si="210"/>
        <v>82421.24348111407</v>
      </c>
      <c r="AU164" s="47">
        <f t="shared" si="210"/>
        <v>100735.36681684901</v>
      </c>
      <c r="AV164" s="9">
        <f t="shared" si="210"/>
        <v>100735.36681684901</v>
      </c>
      <c r="AW164" s="47">
        <f t="shared" si="210"/>
        <v>97965.021326897928</v>
      </c>
      <c r="AX164" s="47">
        <f t="shared" si="210"/>
        <v>89308.374261829711</v>
      </c>
      <c r="AY164" s="47">
        <f t="shared" si="210"/>
        <v>84709.096420991336</v>
      </c>
      <c r="AZ164" s="47">
        <f t="shared" si="210"/>
        <v>111627.63933423195</v>
      </c>
      <c r="BA164" s="9">
        <f t="shared" si="210"/>
        <v>111627.63933423195</v>
      </c>
      <c r="BB164" s="47">
        <f t="shared" si="210"/>
        <v>99823.35378403627</v>
      </c>
      <c r="BC164" s="47">
        <f t="shared" si="210"/>
        <v>89677.16500592418</v>
      </c>
      <c r="BD164" s="47">
        <f t="shared" si="210"/>
        <v>89656.651157814718</v>
      </c>
      <c r="BE164" s="47">
        <f t="shared" si="210"/>
        <v>121852.9317237762</v>
      </c>
      <c r="BF164" s="9">
        <f t="shared" si="210"/>
        <v>121852.9317237762</v>
      </c>
      <c r="BG164" s="47">
        <f t="shared" si="210"/>
        <v>99405.860047184717</v>
      </c>
      <c r="BH164" s="47">
        <f t="shared" si="210"/>
        <v>95526.82387293491</v>
      </c>
      <c r="BI164" s="47">
        <f t="shared" si="210"/>
        <v>90023.677551177112</v>
      </c>
      <c r="BJ164" s="47">
        <f t="shared" si="210"/>
        <v>132202.3370772622</v>
      </c>
      <c r="BK164" s="9">
        <f t="shared" si="210"/>
        <v>132202.3370772622</v>
      </c>
    </row>
    <row r="165" spans="2:63" hidden="1" outlineLevel="1" x14ac:dyDescent="0.3">
      <c r="B165" s="726" t="s">
        <v>160</v>
      </c>
      <c r="C165" s="728"/>
      <c r="D165" s="38">
        <v>922</v>
      </c>
      <c r="E165" s="156">
        <v>941</v>
      </c>
      <c r="F165" s="147">
        <v>1021</v>
      </c>
      <c r="G165" s="39">
        <v>1139</v>
      </c>
      <c r="H165" s="12">
        <f>G165</f>
        <v>1139</v>
      </c>
      <c r="I165" s="38">
        <v>1216</v>
      </c>
      <c r="J165" s="157">
        <v>1230</v>
      </c>
      <c r="K165" s="13">
        <v>1407</v>
      </c>
      <c r="L165" s="39">
        <v>1686</v>
      </c>
      <c r="M165" s="12">
        <f>L165</f>
        <v>1686</v>
      </c>
      <c r="N165" s="146">
        <v>2187</v>
      </c>
      <c r="O165" s="157">
        <v>2446</v>
      </c>
      <c r="P165" s="13">
        <v>2530</v>
      </c>
      <c r="Q165" s="39">
        <v>2648</v>
      </c>
      <c r="R165" s="12">
        <f>Q165</f>
        <v>2648</v>
      </c>
      <c r="S165" s="38">
        <v>2938</v>
      </c>
      <c r="T165" s="157">
        <v>2877</v>
      </c>
      <c r="U165" s="13">
        <v>2672</v>
      </c>
      <c r="V165" s="39">
        <v>2625</v>
      </c>
      <c r="W165" s="12">
        <f>V165</f>
        <v>2625</v>
      </c>
      <c r="X165" s="38">
        <v>3071</v>
      </c>
      <c r="Y165" s="157">
        <v>3164</v>
      </c>
      <c r="Z165" s="13">
        <v>3058</v>
      </c>
      <c r="AA165" s="39">
        <v>3031</v>
      </c>
      <c r="AB165" s="12">
        <f>AA165</f>
        <v>3031</v>
      </c>
      <c r="AC165" s="50">
        <v>3480</v>
      </c>
      <c r="AD165" s="50">
        <v>3571</v>
      </c>
      <c r="AE165" s="189">
        <v>3474</v>
      </c>
      <c r="AF165" s="189">
        <v>3624</v>
      </c>
      <c r="AG165" s="4">
        <f>AF165</f>
        <v>3624</v>
      </c>
      <c r="AH165" s="189">
        <v>3546</v>
      </c>
      <c r="AI165" s="189">
        <v>3322</v>
      </c>
      <c r="AJ165" s="189">
        <v>3064</v>
      </c>
      <c r="AK165" s="189">
        <v>2930</v>
      </c>
      <c r="AL165" s="4">
        <f>AK165</f>
        <v>2930</v>
      </c>
      <c r="AM165" s="189">
        <v>3163</v>
      </c>
      <c r="AN165" s="189">
        <v>3107</v>
      </c>
      <c r="AO165" s="189">
        <f>(AN13+AM13+AK13+AO13)*AO191*(1-AO192)</f>
        <v>3234.5295000000006</v>
      </c>
      <c r="AP165" s="189">
        <f>(AO13+AN13+AM13+AP13)*AP191*(1-AP192)</f>
        <v>3291.0070000000005</v>
      </c>
      <c r="AQ165" s="4">
        <f>AP165</f>
        <v>3291.0070000000005</v>
      </c>
      <c r="AR165" s="189">
        <f>(AP13+AO13+AN13+AR13)*AR191*(1-AR192)</f>
        <v>3372.1200000000003</v>
      </c>
      <c r="AS165" s="189">
        <f>(AR13+AP13+AO13+AS13)*AS191*(1-AS192)</f>
        <v>3478.8400000000006</v>
      </c>
      <c r="AT165" s="189">
        <f>(AS13+AR13+AP13+AT13)*AT191*(1-AT192)</f>
        <v>3575.8333397444453</v>
      </c>
      <c r="AU165" s="189">
        <f>(AT13+AS13+AR13+AU13)*AU191*(1-AU192)</f>
        <v>3631.7135000000007</v>
      </c>
      <c r="AV165" s="4">
        <f>AU165</f>
        <v>3631.7135000000007</v>
      </c>
      <c r="AW165" s="189">
        <f>(AU13+AT13+AS13+AW13)*AW191*(1-AW192)</f>
        <v>3653.3565889673341</v>
      </c>
      <c r="AX165" s="189">
        <f>(AW13+AU13+AT13+AX13)*AX191*(1-AX192)</f>
        <v>3583.0107875349504</v>
      </c>
      <c r="AY165" s="189">
        <f>(AX13+AW13+AU13+AY13)*AY191*(1-AY192)</f>
        <v>3516.6895548391321</v>
      </c>
      <c r="AZ165" s="189">
        <f>(AY13+AX13+AW13+AZ13)*AZ191*(1-AZ192)</f>
        <v>3525.4452163518522</v>
      </c>
      <c r="BA165" s="4">
        <f>AZ165</f>
        <v>3525.4452163518522</v>
      </c>
      <c r="BB165" s="189">
        <f>(AZ13+AY13+AX13+BB13)*BB191*(1-BB192)</f>
        <v>3522.0740060988073</v>
      </c>
      <c r="BC165" s="189">
        <f>(BB13+AZ13+AY13+BC13)*BC191*(1-BC192)</f>
        <v>3438.3706127885907</v>
      </c>
      <c r="BD165" s="189">
        <f>(BC13+BB13+AZ13+BD13)*BD191*(1-BD192)</f>
        <v>3390.9232561790741</v>
      </c>
      <c r="BE165" s="189">
        <f>(BD13+BC13+BB13+BE13)*BE191*(1-BE192)</f>
        <v>3402.6780465404904</v>
      </c>
      <c r="BF165" s="4">
        <f>BE165</f>
        <v>3402.6780465404904</v>
      </c>
      <c r="BG165" s="189">
        <f>(BE13+BD13+BC13+BG13)*BG191*(1-BG192)</f>
        <v>3349.9146171562306</v>
      </c>
      <c r="BH165" s="189">
        <f>(BG13+BE13+BD13+BH13)*BH191*(1-BH192)</f>
        <v>3301.3329786782874</v>
      </c>
      <c r="BI165" s="189">
        <f>(BH13+BG13+BE13+BI13)*BI191*(1-BI192)</f>
        <v>3268.6059308206636</v>
      </c>
      <c r="BJ165" s="189">
        <f>(BI13+BH13+BG13+BJ13)*BJ191*(1-BJ192)</f>
        <v>3252.1157826227363</v>
      </c>
      <c r="BK165" s="4">
        <f>BJ165</f>
        <v>3252.1157826227363</v>
      </c>
    </row>
    <row r="166" spans="2:63" ht="15.75" hidden="1" customHeight="1" outlineLevel="1" x14ac:dyDescent="0.3">
      <c r="B166" s="748" t="s">
        <v>161</v>
      </c>
      <c r="C166" s="749"/>
      <c r="D166" s="38">
        <v>0</v>
      </c>
      <c r="E166" s="156">
        <v>4539</v>
      </c>
      <c r="F166" s="147">
        <v>4981</v>
      </c>
      <c r="G166" s="39">
        <v>5531</v>
      </c>
      <c r="H166" s="12">
        <f>G166</f>
        <v>5531</v>
      </c>
      <c r="I166" s="38">
        <v>7065</v>
      </c>
      <c r="J166" s="157">
        <v>7870</v>
      </c>
      <c r="K166" s="13">
        <v>9149</v>
      </c>
      <c r="L166" s="39">
        <v>10100</v>
      </c>
      <c r="M166" s="12">
        <f>L166</f>
        <v>10100</v>
      </c>
      <c r="N166" s="146">
        <v>11833</v>
      </c>
      <c r="O166" s="157">
        <v>13954</v>
      </c>
      <c r="P166" s="13">
        <v>15560</v>
      </c>
      <c r="Q166" s="39">
        <v>16664</v>
      </c>
      <c r="R166" s="12">
        <f>Q166</f>
        <v>16664</v>
      </c>
      <c r="S166" s="38">
        <v>18925</v>
      </c>
      <c r="T166" s="157">
        <v>20868</v>
      </c>
      <c r="U166" s="13">
        <v>16958</v>
      </c>
      <c r="V166" s="39">
        <v>16960</v>
      </c>
      <c r="W166" s="12">
        <f>V166</f>
        <v>16960</v>
      </c>
      <c r="X166" s="38">
        <v>16961</v>
      </c>
      <c r="Y166" s="157">
        <v>16962</v>
      </c>
      <c r="Z166" s="13">
        <v>29030</v>
      </c>
      <c r="AA166" s="39">
        <v>28987</v>
      </c>
      <c r="AB166" s="12">
        <f>AA166</f>
        <v>28987</v>
      </c>
      <c r="AC166" s="50">
        <v>32504</v>
      </c>
      <c r="AD166" s="50">
        <v>40072</v>
      </c>
      <c r="AE166" s="189">
        <v>47419</v>
      </c>
      <c r="AF166" s="189">
        <v>53463</v>
      </c>
      <c r="AG166" s="4">
        <f>AF166</f>
        <v>53463</v>
      </c>
      <c r="AH166" s="189">
        <v>53204</v>
      </c>
      <c r="AI166" s="189">
        <v>69374</v>
      </c>
      <c r="AJ166" s="189">
        <v>68939</v>
      </c>
      <c r="AK166" s="189">
        <v>75427</v>
      </c>
      <c r="AL166" s="4">
        <f>AK166</f>
        <v>75427</v>
      </c>
      <c r="AM166" s="189">
        <v>73557</v>
      </c>
      <c r="AN166" s="189">
        <v>84531</v>
      </c>
      <c r="AO166" s="677">
        <f>+AO175*AO194*(1-AO196)+2790</f>
        <v>86324.222515233603</v>
      </c>
      <c r="AP166" s="189">
        <f>+AP175*AP194*(1-AP196)</f>
        <v>85861.490547670532</v>
      </c>
      <c r="AQ166" s="4">
        <f>AP166</f>
        <v>85861.490547670532</v>
      </c>
      <c r="AR166" s="189">
        <f>+AR175*AR194*(1-AR196)</f>
        <v>90672.60460963579</v>
      </c>
      <c r="AS166" s="189">
        <f>+AS175*AS194*(1-AS196)</f>
        <v>96551.973375954491</v>
      </c>
      <c r="AT166" s="189">
        <f>+AT175*AT194*(1-AT196)</f>
        <v>97980.313262480762</v>
      </c>
      <c r="AU166" s="189">
        <f>+AU175*AU194*(1-AU196)</f>
        <v>100257.75466653486</v>
      </c>
      <c r="AV166" s="4">
        <f>AU166</f>
        <v>100257.75466653486</v>
      </c>
      <c r="AW166" s="189">
        <f>+AW175*AW194*(1-AW196)</f>
        <v>107290.22448230752</v>
      </c>
      <c r="AX166" s="189">
        <f>+AX175*AX194*(1-AX196)</f>
        <v>110747.41324805169</v>
      </c>
      <c r="AY166" s="189">
        <f>+AY175*AY194*(1-AY196)</f>
        <v>111892.94632166871</v>
      </c>
      <c r="AZ166" s="189">
        <f>+AZ175*AZ194*(1-AZ196)</f>
        <v>114266.21952934749</v>
      </c>
      <c r="BA166" s="4">
        <f>AZ166</f>
        <v>114266.21952934749</v>
      </c>
      <c r="BB166" s="189">
        <f>+BB175*BB194*(1-BB196)</f>
        <v>121571.57535934821</v>
      </c>
      <c r="BC166" s="189">
        <f>+BC175*BC194*(1-BC196)</f>
        <v>123919.28438279327</v>
      </c>
      <c r="BD166" s="189">
        <f>+BD175*BD194*(1-BD196)</f>
        <v>124676.6795131558</v>
      </c>
      <c r="BE166" s="189">
        <f>+BE175*BE194*(1-BE196)</f>
        <v>126997.9707054279</v>
      </c>
      <c r="BF166" s="4">
        <f>BE166</f>
        <v>126997.9707054279</v>
      </c>
      <c r="BG166" s="189">
        <f>+BG175*BG194*(1-BG196)</f>
        <v>133480.81116782388</v>
      </c>
      <c r="BH166" s="189">
        <f>+BH175*BH194*(1-BH196)</f>
        <v>135216.72097708471</v>
      </c>
      <c r="BI166" s="189">
        <f>+BI175*BI194*(1-BI196)</f>
        <v>135678.36993813579</v>
      </c>
      <c r="BJ166" s="189">
        <f>+BJ175*BJ194*(1-BJ196)</f>
        <v>137848.87132042449</v>
      </c>
      <c r="BK166" s="4">
        <f>BJ166</f>
        <v>137848.87132042449</v>
      </c>
    </row>
    <row r="167" spans="2:63" ht="15.75" hidden="1" customHeight="1" outlineLevel="1" x14ac:dyDescent="0.45">
      <c r="B167" s="748" t="s">
        <v>162</v>
      </c>
      <c r="C167" s="749"/>
      <c r="D167" s="34">
        <v>4139</v>
      </c>
      <c r="E167" s="248">
        <v>0</v>
      </c>
      <c r="F167" s="248">
        <v>0</v>
      </c>
      <c r="G167" s="35">
        <v>0</v>
      </c>
      <c r="H167" s="7">
        <f>G167</f>
        <v>0</v>
      </c>
      <c r="I167" s="34">
        <v>0</v>
      </c>
      <c r="J167" s="248">
        <v>0</v>
      </c>
      <c r="K167" s="8">
        <v>0</v>
      </c>
      <c r="L167" s="35">
        <v>0</v>
      </c>
      <c r="M167" s="7">
        <f>L167</f>
        <v>0</v>
      </c>
      <c r="N167" s="247">
        <v>0</v>
      </c>
      <c r="O167" s="8">
        <v>0</v>
      </c>
      <c r="P167" s="8">
        <v>0</v>
      </c>
      <c r="Q167" s="35">
        <v>0</v>
      </c>
      <c r="R167" s="7">
        <f>Q167</f>
        <v>0</v>
      </c>
      <c r="S167" s="34">
        <v>0</v>
      </c>
      <c r="T167" s="8">
        <v>0</v>
      </c>
      <c r="U167" s="8">
        <v>20553</v>
      </c>
      <c r="V167" s="35">
        <v>20208</v>
      </c>
      <c r="W167" s="7">
        <v>20208</v>
      </c>
      <c r="X167" s="34">
        <v>21699</v>
      </c>
      <c r="Y167" s="251">
        <v>22476</v>
      </c>
      <c r="Z167" s="8">
        <v>23287</v>
      </c>
      <c r="AA167" s="35">
        <v>24826</v>
      </c>
      <c r="AB167" s="7">
        <v>24826</v>
      </c>
      <c r="AC167" s="76">
        <v>28971</v>
      </c>
      <c r="AD167" s="76">
        <v>29816</v>
      </c>
      <c r="AE167" s="76">
        <v>31296</v>
      </c>
      <c r="AF167" s="76">
        <v>33427</v>
      </c>
      <c r="AG167" s="7">
        <v>33427</v>
      </c>
      <c r="AH167" s="76">
        <v>32175</v>
      </c>
      <c r="AI167" s="76">
        <v>33859</v>
      </c>
      <c r="AJ167" s="76">
        <v>35572</v>
      </c>
      <c r="AK167" s="76">
        <f>36074</f>
        <v>36074</v>
      </c>
      <c r="AL167" s="7">
        <v>36074</v>
      </c>
      <c r="AM167" s="76">
        <v>37901</v>
      </c>
      <c r="AN167" s="76">
        <v>39470</v>
      </c>
      <c r="AO167" s="76">
        <f t="shared" ref="AO167" si="211">AN167*(AJ167/AI167)</f>
        <v>41466.872618801506</v>
      </c>
      <c r="AP167" s="76">
        <f t="shared" ref="AP167" si="212">AO167*(AK167/AJ167)</f>
        <v>42052.062376325361</v>
      </c>
      <c r="AQ167" s="7">
        <f>AP167</f>
        <v>42052.062376325361</v>
      </c>
      <c r="AR167" s="76">
        <f>AP167*(AM167/AK167)</f>
        <v>44181.8266930506</v>
      </c>
      <c r="AS167" s="76">
        <f>AR167*(AN167/AM167)</f>
        <v>46010.83611447474</v>
      </c>
      <c r="AT167" s="76">
        <f>AS167*(AO167/AN167)</f>
        <v>48338.623771053353</v>
      </c>
      <c r="AU167" s="76">
        <f>AT167*(AP167/AO167)</f>
        <v>49020.789213903598</v>
      </c>
      <c r="AV167" s="7">
        <f>AU167</f>
        <v>49020.789213903598</v>
      </c>
      <c r="AW167" s="76">
        <f>AU167*(AR167/AP167)</f>
        <v>51503.490935193215</v>
      </c>
      <c r="AX167" s="76">
        <f>AW167*(AS167/AR167)</f>
        <v>53635.597667926333</v>
      </c>
      <c r="AY167" s="76">
        <f>AX167*(AT167/AS167)</f>
        <v>56349.138493265469</v>
      </c>
      <c r="AZ167" s="76">
        <f>AY167*(AU167/AT167)</f>
        <v>57144.350106995917</v>
      </c>
      <c r="BA167" s="7">
        <f>AZ167</f>
        <v>57144.350106995917</v>
      </c>
      <c r="BB167" s="76">
        <f>AZ167*(AW167/AU167)</f>
        <v>60038.476836648333</v>
      </c>
      <c r="BC167" s="76">
        <f>BB167*(AX167/AW167)</f>
        <v>62523.909151275941</v>
      </c>
      <c r="BD167" s="76">
        <f>BC167*(AY167/AX167)</f>
        <v>65687.128867633059</v>
      </c>
      <c r="BE167" s="76">
        <f>BD167*(AZ167/AY167)</f>
        <v>66614.120284802513</v>
      </c>
      <c r="BF167" s="7">
        <f>BE167</f>
        <v>66614.120284802513</v>
      </c>
      <c r="BG167" s="76">
        <f>BE167*(BB167/AZ167)</f>
        <v>69987.851996293728</v>
      </c>
      <c r="BH167" s="76">
        <f>BG167*(BC167/BB167)</f>
        <v>72885.1618240604</v>
      </c>
      <c r="BI167" s="76">
        <f>BH167*(BD167/BC167)</f>
        <v>76572.579710135469</v>
      </c>
      <c r="BJ167" s="76">
        <f>BI167*(BE167/BD167)</f>
        <v>77653.189038103767</v>
      </c>
      <c r="BK167" s="7">
        <f>BJ167</f>
        <v>77653.189038103767</v>
      </c>
    </row>
    <row r="168" spans="2:63" hidden="1" outlineLevel="1" x14ac:dyDescent="0.3">
      <c r="B168" s="722" t="s">
        <v>21</v>
      </c>
      <c r="C168" s="723"/>
      <c r="D168" s="14">
        <f t="shared" ref="D168:AI168" si="213">SUM(D164:D167)</f>
        <v>18158</v>
      </c>
      <c r="E168" s="115">
        <f t="shared" si="213"/>
        <v>17709</v>
      </c>
      <c r="F168" s="115">
        <f t="shared" si="213"/>
        <v>21614</v>
      </c>
      <c r="G168" s="15">
        <f t="shared" si="213"/>
        <v>27392</v>
      </c>
      <c r="H168" s="9">
        <f t="shared" si="213"/>
        <v>27392</v>
      </c>
      <c r="I168" s="14">
        <f t="shared" si="213"/>
        <v>32076</v>
      </c>
      <c r="J168" s="10">
        <f t="shared" si="213"/>
        <v>33427</v>
      </c>
      <c r="K168" s="10">
        <f t="shared" si="213"/>
        <v>37415</v>
      </c>
      <c r="L168" s="15">
        <f t="shared" si="213"/>
        <v>39756</v>
      </c>
      <c r="M168" s="9">
        <f t="shared" si="213"/>
        <v>39756</v>
      </c>
      <c r="N168" s="117">
        <f t="shared" si="213"/>
        <v>48627</v>
      </c>
      <c r="O168" s="10">
        <f t="shared" si="213"/>
        <v>48436</v>
      </c>
      <c r="P168" s="10">
        <f t="shared" si="213"/>
        <v>51150</v>
      </c>
      <c r="Q168" s="15">
        <f t="shared" si="213"/>
        <v>57854</v>
      </c>
      <c r="R168" s="9">
        <f t="shared" si="213"/>
        <v>57854</v>
      </c>
      <c r="S168" s="14">
        <f t="shared" si="213"/>
        <v>68742</v>
      </c>
      <c r="T168" s="10">
        <f t="shared" si="213"/>
        <v>59253</v>
      </c>
      <c r="U168" s="10">
        <f t="shared" si="213"/>
        <v>76502</v>
      </c>
      <c r="V168" s="15">
        <f t="shared" si="213"/>
        <v>83451</v>
      </c>
      <c r="W168" s="9">
        <f t="shared" si="213"/>
        <v>83451</v>
      </c>
      <c r="X168" s="14">
        <f t="shared" si="213"/>
        <v>95500</v>
      </c>
      <c r="Y168" s="10">
        <f t="shared" si="213"/>
        <v>85810</v>
      </c>
      <c r="Z168" s="10">
        <f t="shared" si="213"/>
        <v>101580</v>
      </c>
      <c r="AA168" s="15">
        <f t="shared" si="213"/>
        <v>120292</v>
      </c>
      <c r="AB168" s="9">
        <f t="shared" si="213"/>
        <v>120292</v>
      </c>
      <c r="AC168" s="49">
        <f t="shared" si="213"/>
        <v>138566</v>
      </c>
      <c r="AD168" s="49">
        <f t="shared" si="213"/>
        <v>132188</v>
      </c>
      <c r="AE168" s="49">
        <f t="shared" si="213"/>
        <v>147474</v>
      </c>
      <c r="AF168" s="47">
        <f t="shared" si="213"/>
        <v>171124</v>
      </c>
      <c r="AG168" s="9">
        <f t="shared" si="213"/>
        <v>171124</v>
      </c>
      <c r="AH168" s="47">
        <f t="shared" si="213"/>
        <v>165017</v>
      </c>
      <c r="AI168" s="49">
        <f t="shared" si="213"/>
        <v>174820</v>
      </c>
      <c r="AJ168" s="49">
        <f t="shared" ref="AJ168:BK168" si="214">SUM(AJ164:AJ167)</f>
        <v>179061</v>
      </c>
      <c r="AK168" s="49">
        <f t="shared" si="214"/>
        <v>193437</v>
      </c>
      <c r="AL168" s="9">
        <f t="shared" si="214"/>
        <v>193437</v>
      </c>
      <c r="AM168" s="49">
        <f t="shared" si="214"/>
        <v>198751</v>
      </c>
      <c r="AN168" s="47">
        <f t="shared" si="214"/>
        <v>200450</v>
      </c>
      <c r="AO168" s="47">
        <f t="shared" si="214"/>
        <v>205812.4126995035</v>
      </c>
      <c r="AP168" s="47">
        <f t="shared" si="214"/>
        <v>220013.46965194872</v>
      </c>
      <c r="AQ168" s="9">
        <f>SUM(AQ164:AQ167)</f>
        <v>220013.46965194872</v>
      </c>
      <c r="AR168" s="47">
        <f t="shared" si="214"/>
        <v>230783.13857139263</v>
      </c>
      <c r="AS168" s="47">
        <f t="shared" si="214"/>
        <v>233286.37433462546</v>
      </c>
      <c r="AT168" s="47">
        <f t="shared" si="214"/>
        <v>232316.01385439266</v>
      </c>
      <c r="AU168" s="47">
        <f t="shared" si="214"/>
        <v>253645.62419728749</v>
      </c>
      <c r="AV168" s="9">
        <f t="shared" si="214"/>
        <v>253645.62419728749</v>
      </c>
      <c r="AW168" s="47">
        <f t="shared" si="214"/>
        <v>260412.09333336598</v>
      </c>
      <c r="AX168" s="47">
        <f t="shared" si="214"/>
        <v>257274.3959653427</v>
      </c>
      <c r="AY168" s="47">
        <f t="shared" si="214"/>
        <v>256467.87079076466</v>
      </c>
      <c r="AZ168" s="47">
        <f t="shared" si="214"/>
        <v>286563.65418692719</v>
      </c>
      <c r="BA168" s="9">
        <f t="shared" si="214"/>
        <v>286563.65418692719</v>
      </c>
      <c r="BB168" s="47">
        <f t="shared" si="214"/>
        <v>284955.47998613166</v>
      </c>
      <c r="BC168" s="47">
        <f t="shared" si="214"/>
        <v>279558.72915278201</v>
      </c>
      <c r="BD168" s="47">
        <f t="shared" si="214"/>
        <v>283411.38279478264</v>
      </c>
      <c r="BE168" s="47">
        <f t="shared" si="214"/>
        <v>318867.70076054707</v>
      </c>
      <c r="BF168" s="9">
        <f t="shared" si="214"/>
        <v>318867.70076054707</v>
      </c>
      <c r="BG168" s="47">
        <f t="shared" si="214"/>
        <v>306224.43782845855</v>
      </c>
      <c r="BH168" s="47">
        <f t="shared" si="214"/>
        <v>306930.03965275828</v>
      </c>
      <c r="BI168" s="47">
        <f t="shared" si="214"/>
        <v>305543.23313026904</v>
      </c>
      <c r="BJ168" s="47">
        <f t="shared" si="214"/>
        <v>350956.51321841322</v>
      </c>
      <c r="BK168" s="9">
        <f t="shared" si="214"/>
        <v>350956.51321841322</v>
      </c>
    </row>
    <row r="169" spans="2:63" ht="6.75" hidden="1" customHeight="1" outlineLevel="1" x14ac:dyDescent="0.3">
      <c r="B169" s="739"/>
      <c r="C169" s="740"/>
      <c r="D169" s="38"/>
      <c r="E169" s="147"/>
      <c r="F169" s="147"/>
      <c r="G169" s="39"/>
      <c r="H169" s="12"/>
      <c r="I169" s="38"/>
      <c r="J169" s="13"/>
      <c r="K169" s="13"/>
      <c r="L169" s="39"/>
      <c r="M169" s="12"/>
      <c r="N169" s="146"/>
      <c r="O169" s="13"/>
      <c r="P169" s="13"/>
      <c r="Q169" s="39"/>
      <c r="R169" s="12"/>
      <c r="S169" s="38"/>
      <c r="T169" s="13"/>
      <c r="U169" s="13"/>
      <c r="V169" s="39"/>
      <c r="W169" s="12"/>
      <c r="X169" s="38"/>
      <c r="Y169" s="13"/>
      <c r="Z169" s="13"/>
      <c r="AA169" s="39"/>
      <c r="AB169" s="12"/>
      <c r="AC169" s="50"/>
      <c r="AD169" s="44"/>
      <c r="AE169" s="189"/>
      <c r="AF169" s="44"/>
      <c r="AG169" s="4"/>
      <c r="AH169" s="44"/>
      <c r="AI169" s="189"/>
      <c r="AJ169" s="189"/>
      <c r="AK169" s="44"/>
      <c r="AL169" s="4"/>
      <c r="AM169" s="44"/>
      <c r="AN169" s="44"/>
      <c r="AO169" s="44"/>
      <c r="AP169" s="44"/>
      <c r="AQ169" s="4"/>
      <c r="AR169" s="44"/>
      <c r="AS169" s="44"/>
      <c r="AT169" s="44"/>
      <c r="AU169" s="44"/>
      <c r="AV169" s="4"/>
      <c r="AW169" s="44"/>
      <c r="AX169" s="44"/>
      <c r="AY169" s="44"/>
      <c r="AZ169" s="44"/>
      <c r="BA169" s="4"/>
      <c r="BB169" s="188"/>
      <c r="BC169" s="188"/>
      <c r="BD169" s="188"/>
      <c r="BE169" s="188"/>
      <c r="BF169" s="4"/>
      <c r="BG169" s="188"/>
      <c r="BH169" s="188"/>
      <c r="BI169" s="188"/>
      <c r="BJ169" s="188"/>
      <c r="BK169" s="4"/>
    </row>
    <row r="170" spans="2:63" ht="14.25" hidden="1" customHeight="1" outlineLevel="1" x14ac:dyDescent="0.3">
      <c r="B170" s="714" t="s">
        <v>163</v>
      </c>
      <c r="C170" s="715"/>
      <c r="D170" s="38">
        <v>0</v>
      </c>
      <c r="E170" s="147">
        <v>0</v>
      </c>
      <c r="F170" s="147">
        <v>0</v>
      </c>
      <c r="G170" s="39">
        <v>0</v>
      </c>
      <c r="H170" s="12">
        <f>G170</f>
        <v>0</v>
      </c>
      <c r="I170" s="38"/>
      <c r="J170" s="13"/>
      <c r="K170" s="13"/>
      <c r="L170" s="39"/>
      <c r="M170" s="12">
        <f>L170</f>
        <v>0</v>
      </c>
      <c r="N170" s="146"/>
      <c r="O170" s="13"/>
      <c r="P170" s="13"/>
      <c r="Q170" s="39"/>
      <c r="R170" s="12">
        <f>Q170</f>
        <v>0</v>
      </c>
      <c r="S170" s="38"/>
      <c r="T170" s="13"/>
      <c r="U170" s="13"/>
      <c r="V170" s="39"/>
      <c r="W170" s="12">
        <f>V170</f>
        <v>0</v>
      </c>
      <c r="X170" s="38"/>
      <c r="Y170" s="13"/>
      <c r="Z170" s="13"/>
      <c r="AA170" s="39"/>
      <c r="AB170" s="12">
        <f>AA170</f>
        <v>0</v>
      </c>
      <c r="AC170" s="50">
        <f>AA170</f>
        <v>0</v>
      </c>
      <c r="AD170" s="44">
        <f t="shared" ref="AD170:BK170" si="215">AC170</f>
        <v>0</v>
      </c>
      <c r="AE170" s="189">
        <f t="shared" si="215"/>
        <v>0</v>
      </c>
      <c r="AF170" s="44">
        <f t="shared" si="215"/>
        <v>0</v>
      </c>
      <c r="AG170" s="4">
        <f t="shared" si="215"/>
        <v>0</v>
      </c>
      <c r="AH170" s="44">
        <f t="shared" si="215"/>
        <v>0</v>
      </c>
      <c r="AI170" s="189">
        <f t="shared" si="215"/>
        <v>0</v>
      </c>
      <c r="AJ170" s="189">
        <f t="shared" si="215"/>
        <v>0</v>
      </c>
      <c r="AK170" s="44">
        <f t="shared" si="215"/>
        <v>0</v>
      </c>
      <c r="AL170" s="4">
        <f t="shared" si="215"/>
        <v>0</v>
      </c>
      <c r="AM170" s="44">
        <f t="shared" si="215"/>
        <v>0</v>
      </c>
      <c r="AN170" s="44">
        <f t="shared" si="215"/>
        <v>0</v>
      </c>
      <c r="AO170" s="44">
        <f t="shared" si="215"/>
        <v>0</v>
      </c>
      <c r="AP170" s="44">
        <f t="shared" si="215"/>
        <v>0</v>
      </c>
      <c r="AQ170" s="4">
        <f t="shared" si="215"/>
        <v>0</v>
      </c>
      <c r="AR170" s="44">
        <f t="shared" si="215"/>
        <v>0</v>
      </c>
      <c r="AS170" s="44">
        <f t="shared" si="215"/>
        <v>0</v>
      </c>
      <c r="AT170" s="44">
        <f t="shared" si="215"/>
        <v>0</v>
      </c>
      <c r="AU170" s="44">
        <f t="shared" si="215"/>
        <v>0</v>
      </c>
      <c r="AV170" s="4">
        <f t="shared" si="215"/>
        <v>0</v>
      </c>
      <c r="AW170" s="44">
        <f t="shared" si="215"/>
        <v>0</v>
      </c>
      <c r="AX170" s="44">
        <f t="shared" si="215"/>
        <v>0</v>
      </c>
      <c r="AY170" s="44">
        <f t="shared" si="215"/>
        <v>0</v>
      </c>
      <c r="AZ170" s="44">
        <f t="shared" si="215"/>
        <v>0</v>
      </c>
      <c r="BA170" s="4">
        <f t="shared" si="215"/>
        <v>0</v>
      </c>
      <c r="BB170" s="188">
        <f t="shared" si="215"/>
        <v>0</v>
      </c>
      <c r="BC170" s="188">
        <f t="shared" si="215"/>
        <v>0</v>
      </c>
      <c r="BD170" s="188">
        <f t="shared" si="215"/>
        <v>0</v>
      </c>
      <c r="BE170" s="188">
        <f t="shared" si="215"/>
        <v>0</v>
      </c>
      <c r="BF170" s="4">
        <f t="shared" si="215"/>
        <v>0</v>
      </c>
      <c r="BG170" s="188">
        <f t="shared" si="215"/>
        <v>0</v>
      </c>
      <c r="BH170" s="188">
        <f t="shared" si="215"/>
        <v>0</v>
      </c>
      <c r="BI170" s="188">
        <f t="shared" si="215"/>
        <v>0</v>
      </c>
      <c r="BJ170" s="188">
        <f t="shared" si="215"/>
        <v>0</v>
      </c>
      <c r="BK170" s="4">
        <f t="shared" si="215"/>
        <v>0</v>
      </c>
    </row>
    <row r="171" spans="2:63" hidden="1" outlineLevel="1" x14ac:dyDescent="0.3">
      <c r="B171" s="729" t="s">
        <v>22</v>
      </c>
      <c r="C171" s="738"/>
      <c r="D171" s="38"/>
      <c r="E171" s="147"/>
      <c r="F171" s="147"/>
      <c r="G171" s="39"/>
      <c r="H171" s="12"/>
      <c r="I171" s="38"/>
      <c r="J171" s="13"/>
      <c r="K171" s="13"/>
      <c r="L171" s="39"/>
      <c r="M171" s="12"/>
      <c r="N171" s="146"/>
      <c r="O171" s="13"/>
      <c r="P171" s="13"/>
      <c r="Q171" s="39"/>
      <c r="R171" s="12"/>
      <c r="S171" s="38"/>
      <c r="T171" s="13"/>
      <c r="U171" s="13"/>
      <c r="V171" s="39"/>
      <c r="W171" s="4"/>
      <c r="X171" s="38"/>
      <c r="Y171" s="13"/>
      <c r="Z171" s="13"/>
      <c r="AA171" s="39"/>
      <c r="AB171" s="4"/>
      <c r="AC171" s="50"/>
      <c r="AD171" s="44"/>
      <c r="AE171" s="44"/>
      <c r="AF171" s="44"/>
      <c r="AG171" s="4"/>
      <c r="AH171" s="188"/>
      <c r="AI171" s="188"/>
      <c r="AJ171" s="188"/>
      <c r="AK171" s="44"/>
      <c r="AL171" s="4"/>
      <c r="AM171" s="44"/>
      <c r="AN171" s="44"/>
      <c r="AO171" s="44"/>
      <c r="AP171" s="44"/>
      <c r="AQ171" s="4"/>
      <c r="AR171" s="44"/>
      <c r="AS171" s="44"/>
      <c r="AT171" s="44"/>
      <c r="AU171" s="44"/>
      <c r="AV171" s="4"/>
      <c r="AW171" s="44"/>
      <c r="AX171" s="44"/>
      <c r="AY171" s="44"/>
      <c r="AZ171" s="44"/>
      <c r="BA171" s="4"/>
      <c r="BB171" s="188"/>
      <c r="BC171" s="188"/>
      <c r="BD171" s="188"/>
      <c r="BE171" s="188"/>
      <c r="BF171" s="4"/>
      <c r="BG171" s="188"/>
      <c r="BH171" s="188"/>
      <c r="BI171" s="188"/>
      <c r="BJ171" s="188"/>
      <c r="BK171" s="4"/>
    </row>
    <row r="172" spans="2:63" hidden="1" outlineLevel="1" x14ac:dyDescent="0.3">
      <c r="B172" s="714" t="s">
        <v>23</v>
      </c>
      <c r="C172" s="715"/>
      <c r="D172" s="38">
        <v>8962</v>
      </c>
      <c r="E172" s="156">
        <v>9553</v>
      </c>
      <c r="F172" s="147">
        <v>10133</v>
      </c>
      <c r="G172" s="39">
        <v>10668</v>
      </c>
      <c r="H172" s="12">
        <f>G172</f>
        <v>10668</v>
      </c>
      <c r="I172" s="38">
        <v>11502</v>
      </c>
      <c r="J172" s="157">
        <v>12326</v>
      </c>
      <c r="K172" s="13">
        <v>12715</v>
      </c>
      <c r="L172" s="39">
        <v>13331</v>
      </c>
      <c r="M172" s="12">
        <f>L172</f>
        <v>13331</v>
      </c>
      <c r="N172" s="146">
        <v>13961</v>
      </c>
      <c r="O172" s="157">
        <v>14850</v>
      </c>
      <c r="P172" s="13">
        <v>15573</v>
      </c>
      <c r="Q172" s="39">
        <v>16422</v>
      </c>
      <c r="R172" s="12">
        <f>Q172</f>
        <v>16422</v>
      </c>
      <c r="S172" s="38">
        <v>17167</v>
      </c>
      <c r="T172" s="157">
        <v>17954</v>
      </c>
      <c r="U172" s="13">
        <v>19024</v>
      </c>
      <c r="V172" s="39">
        <v>19764</v>
      </c>
      <c r="W172" s="12">
        <f>V172</f>
        <v>19764</v>
      </c>
      <c r="X172" s="38">
        <v>20559</v>
      </c>
      <c r="Y172" s="157">
        <v>21496</v>
      </c>
      <c r="Z172" s="13">
        <v>22139</v>
      </c>
      <c r="AA172" s="39">
        <v>23313</v>
      </c>
      <c r="AB172" s="12">
        <f>AA172</f>
        <v>23313</v>
      </c>
      <c r="AC172" s="50">
        <v>24187</v>
      </c>
      <c r="AD172" s="44">
        <v>25376</v>
      </c>
      <c r="AE172" s="44">
        <v>26327</v>
      </c>
      <c r="AF172" s="44">
        <v>27416</v>
      </c>
      <c r="AG172" s="4">
        <f>AF172</f>
        <v>27416</v>
      </c>
      <c r="AH172" s="44">
        <v>28253</v>
      </c>
      <c r="AI172" s="189">
        <v>29484</v>
      </c>
      <c r="AJ172" s="44">
        <v>30106</v>
      </c>
      <c r="AK172" s="44">
        <v>31251</v>
      </c>
      <c r="AL172" s="4">
        <f>AK172</f>
        <v>31251</v>
      </c>
      <c r="AM172" s="44">
        <v>32144</v>
      </c>
      <c r="AN172" s="44">
        <v>33579</v>
      </c>
      <c r="AO172" s="44">
        <f t="shared" ref="AO172:AP172" si="216">AN172+AO205+AO231+AO232</f>
        <v>34240.745499622855</v>
      </c>
      <c r="AP172" s="44">
        <f t="shared" si="216"/>
        <v>35241.2828645958</v>
      </c>
      <c r="AQ172" s="4">
        <f>AP172</f>
        <v>35241.2828645958</v>
      </c>
      <c r="AR172" s="44">
        <f>AP172+AR205+AR231+AR232</f>
        <v>36102.120125742294</v>
      </c>
      <c r="AS172" s="188">
        <f>AR172+AS205+AS231+AS232</f>
        <v>37333.110101091515</v>
      </c>
      <c r="AT172" s="188">
        <f t="shared" ref="AT172:AU172" si="217">AS172+AT205+AT231+AT232</f>
        <v>38074.77175661354</v>
      </c>
      <c r="AU172" s="188">
        <f t="shared" si="217"/>
        <v>39117.461579271505</v>
      </c>
      <c r="AV172" s="4">
        <f>AU172</f>
        <v>39117.461579271505</v>
      </c>
      <c r="AW172" s="188">
        <f>AU172+AW205+AW231+AW232</f>
        <v>39993.605395760591</v>
      </c>
      <c r="AX172" s="188">
        <f>AW172+AX205+AX231+AX232</f>
        <v>41125.483791583407</v>
      </c>
      <c r="AY172" s="188">
        <f t="shared" ref="AY172:AZ172" si="218">AX172+AY205+AY231+AY232</f>
        <v>41801.481655144635</v>
      </c>
      <c r="AZ172" s="188">
        <f t="shared" si="218"/>
        <v>42855.702745571223</v>
      </c>
      <c r="BA172" s="4">
        <f>AZ172</f>
        <v>42855.702745571223</v>
      </c>
      <c r="BB172" s="188">
        <f>AZ172+BB205+BB231+BB232</f>
        <v>43729.4623545016</v>
      </c>
      <c r="BC172" s="188">
        <f>BB172+BC205+BC231+BC232</f>
        <v>44743.40939758165</v>
      </c>
      <c r="BD172" s="188">
        <f t="shared" ref="BD172:BE172" si="219">BC172+BD205+BD231+BD232</f>
        <v>45372.430249002799</v>
      </c>
      <c r="BE172" s="188">
        <f t="shared" si="219"/>
        <v>46442.132480977016</v>
      </c>
      <c r="BF172" s="4">
        <f>BE172</f>
        <v>46442.132480977016</v>
      </c>
      <c r="BG172" s="188">
        <f>BE172+BG205+BG231+BG232</f>
        <v>47278.576420542733</v>
      </c>
      <c r="BH172" s="188">
        <f>BG172+BH205+BH231+BH232</f>
        <v>48224.075840204096</v>
      </c>
      <c r="BI172" s="188">
        <f t="shared" ref="BI172:BJ172" si="220">BH172+BI205+BI231+BI232</f>
        <v>48820.694066181437</v>
      </c>
      <c r="BJ172" s="188">
        <f t="shared" si="220"/>
        <v>49868.678657045573</v>
      </c>
      <c r="BK172" s="4">
        <f>BJ172</f>
        <v>49868.678657045573</v>
      </c>
    </row>
    <row r="173" spans="2:63" hidden="1" outlineLevel="1" x14ac:dyDescent="0.3">
      <c r="B173" s="748" t="s">
        <v>164</v>
      </c>
      <c r="C173" s="749"/>
      <c r="D173" s="38">
        <v>26695</v>
      </c>
      <c r="E173" s="156">
        <v>29670</v>
      </c>
      <c r="F173" s="147">
        <v>32870</v>
      </c>
      <c r="G173" s="39">
        <v>37169</v>
      </c>
      <c r="H173" s="12">
        <f>G173</f>
        <v>37169</v>
      </c>
      <c r="I173" s="38">
        <v>43050</v>
      </c>
      <c r="J173" s="157">
        <v>49025</v>
      </c>
      <c r="K173" s="13">
        <v>56239</v>
      </c>
      <c r="L173" s="39">
        <v>62841</v>
      </c>
      <c r="M173" s="12">
        <f>L173</f>
        <v>62841</v>
      </c>
      <c r="N173" s="146">
        <v>75709</v>
      </c>
      <c r="O173" s="157">
        <v>87124</v>
      </c>
      <c r="P173" s="13">
        <v>95641</v>
      </c>
      <c r="Q173" s="39">
        <v>101289</v>
      </c>
      <c r="R173" s="12">
        <f>Q173</f>
        <v>101289</v>
      </c>
      <c r="S173" s="38">
        <v>109567</v>
      </c>
      <c r="T173" s="157">
        <v>116572</v>
      </c>
      <c r="U173" s="13">
        <v>104564</v>
      </c>
      <c r="V173" s="39">
        <v>104256</v>
      </c>
      <c r="W173" s="12">
        <f>V173</f>
        <v>104256</v>
      </c>
      <c r="X173" s="38">
        <v>109431</v>
      </c>
      <c r="Y173" s="157">
        <v>98934</v>
      </c>
      <c r="Z173" s="13">
        <v>98715</v>
      </c>
      <c r="AA173" s="39">
        <v>87152</v>
      </c>
      <c r="AB173" s="12">
        <f>AA173</f>
        <v>87152</v>
      </c>
      <c r="AC173" s="50">
        <v>97178</v>
      </c>
      <c r="AD173" s="44">
        <v>100920</v>
      </c>
      <c r="AE173" s="44">
        <v>98252</v>
      </c>
      <c r="AF173" s="188">
        <v>92284</v>
      </c>
      <c r="AG173" s="4">
        <f>AF173</f>
        <v>92284</v>
      </c>
      <c r="AH173" s="188">
        <v>101494</v>
      </c>
      <c r="AI173" s="189">
        <v>102021</v>
      </c>
      <c r="AJ173" s="188">
        <v>96542</v>
      </c>
      <c r="AK173" s="188">
        <v>96364</v>
      </c>
      <c r="AL173" s="4">
        <f>AK173</f>
        <v>96364</v>
      </c>
      <c r="AM173" s="188">
        <v>100001</v>
      </c>
      <c r="AN173" s="188">
        <v>100925</v>
      </c>
      <c r="AO173" s="188">
        <f>AN173+AO201+AO233+AO234</f>
        <v>100858.79802122783</v>
      </c>
      <c r="AP173" s="188">
        <f>AO173+AP201+AP233+AP234</f>
        <v>102292.39145236375</v>
      </c>
      <c r="AQ173" s="4">
        <f>AP173</f>
        <v>102292.39145236375</v>
      </c>
      <c r="AR173" s="188">
        <f>AP173+AR201+AR233+AR234</f>
        <v>113458.6434376933</v>
      </c>
      <c r="AS173" s="188">
        <f>AR173+AS201+AS233+AS234</f>
        <v>118514.06109913795</v>
      </c>
      <c r="AT173" s="188">
        <f>AS173+AT201+AT233+AT234</f>
        <v>120657.11250530352</v>
      </c>
      <c r="AU173" s="188">
        <f>AT173+AU201+AU233+AU234</f>
        <v>123384.07052322375</v>
      </c>
      <c r="AV173" s="4">
        <f>AU173</f>
        <v>123384.07052322375</v>
      </c>
      <c r="AW173" s="188">
        <f>AU173+AW201+AW233+AW234</f>
        <v>134413.02504672299</v>
      </c>
      <c r="AX173" s="188">
        <f>AW173+AX201+AX233+AX234</f>
        <v>138256.09312801974</v>
      </c>
      <c r="AY173" s="188">
        <f>AX173+AY201+AY233+AY234</f>
        <v>139604.42175313437</v>
      </c>
      <c r="AZ173" s="188">
        <f>AY173+AZ201+AZ233+AZ234</f>
        <v>142438.83407116687</v>
      </c>
      <c r="BA173" s="4">
        <f>AZ173</f>
        <v>142438.83407116687</v>
      </c>
      <c r="BB173" s="188">
        <f>AZ173+BB201+BB233+BB234</f>
        <v>153423.48925764588</v>
      </c>
      <c r="BC173" s="188">
        <f>BB173+BC201+BC233+BC234</f>
        <v>156103.77211420244</v>
      </c>
      <c r="BD173" s="188">
        <f>BC173+BD201+BD233+BD234</f>
        <v>156745.28292062817</v>
      </c>
      <c r="BE173" s="188">
        <f>BD173+BE201+BE233+BE234</f>
        <v>159439.62839241963</v>
      </c>
      <c r="BF173" s="4">
        <f>BE173</f>
        <v>159439.62839241963</v>
      </c>
      <c r="BG173" s="188">
        <f>BE173+BG201+BG233+BG234</f>
        <v>169088.19799511868</v>
      </c>
      <c r="BH173" s="188">
        <f>BG173+BH201+BH233+BH234</f>
        <v>170936.34360055867</v>
      </c>
      <c r="BI173" s="188">
        <f>BH173+BI201+BI233+BI234</f>
        <v>171096.7999955579</v>
      </c>
      <c r="BJ173" s="188">
        <f>BI173+BJ201+BJ233+BJ234</f>
        <v>173560.62891924111</v>
      </c>
      <c r="BK173" s="4">
        <f>BJ173</f>
        <v>173560.62891924111</v>
      </c>
    </row>
    <row r="174" spans="2:63" ht="16.2" hidden="1" outlineLevel="1" x14ac:dyDescent="0.45">
      <c r="B174" s="746" t="s">
        <v>24</v>
      </c>
      <c r="C174" s="747"/>
      <c r="D174" s="34">
        <v>111</v>
      </c>
      <c r="E174" s="248">
        <v>125</v>
      </c>
      <c r="F174" s="248">
        <v>108</v>
      </c>
      <c r="G174" s="35">
        <v>-46</v>
      </c>
      <c r="H174" s="7">
        <f>G174</f>
        <v>-46</v>
      </c>
      <c r="I174" s="34">
        <v>114</v>
      </c>
      <c r="J174" s="8">
        <v>126</v>
      </c>
      <c r="K174" s="8">
        <v>389</v>
      </c>
      <c r="L174" s="35">
        <v>443</v>
      </c>
      <c r="M174" s="7">
        <f>L174</f>
        <v>443</v>
      </c>
      <c r="N174" s="247">
        <v>384</v>
      </c>
      <c r="O174" s="8">
        <v>524</v>
      </c>
      <c r="P174" s="8">
        <v>532</v>
      </c>
      <c r="Q174" s="35">
        <v>499</v>
      </c>
      <c r="R174" s="7">
        <f>Q174</f>
        <v>499</v>
      </c>
      <c r="S174" s="34">
        <v>612</v>
      </c>
      <c r="T174" s="8">
        <v>964</v>
      </c>
      <c r="U174" s="8">
        <v>-234</v>
      </c>
      <c r="V174" s="35">
        <v>-471</v>
      </c>
      <c r="W174" s="7">
        <f>V174</f>
        <v>-471</v>
      </c>
      <c r="X174" s="34">
        <v>-306</v>
      </c>
      <c r="Y174" s="8">
        <v>-251</v>
      </c>
      <c r="Z174" s="8">
        <v>86</v>
      </c>
      <c r="AA174" s="35">
        <v>1082</v>
      </c>
      <c r="AB174" s="7">
        <f>AA174</f>
        <v>1082</v>
      </c>
      <c r="AC174" s="252">
        <v>1963</v>
      </c>
      <c r="AD174" s="252">
        <v>2710</v>
      </c>
      <c r="AE174" s="252">
        <v>1098</v>
      </c>
      <c r="AF174" s="252">
        <v>-345</v>
      </c>
      <c r="AG174" s="7">
        <f>AF174</f>
        <v>-345</v>
      </c>
      <c r="AH174" s="252">
        <v>-1480</v>
      </c>
      <c r="AI174" s="76">
        <v>-1048</v>
      </c>
      <c r="AJ174" s="252">
        <v>-107</v>
      </c>
      <c r="AK174" s="252">
        <v>634</v>
      </c>
      <c r="AL174" s="7">
        <f>AK174</f>
        <v>634</v>
      </c>
      <c r="AM174" s="252">
        <v>245</v>
      </c>
      <c r="AN174" s="252">
        <v>-422</v>
      </c>
      <c r="AO174" s="252">
        <f>AN174</f>
        <v>-422</v>
      </c>
      <c r="AP174" s="252">
        <f>AO174</f>
        <v>-422</v>
      </c>
      <c r="AQ174" s="7">
        <f>AP174</f>
        <v>-422</v>
      </c>
      <c r="AR174" s="252">
        <f>AQ174</f>
        <v>-422</v>
      </c>
      <c r="AS174" s="252">
        <f>AR174</f>
        <v>-422</v>
      </c>
      <c r="AT174" s="252">
        <f>AS174</f>
        <v>-422</v>
      </c>
      <c r="AU174" s="252">
        <f>AT174</f>
        <v>-422</v>
      </c>
      <c r="AV174" s="7">
        <f>AU174</f>
        <v>-422</v>
      </c>
      <c r="AW174" s="252">
        <f>AV174</f>
        <v>-422</v>
      </c>
      <c r="AX174" s="252">
        <f>AW174</f>
        <v>-422</v>
      </c>
      <c r="AY174" s="252">
        <f>AX174</f>
        <v>-422</v>
      </c>
      <c r="AZ174" s="252">
        <f>AY174</f>
        <v>-422</v>
      </c>
      <c r="BA174" s="7">
        <f>AZ174</f>
        <v>-422</v>
      </c>
      <c r="BB174" s="252">
        <f>BA174</f>
        <v>-422</v>
      </c>
      <c r="BC174" s="252">
        <f>BB174</f>
        <v>-422</v>
      </c>
      <c r="BD174" s="252">
        <f>BC174</f>
        <v>-422</v>
      </c>
      <c r="BE174" s="252">
        <f>BD174</f>
        <v>-422</v>
      </c>
      <c r="BF174" s="7">
        <f>BE174</f>
        <v>-422</v>
      </c>
      <c r="BG174" s="252">
        <f>BF174</f>
        <v>-422</v>
      </c>
      <c r="BH174" s="252">
        <f>BG174</f>
        <v>-422</v>
      </c>
      <c r="BI174" s="252">
        <f>BH174</f>
        <v>-422</v>
      </c>
      <c r="BJ174" s="252">
        <f>BI174</f>
        <v>-422</v>
      </c>
      <c r="BK174" s="7">
        <f>BJ174</f>
        <v>-422</v>
      </c>
    </row>
    <row r="175" spans="2:63" hidden="1" outlineLevel="1" x14ac:dyDescent="0.3">
      <c r="B175" s="722" t="s">
        <v>165</v>
      </c>
      <c r="C175" s="723"/>
      <c r="D175" s="14">
        <f t="shared" ref="D175:AF175" si="221">SUM(D172:D174)</f>
        <v>35768</v>
      </c>
      <c r="E175" s="115">
        <f t="shared" si="221"/>
        <v>39348</v>
      </c>
      <c r="F175" s="115">
        <f t="shared" si="221"/>
        <v>43111</v>
      </c>
      <c r="G175" s="15">
        <f t="shared" si="221"/>
        <v>47791</v>
      </c>
      <c r="H175" s="9">
        <f t="shared" si="221"/>
        <v>47791</v>
      </c>
      <c r="I175" s="14">
        <f t="shared" si="221"/>
        <v>54666</v>
      </c>
      <c r="J175" s="10">
        <f t="shared" si="221"/>
        <v>61477</v>
      </c>
      <c r="K175" s="10">
        <f t="shared" si="221"/>
        <v>69343</v>
      </c>
      <c r="L175" s="15">
        <f t="shared" si="221"/>
        <v>76615</v>
      </c>
      <c r="M175" s="9">
        <f>SUM(M172:M174)</f>
        <v>76615</v>
      </c>
      <c r="N175" s="117">
        <f t="shared" si="221"/>
        <v>90054</v>
      </c>
      <c r="O175" s="10">
        <f t="shared" si="221"/>
        <v>102498</v>
      </c>
      <c r="P175" s="10">
        <f t="shared" si="221"/>
        <v>111746</v>
      </c>
      <c r="Q175" s="15">
        <f t="shared" si="221"/>
        <v>118210</v>
      </c>
      <c r="R175" s="9">
        <f>SUM(R172:R174)</f>
        <v>118210</v>
      </c>
      <c r="S175" s="14">
        <f t="shared" si="221"/>
        <v>127346</v>
      </c>
      <c r="T175" s="10">
        <f t="shared" si="221"/>
        <v>135490</v>
      </c>
      <c r="U175" s="10">
        <f t="shared" si="221"/>
        <v>123354</v>
      </c>
      <c r="V175" s="15">
        <f t="shared" si="221"/>
        <v>123549</v>
      </c>
      <c r="W175" s="9">
        <f>SUM(W172:W174)</f>
        <v>123549</v>
      </c>
      <c r="X175" s="14">
        <f t="shared" si="221"/>
        <v>129684</v>
      </c>
      <c r="Y175" s="10">
        <f t="shared" si="221"/>
        <v>120179</v>
      </c>
      <c r="Z175" s="10">
        <f t="shared" si="221"/>
        <v>120940</v>
      </c>
      <c r="AA175" s="15">
        <f t="shared" si="221"/>
        <v>111547</v>
      </c>
      <c r="AB175" s="9">
        <f>SUM(AB172:AB174)</f>
        <v>111547</v>
      </c>
      <c r="AC175" s="10">
        <f t="shared" si="221"/>
        <v>123328</v>
      </c>
      <c r="AD175" s="10">
        <f t="shared" si="221"/>
        <v>129006</v>
      </c>
      <c r="AE175" s="10">
        <f t="shared" si="221"/>
        <v>125677</v>
      </c>
      <c r="AF175" s="10">
        <f t="shared" si="221"/>
        <v>119355</v>
      </c>
      <c r="AG175" s="9">
        <f>SUM(AG172:AG174)</f>
        <v>119355</v>
      </c>
      <c r="AH175" s="10">
        <f>SUM(AH172:AH174)</f>
        <v>128267</v>
      </c>
      <c r="AI175" s="115">
        <f t="shared" ref="AI175:BA175" si="222">SUM(AI172:AI174)</f>
        <v>130457</v>
      </c>
      <c r="AJ175" s="10">
        <f t="shared" si="222"/>
        <v>126541</v>
      </c>
      <c r="AK175" s="10">
        <f t="shared" si="222"/>
        <v>128249</v>
      </c>
      <c r="AL175" s="9">
        <f t="shared" si="222"/>
        <v>128249</v>
      </c>
      <c r="AM175" s="10">
        <f t="shared" si="222"/>
        <v>132390</v>
      </c>
      <c r="AN175" s="10">
        <f>SUM(AN172:AN174)</f>
        <v>134082</v>
      </c>
      <c r="AO175" s="10">
        <f t="shared" si="222"/>
        <v>134677.54352085068</v>
      </c>
      <c r="AP175" s="10">
        <f t="shared" si="222"/>
        <v>137111.67431695954</v>
      </c>
      <c r="AQ175" s="9">
        <f t="shared" si="222"/>
        <v>137111.67431695954</v>
      </c>
      <c r="AR175" s="10">
        <f t="shared" si="222"/>
        <v>149138.76356343558</v>
      </c>
      <c r="AS175" s="10">
        <f t="shared" si="222"/>
        <v>155425.17120022947</v>
      </c>
      <c r="AT175" s="10">
        <f t="shared" si="222"/>
        <v>158309.88426191706</v>
      </c>
      <c r="AU175" s="10">
        <f t="shared" si="222"/>
        <v>162079.53210249526</v>
      </c>
      <c r="AV175" s="9">
        <f t="shared" si="222"/>
        <v>162079.53210249526</v>
      </c>
      <c r="AW175" s="10">
        <f t="shared" si="222"/>
        <v>173984.63044248358</v>
      </c>
      <c r="AX175" s="10">
        <f t="shared" si="222"/>
        <v>178959.57691960316</v>
      </c>
      <c r="AY175" s="10">
        <f t="shared" si="222"/>
        <v>180983.903408279</v>
      </c>
      <c r="AZ175" s="10">
        <f t="shared" si="222"/>
        <v>184872.53681673808</v>
      </c>
      <c r="BA175" s="9">
        <f t="shared" si="222"/>
        <v>184872.53681673808</v>
      </c>
      <c r="BB175" s="10">
        <f t="shared" ref="BB175:BK175" si="223">SUM(BB172:BB174)</f>
        <v>196730.95161214747</v>
      </c>
      <c r="BC175" s="10">
        <f t="shared" si="223"/>
        <v>200425.18151178409</v>
      </c>
      <c r="BD175" s="10">
        <f t="shared" si="223"/>
        <v>201695.71316963097</v>
      </c>
      <c r="BE175" s="10">
        <f t="shared" si="223"/>
        <v>205459.76087339665</v>
      </c>
      <c r="BF175" s="9">
        <f t="shared" si="223"/>
        <v>205459.76087339665</v>
      </c>
      <c r="BG175" s="10">
        <f t="shared" si="223"/>
        <v>215944.77441566141</v>
      </c>
      <c r="BH175" s="10">
        <f t="shared" si="223"/>
        <v>218738.41944076278</v>
      </c>
      <c r="BI175" s="10">
        <f t="shared" si="223"/>
        <v>219495.49406173933</v>
      </c>
      <c r="BJ175" s="10">
        <f t="shared" si="223"/>
        <v>223007.30757628666</v>
      </c>
      <c r="BK175" s="9">
        <f t="shared" si="223"/>
        <v>223007.30757628666</v>
      </c>
    </row>
    <row r="176" spans="2:63" hidden="1" outlineLevel="1" x14ac:dyDescent="0.3">
      <c r="B176" s="744" t="s">
        <v>25</v>
      </c>
      <c r="C176" s="745"/>
      <c r="D176" s="40">
        <f t="shared" ref="D176:AZ176" si="224">D175+D168</f>
        <v>53926</v>
      </c>
      <c r="E176" s="116">
        <f t="shared" si="224"/>
        <v>57057</v>
      </c>
      <c r="F176" s="116">
        <f t="shared" si="224"/>
        <v>64725</v>
      </c>
      <c r="G176" s="41">
        <f t="shared" si="224"/>
        <v>75183</v>
      </c>
      <c r="H176" s="28">
        <f t="shared" si="224"/>
        <v>75183</v>
      </c>
      <c r="I176" s="40">
        <f t="shared" si="224"/>
        <v>86742</v>
      </c>
      <c r="J176" s="29">
        <f t="shared" si="224"/>
        <v>94904</v>
      </c>
      <c r="K176" s="29">
        <f t="shared" si="224"/>
        <v>106758</v>
      </c>
      <c r="L176" s="41">
        <f t="shared" si="224"/>
        <v>116371</v>
      </c>
      <c r="M176" s="28">
        <f>M175+M168</f>
        <v>116371</v>
      </c>
      <c r="N176" s="118">
        <f t="shared" si="224"/>
        <v>138681</v>
      </c>
      <c r="O176" s="29">
        <f t="shared" si="224"/>
        <v>150934</v>
      </c>
      <c r="P176" s="29">
        <f t="shared" si="224"/>
        <v>162896</v>
      </c>
      <c r="Q176" s="41">
        <f t="shared" si="224"/>
        <v>176064</v>
      </c>
      <c r="R176" s="28">
        <f>R175+R168</f>
        <v>176064</v>
      </c>
      <c r="S176" s="40">
        <f t="shared" si="224"/>
        <v>196088</v>
      </c>
      <c r="T176" s="29">
        <f t="shared" si="224"/>
        <v>194743</v>
      </c>
      <c r="U176" s="29">
        <f t="shared" si="224"/>
        <v>199856</v>
      </c>
      <c r="V176" s="41">
        <f t="shared" si="224"/>
        <v>207000</v>
      </c>
      <c r="W176" s="28">
        <f>W175+W168</f>
        <v>207000</v>
      </c>
      <c r="X176" s="40">
        <f t="shared" si="224"/>
        <v>225184</v>
      </c>
      <c r="Y176" s="29">
        <f t="shared" si="224"/>
        <v>205989</v>
      </c>
      <c r="Z176" s="29">
        <f t="shared" si="224"/>
        <v>222520</v>
      </c>
      <c r="AA176" s="41">
        <f t="shared" si="224"/>
        <v>231839</v>
      </c>
      <c r="AB176" s="28">
        <f>AB175+AB168</f>
        <v>231839</v>
      </c>
      <c r="AC176" s="29">
        <f t="shared" si="224"/>
        <v>261894</v>
      </c>
      <c r="AD176" s="29">
        <f t="shared" si="224"/>
        <v>261194</v>
      </c>
      <c r="AE176" s="29">
        <f t="shared" si="224"/>
        <v>273151</v>
      </c>
      <c r="AF176" s="29">
        <f t="shared" si="224"/>
        <v>290479</v>
      </c>
      <c r="AG176" s="28">
        <f>AG175+AG168</f>
        <v>290479</v>
      </c>
      <c r="AH176" s="29">
        <f t="shared" si="224"/>
        <v>293284</v>
      </c>
      <c r="AI176" s="116">
        <f t="shared" si="224"/>
        <v>305277</v>
      </c>
      <c r="AJ176" s="29">
        <f t="shared" si="224"/>
        <v>305602</v>
      </c>
      <c r="AK176" s="29">
        <f t="shared" si="224"/>
        <v>321686</v>
      </c>
      <c r="AL176" s="28">
        <f>AL175+AL168</f>
        <v>321686</v>
      </c>
      <c r="AM176" s="29">
        <f t="shared" si="224"/>
        <v>331141</v>
      </c>
      <c r="AN176" s="29">
        <f t="shared" si="224"/>
        <v>334532</v>
      </c>
      <c r="AO176" s="29">
        <f t="shared" si="224"/>
        <v>340489.95622035419</v>
      </c>
      <c r="AP176" s="29">
        <f t="shared" si="224"/>
        <v>357125.14396890823</v>
      </c>
      <c r="AQ176" s="28">
        <f>AQ175+AQ168</f>
        <v>357125.14396890823</v>
      </c>
      <c r="AR176" s="29">
        <f t="shared" si="224"/>
        <v>379921.90213482821</v>
      </c>
      <c r="AS176" s="29">
        <f t="shared" si="224"/>
        <v>388711.54553485493</v>
      </c>
      <c r="AT176" s="29">
        <f t="shared" si="224"/>
        <v>390625.89811630972</v>
      </c>
      <c r="AU176" s="29">
        <f t="shared" si="224"/>
        <v>415725.15629978274</v>
      </c>
      <c r="AV176" s="28">
        <f>AV175+AV168</f>
        <v>415725.15629978274</v>
      </c>
      <c r="AW176" s="29">
        <f t="shared" si="224"/>
        <v>434396.72377584956</v>
      </c>
      <c r="AX176" s="29">
        <f t="shared" si="224"/>
        <v>436233.97288494586</v>
      </c>
      <c r="AY176" s="29">
        <f t="shared" si="224"/>
        <v>437451.77419904363</v>
      </c>
      <c r="AZ176" s="29">
        <f t="shared" si="224"/>
        <v>471436.19100366527</v>
      </c>
      <c r="BA176" s="28">
        <f t="shared" ref="BA176:BK176" si="225">BA175+BA168</f>
        <v>471436.19100366527</v>
      </c>
      <c r="BB176" s="29">
        <f t="shared" si="225"/>
        <v>481686.43159827916</v>
      </c>
      <c r="BC176" s="29">
        <f t="shared" si="225"/>
        <v>479983.91066456609</v>
      </c>
      <c r="BD176" s="29">
        <f t="shared" si="225"/>
        <v>485107.0959644136</v>
      </c>
      <c r="BE176" s="29">
        <f t="shared" si="225"/>
        <v>524327.46163394372</v>
      </c>
      <c r="BF176" s="28">
        <f t="shared" si="225"/>
        <v>524327.46163394372</v>
      </c>
      <c r="BG176" s="29">
        <f t="shared" si="225"/>
        <v>522169.21224411996</v>
      </c>
      <c r="BH176" s="29">
        <f t="shared" si="225"/>
        <v>525668.45909352112</v>
      </c>
      <c r="BI176" s="29">
        <f t="shared" si="225"/>
        <v>525038.7271920084</v>
      </c>
      <c r="BJ176" s="29">
        <f t="shared" si="225"/>
        <v>573963.82079469995</v>
      </c>
      <c r="BK176" s="28">
        <f t="shared" si="225"/>
        <v>573963.82079469995</v>
      </c>
    </row>
    <row r="177" spans="2:81" collapsed="1" x14ac:dyDescent="0.3">
      <c r="B177" s="136"/>
      <c r="C177" s="140"/>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f t="shared" ref="AF177:BK177" si="226">AF176-AF157</f>
        <v>0</v>
      </c>
      <c r="AG177" s="85">
        <f t="shared" si="226"/>
        <v>0</v>
      </c>
      <c r="AH177" s="85">
        <f t="shared" si="226"/>
        <v>0</v>
      </c>
      <c r="AI177" s="85">
        <f t="shared" si="226"/>
        <v>0</v>
      </c>
      <c r="AJ177" s="85">
        <f t="shared" si="226"/>
        <v>0</v>
      </c>
      <c r="AK177" s="85">
        <f t="shared" si="226"/>
        <v>0</v>
      </c>
      <c r="AL177" s="85">
        <f t="shared" si="226"/>
        <v>0</v>
      </c>
      <c r="AM177" s="85">
        <f t="shared" si="226"/>
        <v>0</v>
      </c>
      <c r="AN177" s="85">
        <f t="shared" si="226"/>
        <v>0</v>
      </c>
      <c r="AO177" s="85">
        <f t="shared" si="226"/>
        <v>0</v>
      </c>
      <c r="AP177" s="85">
        <f t="shared" si="226"/>
        <v>0</v>
      </c>
      <c r="AQ177" s="85">
        <f t="shared" si="226"/>
        <v>0</v>
      </c>
      <c r="AR177" s="85">
        <f t="shared" si="226"/>
        <v>0</v>
      </c>
      <c r="AS177" s="85">
        <f t="shared" si="226"/>
        <v>0</v>
      </c>
      <c r="AT177" s="85">
        <f t="shared" si="226"/>
        <v>0</v>
      </c>
      <c r="AU177" s="85">
        <f t="shared" si="226"/>
        <v>0</v>
      </c>
      <c r="AV177" s="85">
        <f t="shared" si="226"/>
        <v>0</v>
      </c>
      <c r="AW177" s="85">
        <f t="shared" si="226"/>
        <v>0</v>
      </c>
      <c r="AX177" s="85">
        <f t="shared" si="226"/>
        <v>0</v>
      </c>
      <c r="AY177" s="85">
        <f t="shared" si="226"/>
        <v>0</v>
      </c>
      <c r="AZ177" s="85">
        <f t="shared" si="226"/>
        <v>0</v>
      </c>
      <c r="BA177" s="85">
        <f t="shared" si="226"/>
        <v>0</v>
      </c>
      <c r="BB177" s="85">
        <f t="shared" si="226"/>
        <v>0</v>
      </c>
      <c r="BC177" s="85">
        <f t="shared" si="226"/>
        <v>0</v>
      </c>
      <c r="BD177" s="85">
        <f t="shared" si="226"/>
        <v>0</v>
      </c>
      <c r="BE177" s="85">
        <f t="shared" si="226"/>
        <v>0</v>
      </c>
      <c r="BF177" s="85">
        <f t="shared" si="226"/>
        <v>0</v>
      </c>
      <c r="BG177" s="85">
        <f t="shared" si="226"/>
        <v>0</v>
      </c>
      <c r="BH177" s="85">
        <f t="shared" si="226"/>
        <v>0</v>
      </c>
      <c r="BI177" s="85">
        <f t="shared" si="226"/>
        <v>0</v>
      </c>
      <c r="BJ177" s="85">
        <f t="shared" si="226"/>
        <v>0</v>
      </c>
      <c r="BK177" s="85">
        <f t="shared" si="226"/>
        <v>0</v>
      </c>
    </row>
    <row r="178" spans="2:81" ht="15.6" x14ac:dyDescent="0.3">
      <c r="B178" s="733" t="s">
        <v>50</v>
      </c>
      <c r="C178" s="734"/>
      <c r="D178" s="170" t="s">
        <v>117</v>
      </c>
      <c r="E178" s="170" t="s">
        <v>118</v>
      </c>
      <c r="F178" s="170" t="s">
        <v>119</v>
      </c>
      <c r="G178" s="170" t="s">
        <v>120</v>
      </c>
      <c r="H178" s="170" t="s">
        <v>120</v>
      </c>
      <c r="I178" s="170" t="s">
        <v>116</v>
      </c>
      <c r="J178" s="170" t="s">
        <v>126</v>
      </c>
      <c r="K178" s="170" t="s">
        <v>127</v>
      </c>
      <c r="L178" s="170" t="s">
        <v>128</v>
      </c>
      <c r="M178" s="170" t="s">
        <v>128</v>
      </c>
      <c r="N178" s="170" t="s">
        <v>134</v>
      </c>
      <c r="O178" s="170" t="s">
        <v>135</v>
      </c>
      <c r="P178" s="170" t="s">
        <v>136</v>
      </c>
      <c r="Q178" s="170" t="s">
        <v>137</v>
      </c>
      <c r="R178" s="170" t="s">
        <v>137</v>
      </c>
      <c r="S178" s="170" t="s">
        <v>143</v>
      </c>
      <c r="T178" s="170" t="s">
        <v>144</v>
      </c>
      <c r="U178" s="170" t="s">
        <v>145</v>
      </c>
      <c r="V178" s="170" t="s">
        <v>95</v>
      </c>
      <c r="W178" s="170" t="s">
        <v>95</v>
      </c>
      <c r="X178" s="170" t="s">
        <v>94</v>
      </c>
      <c r="Y178" s="170" t="s">
        <v>93</v>
      </c>
      <c r="Z178" s="170" t="s">
        <v>92</v>
      </c>
      <c r="AA178" s="170" t="s">
        <v>91</v>
      </c>
      <c r="AB178" s="170" t="s">
        <v>91</v>
      </c>
      <c r="AC178" s="170" t="s">
        <v>96</v>
      </c>
      <c r="AD178" s="170" t="s">
        <v>97</v>
      </c>
      <c r="AE178" s="170" t="s">
        <v>98</v>
      </c>
      <c r="AF178" s="170" t="s">
        <v>99</v>
      </c>
      <c r="AG178" s="170" t="s">
        <v>99</v>
      </c>
      <c r="AH178" s="170" t="s">
        <v>101</v>
      </c>
      <c r="AI178" s="170" t="s">
        <v>102</v>
      </c>
      <c r="AJ178" s="170" t="s">
        <v>103</v>
      </c>
      <c r="AK178" s="170" t="s">
        <v>104</v>
      </c>
      <c r="AL178" s="170" t="s">
        <v>104</v>
      </c>
      <c r="AM178" s="170" t="s">
        <v>100</v>
      </c>
      <c r="AN178" s="170" t="s">
        <v>105</v>
      </c>
      <c r="AO178" s="202" t="s">
        <v>106</v>
      </c>
      <c r="AP178" s="202" t="s">
        <v>107</v>
      </c>
      <c r="AQ178" s="202" t="s">
        <v>107</v>
      </c>
      <c r="AR178" s="202" t="s">
        <v>108</v>
      </c>
      <c r="AS178" s="202" t="s">
        <v>109</v>
      </c>
      <c r="AT178" s="202" t="s">
        <v>110</v>
      </c>
      <c r="AU178" s="202" t="s">
        <v>111</v>
      </c>
      <c r="AV178" s="202" t="s">
        <v>111</v>
      </c>
      <c r="AW178" s="202" t="s">
        <v>112</v>
      </c>
      <c r="AX178" s="202" t="s">
        <v>113</v>
      </c>
      <c r="AY178" s="202" t="s">
        <v>114</v>
      </c>
      <c r="AZ178" s="202" t="s">
        <v>115</v>
      </c>
      <c r="BA178" s="202" t="s">
        <v>115</v>
      </c>
      <c r="BB178" s="202" t="s">
        <v>233</v>
      </c>
      <c r="BC178" s="202" t="s">
        <v>234</v>
      </c>
      <c r="BD178" s="202" t="s">
        <v>235</v>
      </c>
      <c r="BE178" s="202" t="s">
        <v>236</v>
      </c>
      <c r="BF178" s="202" t="s">
        <v>236</v>
      </c>
      <c r="BG178" s="202" t="s">
        <v>272</v>
      </c>
      <c r="BH178" s="202" t="s">
        <v>273</v>
      </c>
      <c r="BI178" s="202" t="s">
        <v>274</v>
      </c>
      <c r="BJ178" s="202" t="s">
        <v>275</v>
      </c>
      <c r="BK178" s="203" t="s">
        <v>275</v>
      </c>
    </row>
    <row r="179" spans="2:81" ht="16.2" x14ac:dyDescent="0.45">
      <c r="B179" s="731"/>
      <c r="C179" s="732"/>
      <c r="D179" s="171" t="s">
        <v>121</v>
      </c>
      <c r="E179" s="171" t="s">
        <v>122</v>
      </c>
      <c r="F179" s="171" t="s">
        <v>123</v>
      </c>
      <c r="G179" s="171" t="s">
        <v>124</v>
      </c>
      <c r="H179" s="171" t="s">
        <v>125</v>
      </c>
      <c r="I179" s="171" t="s">
        <v>129</v>
      </c>
      <c r="J179" s="171" t="s">
        <v>130</v>
      </c>
      <c r="K179" s="171" t="s">
        <v>131</v>
      </c>
      <c r="L179" s="171" t="s">
        <v>132</v>
      </c>
      <c r="M179" s="171" t="s">
        <v>133</v>
      </c>
      <c r="N179" s="171" t="s">
        <v>138</v>
      </c>
      <c r="O179" s="171" t="s">
        <v>139</v>
      </c>
      <c r="P179" s="171" t="s">
        <v>140</v>
      </c>
      <c r="Q179" s="171" t="s">
        <v>141</v>
      </c>
      <c r="R179" s="171" t="s">
        <v>142</v>
      </c>
      <c r="S179" s="171" t="s">
        <v>146</v>
      </c>
      <c r="T179" s="171" t="s">
        <v>147</v>
      </c>
      <c r="U179" s="171" t="s">
        <v>148</v>
      </c>
      <c r="V179" s="171" t="s">
        <v>149</v>
      </c>
      <c r="W179" s="171" t="s">
        <v>0</v>
      </c>
      <c r="X179" s="171" t="s">
        <v>40</v>
      </c>
      <c r="Y179" s="171" t="s">
        <v>41</v>
      </c>
      <c r="Z179" s="171" t="s">
        <v>42</v>
      </c>
      <c r="AA179" s="171" t="s">
        <v>43</v>
      </c>
      <c r="AB179" s="171" t="s">
        <v>6</v>
      </c>
      <c r="AC179" s="171" t="s">
        <v>206</v>
      </c>
      <c r="AD179" s="171" t="s">
        <v>211</v>
      </c>
      <c r="AE179" s="171" t="s">
        <v>213</v>
      </c>
      <c r="AF179" s="171" t="s">
        <v>215</v>
      </c>
      <c r="AG179" s="171" t="s">
        <v>231</v>
      </c>
      <c r="AH179" s="171" t="s">
        <v>243</v>
      </c>
      <c r="AI179" s="171" t="s">
        <v>247</v>
      </c>
      <c r="AJ179" s="171" t="s">
        <v>248</v>
      </c>
      <c r="AK179" s="171" t="s">
        <v>270</v>
      </c>
      <c r="AL179" s="171" t="s">
        <v>271</v>
      </c>
      <c r="AM179" s="171" t="s">
        <v>281</v>
      </c>
      <c r="AN179" s="171" t="s">
        <v>440</v>
      </c>
      <c r="AO179" s="204" t="s">
        <v>58</v>
      </c>
      <c r="AP179" s="204" t="s">
        <v>59</v>
      </c>
      <c r="AQ179" s="204" t="s">
        <v>216</v>
      </c>
      <c r="AR179" s="204" t="s">
        <v>60</v>
      </c>
      <c r="AS179" s="204" t="s">
        <v>61</v>
      </c>
      <c r="AT179" s="204" t="s">
        <v>62</v>
      </c>
      <c r="AU179" s="204" t="s">
        <v>63</v>
      </c>
      <c r="AV179" s="204" t="s">
        <v>217</v>
      </c>
      <c r="AW179" s="204" t="s">
        <v>64</v>
      </c>
      <c r="AX179" s="204" t="s">
        <v>65</v>
      </c>
      <c r="AY179" s="204" t="s">
        <v>66</v>
      </c>
      <c r="AZ179" s="204" t="s">
        <v>67</v>
      </c>
      <c r="BA179" s="204" t="s">
        <v>218</v>
      </c>
      <c r="BB179" s="204" t="s">
        <v>232</v>
      </c>
      <c r="BC179" s="204" t="s">
        <v>237</v>
      </c>
      <c r="BD179" s="204" t="s">
        <v>238</v>
      </c>
      <c r="BE179" s="204" t="s">
        <v>239</v>
      </c>
      <c r="BF179" s="204" t="s">
        <v>240</v>
      </c>
      <c r="BG179" s="204" t="s">
        <v>276</v>
      </c>
      <c r="BH179" s="204" t="s">
        <v>277</v>
      </c>
      <c r="BI179" s="204" t="s">
        <v>278</v>
      </c>
      <c r="BJ179" s="204" t="s">
        <v>279</v>
      </c>
      <c r="BK179" s="205" t="s">
        <v>280</v>
      </c>
    </row>
    <row r="180" spans="2:81" s="62" customFormat="1" hidden="1" outlineLevel="1" x14ac:dyDescent="0.3">
      <c r="B180" s="447" t="s">
        <v>412</v>
      </c>
      <c r="C180" s="449"/>
      <c r="D180" s="509"/>
      <c r="E180" s="510"/>
      <c r="F180" s="510"/>
      <c r="G180" s="510"/>
      <c r="H180" s="511"/>
      <c r="I180" s="513">
        <f>(I145+I152)/(G145+G152)-1</f>
        <v>0.23202515723270434</v>
      </c>
      <c r="J180" s="513">
        <f>(J145+J152)/(I145+I152)-1</f>
        <v>1.6662242460131038E-2</v>
      </c>
      <c r="K180" s="513">
        <f>(K145+K152)/(J145+J152)-1</f>
        <v>0.28673000060254283</v>
      </c>
      <c r="L180" s="513">
        <f>(L145+L152)/(K145+K152)-1</f>
        <v>0.12003434012331216</v>
      </c>
      <c r="M180" s="511"/>
      <c r="N180" s="513">
        <f>(N145+N152)/(L145+L152)-1</f>
        <v>0.21651452860427844</v>
      </c>
      <c r="O180" s="513">
        <f>(O145+O152)/(N145+N152)-1</f>
        <v>0.14622355111065288</v>
      </c>
      <c r="P180" s="513">
        <f>(P145+P152)/(O145+O152)-1</f>
        <v>9.2159312378192082E-2</v>
      </c>
      <c r="Q180" s="513">
        <f>(Q145+Q152)/(P145+P152)-1</f>
        <v>1.1246751345217687E-2</v>
      </c>
      <c r="R180" s="511"/>
      <c r="S180" s="513">
        <f>(S145+S152)/(Q145+Q152)-1</f>
        <v>9.4593004841409867E-2</v>
      </c>
      <c r="T180" s="513">
        <f>(T145+T152)/(S145+S152)-1</f>
        <v>9.6529373832239251E-2</v>
      </c>
      <c r="U180" s="513">
        <f>(U145+U152)/(T145+T152)-1</f>
        <v>2.0643273971983067E-2</v>
      </c>
      <c r="V180" s="513">
        <f>(V145+V152)/(U145+U152)-1</f>
        <v>-2.1200839169104424E-2</v>
      </c>
      <c r="W180" s="511"/>
      <c r="X180" s="513">
        <f>(X145+X152)/(V145+V152)-1</f>
        <v>9.2549546421940798E-2</v>
      </c>
      <c r="Y180" s="513">
        <f>(Y145+Y152)/(X145+X152)-1</f>
        <v>-9.0664179877732898E-2</v>
      </c>
      <c r="Z180" s="513">
        <f>(Z145+Z152)/(Y145+Y152)-1</f>
        <v>0.15096475235490736</v>
      </c>
      <c r="AA180" s="513">
        <f>(AA145+AA152)/(Z145+Z152)-1</f>
        <v>-6.6779748272425499E-2</v>
      </c>
      <c r="AB180" s="511"/>
      <c r="AC180" s="513">
        <f>(AC145+AC152)/(AA145+AA152)-1</f>
        <v>0.12081049542063016</v>
      </c>
      <c r="AD180" s="513">
        <f>(AD145+AD152)/(AC145+AC152)-1</f>
        <v>0.12981694504565322</v>
      </c>
      <c r="AE180" s="513">
        <f>(AE145+AE152)/(AD145+AD152)-1</f>
        <v>4.7355487294052034E-2</v>
      </c>
      <c r="AF180" s="513">
        <f>(AF145+AF152)/(AE145+AE152)-1</f>
        <v>-1.5906873070298477E-2</v>
      </c>
      <c r="AG180" s="512"/>
      <c r="AH180" s="513">
        <f>(AH145+AH152)/(AF145+AF152)-1</f>
        <v>7.8592871154075317E-2</v>
      </c>
      <c r="AI180" s="513">
        <f>(AI145+AI152)/(AH145+AH152)-1</f>
        <v>6.2115046470736068E-2</v>
      </c>
      <c r="AJ180" s="513">
        <f>(AJ145+AJ152)/(AI145+AI152)-1</f>
        <v>8.8404741407854814E-3</v>
      </c>
      <c r="AK180" s="513">
        <f>(AK145+AK152)/(AJ145+AJ152)-1</f>
        <v>1.7901098540436866E-2</v>
      </c>
      <c r="AL180" s="512"/>
      <c r="AM180" s="513">
        <f>(AM145+AM152)/(AK145+AK152)-1</f>
        <v>5.8120414000856657E-2</v>
      </c>
      <c r="AN180" s="513">
        <f>(AN145+AN152)/(AM145+AM152)-1</f>
        <v>5.2085373869814822E-2</v>
      </c>
      <c r="AO180" s="514">
        <v>0.01</v>
      </c>
      <c r="AP180" s="514">
        <v>0.01</v>
      </c>
      <c r="AQ180" s="512"/>
      <c r="AR180" s="514">
        <v>0.06</v>
      </c>
      <c r="AS180" s="514">
        <v>0.03</v>
      </c>
      <c r="AT180" s="514">
        <v>0.01</v>
      </c>
      <c r="AU180" s="514">
        <v>0.01</v>
      </c>
      <c r="AV180" s="512"/>
      <c r="AW180" s="514">
        <v>0.06</v>
      </c>
      <c r="AX180" s="514">
        <v>0.03</v>
      </c>
      <c r="AY180" s="514">
        <v>0.01</v>
      </c>
      <c r="AZ180" s="514">
        <v>0.01</v>
      </c>
      <c r="BA180" s="512"/>
      <c r="BB180" s="514">
        <v>0.06</v>
      </c>
      <c r="BC180" s="514">
        <v>0.03</v>
      </c>
      <c r="BD180" s="514">
        <v>0.01</v>
      </c>
      <c r="BE180" s="514">
        <v>0.01</v>
      </c>
      <c r="BF180" s="512"/>
      <c r="BG180" s="514">
        <v>0.06</v>
      </c>
      <c r="BH180" s="514">
        <v>0.03</v>
      </c>
      <c r="BI180" s="514">
        <v>0.01</v>
      </c>
      <c r="BJ180" s="514">
        <v>0.01</v>
      </c>
      <c r="BK180" s="512"/>
      <c r="BL180" s="424"/>
      <c r="BM180" s="424"/>
      <c r="BN180" s="424"/>
      <c r="BO180" s="424"/>
      <c r="BP180" s="424"/>
      <c r="BQ180" s="424"/>
      <c r="BR180" s="424"/>
      <c r="BS180" s="424"/>
      <c r="BT180" s="424"/>
      <c r="BU180" s="424"/>
      <c r="BV180" s="424"/>
      <c r="BW180" s="424"/>
      <c r="BX180" s="424"/>
      <c r="BY180" s="424"/>
      <c r="BZ180" s="424"/>
      <c r="CA180" s="424"/>
      <c r="CB180" s="424"/>
      <c r="CC180" s="424"/>
    </row>
    <row r="181" spans="2:81" s="62" customFormat="1" hidden="1" outlineLevel="1" x14ac:dyDescent="0.3">
      <c r="B181" s="453" t="s">
        <v>413</v>
      </c>
      <c r="C181" s="455"/>
      <c r="D181" s="515"/>
      <c r="E181" s="516"/>
      <c r="F181" s="516"/>
      <c r="G181" s="516"/>
      <c r="H181" s="517"/>
      <c r="I181" s="518">
        <f>+I145/(I145+I152)</f>
        <v>0.3316725542645948</v>
      </c>
      <c r="J181" s="518">
        <f>+J145/(J145+J152)</f>
        <v>0.26624354777159615</v>
      </c>
      <c r="K181" s="518">
        <f>+K145/(K145+K152)</f>
        <v>0.25449153203777414</v>
      </c>
      <c r="L181" s="518">
        <f>+L145/(L145+L152)</f>
        <v>0.22489025155041462</v>
      </c>
      <c r="M181" s="517"/>
      <c r="N181" s="518">
        <f>+N145/(N145+N152)</f>
        <v>0.22735448098887628</v>
      </c>
      <c r="O181" s="518">
        <f>+O145/(O145+O152)</f>
        <v>0.18406876218080057</v>
      </c>
      <c r="P181" s="518">
        <f>+P145/(P145+P152)</f>
        <v>0.1803598228339251</v>
      </c>
      <c r="Q181" s="518">
        <f>+Q145/(Q145+Q152)</f>
        <v>0.16635446359893216</v>
      </c>
      <c r="R181" s="517"/>
      <c r="S181" s="518">
        <f>+S145/(S145+S152)</f>
        <v>0.19565469005770597</v>
      </c>
      <c r="T181" s="518">
        <f>+T145/(T145+T152)</f>
        <v>0.20420103442556206</v>
      </c>
      <c r="U181" s="518">
        <f>+U145/(U145+U152)</f>
        <v>0.23164317584138522</v>
      </c>
      <c r="V181" s="518">
        <f>+V145/(V145+V152)</f>
        <v>0.19838945827232796</v>
      </c>
      <c r="W181" s="517"/>
      <c r="X181" s="518">
        <f>+X145/(X145+X152)</f>
        <v>0.18398093461817427</v>
      </c>
      <c r="Y181" s="518">
        <f>+Y145/(Y145+Y152)</f>
        <v>0.17016864175022789</v>
      </c>
      <c r="Z181" s="518">
        <f>+Z145/(Z145+Z152)</f>
        <v>0.16386712691320215</v>
      </c>
      <c r="AA181" s="518">
        <f>+AA145/(AA145+AA152)</f>
        <v>7.9444110470667281E-2</v>
      </c>
      <c r="AB181" s="517"/>
      <c r="AC181" s="518">
        <f>+AC145/(AC145+AC152)</f>
        <v>8.1936180013503543E-2</v>
      </c>
      <c r="AD181" s="518">
        <f>+AD145/(AD145+AD152)</f>
        <v>0.10392069254398213</v>
      </c>
      <c r="AE181" s="518">
        <f>+AE145/(AE145+AE152)</f>
        <v>0.10336534615979395</v>
      </c>
      <c r="AF181" s="518">
        <f>+AF145/(AF145+AF152)</f>
        <v>0.1109804601562754</v>
      </c>
      <c r="AG181" s="519"/>
      <c r="AH181" s="518">
        <f>+AH145/(AH145+AH152)</f>
        <v>0.10743531775935694</v>
      </c>
      <c r="AI181" s="518">
        <f>+AI145/(AI145+AI152)</f>
        <v>0.15972925161058396</v>
      </c>
      <c r="AJ181" s="518">
        <f>+AJ145/(AJ145+AJ152)</f>
        <v>0.20404345400242871</v>
      </c>
      <c r="AK181" s="518">
        <f>+AK145/(AK145+AK152)</f>
        <v>0.21497367584672572</v>
      </c>
      <c r="AL181" s="519"/>
      <c r="AM181" s="518">
        <f>+AM145/(AM145+AM152)</f>
        <v>0.19189096243671616</v>
      </c>
      <c r="AN181" s="518">
        <f>+AN145/(AN145+AN152)</f>
        <v>0.21492527432515185</v>
      </c>
      <c r="AO181" s="520">
        <f>AVERAGE(AN181,AM181,AK181,AJ181)</f>
        <v>0.20645834165275562</v>
      </c>
      <c r="AP181" s="520">
        <f>AVERAGE(AO181,AN181,AM181,AK181)</f>
        <v>0.20706206356533735</v>
      </c>
      <c r="AQ181" s="519"/>
      <c r="AR181" s="520">
        <f>AVERAGE(AO181,AP181,AN181,AM181)</f>
        <v>0.20508416049499023</v>
      </c>
      <c r="AS181" s="520">
        <f>AVERAGE(AR181,AP181,AO181,AN181)</f>
        <v>0.20838246000955876</v>
      </c>
      <c r="AT181" s="520">
        <f>AVERAGE(AS181,AR181,AP181,AO181)</f>
        <v>0.20674675643066048</v>
      </c>
      <c r="AU181" s="520">
        <f>AVERAGE(AT181,AS181,AR181,AP181)</f>
        <v>0.20681886012513673</v>
      </c>
      <c r="AV181" s="519"/>
      <c r="AW181" s="520">
        <f>AVERAGE(AT181,AU181,AS181,AR181)</f>
        <v>0.20675805926508656</v>
      </c>
      <c r="AX181" s="520">
        <f>AVERAGE(AW181,AU181,AT181,AS181)</f>
        <v>0.20717653395761063</v>
      </c>
      <c r="AY181" s="520">
        <f>AVERAGE(AX181,AW181,AU181,AT181)</f>
        <v>0.20687505244462362</v>
      </c>
      <c r="AZ181" s="520">
        <f>AVERAGE(AY181,AX181,AW181,AU181)</f>
        <v>0.2069071264481144</v>
      </c>
      <c r="BA181" s="519"/>
      <c r="BB181" s="520">
        <f>AVERAGE(AY181,AZ181,AX181,AW181)</f>
        <v>0.20692919302885882</v>
      </c>
      <c r="BC181" s="520">
        <f>AVERAGE(BB181,AZ181,AY181,AX181)</f>
        <v>0.20697197646980187</v>
      </c>
      <c r="BD181" s="520">
        <f>AVERAGE(BC181,BB181,AZ181,AY181)</f>
        <v>0.2069208370978497</v>
      </c>
      <c r="BE181" s="520">
        <f>AVERAGE(BD181,BC181,BB181,AZ181)</f>
        <v>0.2069322832611562</v>
      </c>
      <c r="BF181" s="519"/>
      <c r="BG181" s="520">
        <f>AVERAGE(BD181,BE181,BC181,BB181)</f>
        <v>0.20693857246441666</v>
      </c>
      <c r="BH181" s="520">
        <f>AVERAGE(BG181,BE181,BD181,BC181)</f>
        <v>0.20694091732330611</v>
      </c>
      <c r="BI181" s="520">
        <f>AVERAGE(BH181,BG181,BE181,BD181)</f>
        <v>0.20693315253668215</v>
      </c>
      <c r="BJ181" s="520">
        <f>AVERAGE(BI181,BH181,BG181,BE181)</f>
        <v>0.20693623139639028</v>
      </c>
      <c r="BK181" s="519"/>
      <c r="BL181" s="424"/>
      <c r="BM181" s="424"/>
      <c r="BN181" s="424"/>
      <c r="BO181" s="424"/>
      <c r="BP181" s="424"/>
      <c r="BQ181" s="424"/>
      <c r="BR181" s="424"/>
      <c r="BS181" s="424"/>
      <c r="BT181" s="424"/>
      <c r="BU181" s="424"/>
      <c r="BV181" s="424"/>
      <c r="BW181" s="424"/>
      <c r="BX181" s="424"/>
      <c r="BY181" s="424"/>
      <c r="BZ181" s="424"/>
      <c r="CA181" s="424"/>
      <c r="CB181" s="424"/>
      <c r="CC181" s="424"/>
    </row>
    <row r="182" spans="2:81" s="98" customFormat="1" hidden="1" outlineLevel="1" x14ac:dyDescent="0.3">
      <c r="B182" s="450" t="s">
        <v>414</v>
      </c>
      <c r="C182" s="521"/>
      <c r="D182" s="523">
        <v>92</v>
      </c>
      <c r="E182" s="524">
        <v>90</v>
      </c>
      <c r="F182" s="524">
        <v>91</v>
      </c>
      <c r="G182" s="524">
        <v>92</v>
      </c>
      <c r="H182" s="525"/>
      <c r="I182" s="524">
        <v>92</v>
      </c>
      <c r="J182" s="524">
        <v>90</v>
      </c>
      <c r="K182" s="524">
        <v>91</v>
      </c>
      <c r="L182" s="524">
        <v>92</v>
      </c>
      <c r="M182" s="525"/>
      <c r="N182" s="524">
        <v>92</v>
      </c>
      <c r="O182" s="524">
        <v>91</v>
      </c>
      <c r="P182" s="524">
        <v>91</v>
      </c>
      <c r="Q182" s="524">
        <v>92</v>
      </c>
      <c r="R182" s="525"/>
      <c r="S182" s="524">
        <v>92</v>
      </c>
      <c r="T182" s="524">
        <v>90</v>
      </c>
      <c r="U182" s="524">
        <v>91</v>
      </c>
      <c r="V182" s="524">
        <v>92</v>
      </c>
      <c r="W182" s="525"/>
      <c r="X182" s="524">
        <v>92</v>
      </c>
      <c r="Y182" s="524">
        <v>90</v>
      </c>
      <c r="Z182" s="524">
        <v>91</v>
      </c>
      <c r="AA182" s="524">
        <v>92</v>
      </c>
      <c r="AB182" s="525"/>
      <c r="AC182" s="524">
        <v>92</v>
      </c>
      <c r="AD182" s="524">
        <v>90</v>
      </c>
      <c r="AE182" s="524">
        <v>91</v>
      </c>
      <c r="AF182" s="524">
        <v>92</v>
      </c>
      <c r="AG182" s="525"/>
      <c r="AH182" s="524">
        <v>92</v>
      </c>
      <c r="AI182" s="524">
        <v>91</v>
      </c>
      <c r="AJ182" s="524">
        <v>91</v>
      </c>
      <c r="AK182" s="524">
        <v>92</v>
      </c>
      <c r="AL182" s="525"/>
      <c r="AM182" s="524">
        <v>92</v>
      </c>
      <c r="AN182" s="524">
        <v>90</v>
      </c>
      <c r="AO182" s="524">
        <v>91</v>
      </c>
      <c r="AP182" s="524">
        <v>92</v>
      </c>
      <c r="AQ182" s="525"/>
      <c r="AR182" s="524">
        <v>92</v>
      </c>
      <c r="AS182" s="524">
        <v>90</v>
      </c>
      <c r="AT182" s="524">
        <v>91</v>
      </c>
      <c r="AU182" s="524">
        <v>92</v>
      </c>
      <c r="AV182" s="525"/>
      <c r="AW182" s="524">
        <v>92</v>
      </c>
      <c r="AX182" s="524">
        <v>90</v>
      </c>
      <c r="AY182" s="524">
        <v>91</v>
      </c>
      <c r="AZ182" s="524">
        <v>92</v>
      </c>
      <c r="BA182" s="525"/>
      <c r="BB182" s="524">
        <v>92</v>
      </c>
      <c r="BC182" s="524">
        <v>91</v>
      </c>
      <c r="BD182" s="524">
        <v>91</v>
      </c>
      <c r="BE182" s="524">
        <v>92</v>
      </c>
      <c r="BF182" s="525"/>
      <c r="BG182" s="524">
        <v>92</v>
      </c>
      <c r="BH182" s="524">
        <v>90</v>
      </c>
      <c r="BI182" s="524">
        <v>91</v>
      </c>
      <c r="BJ182" s="524">
        <v>92</v>
      </c>
      <c r="BK182" s="525"/>
      <c r="BL182" s="490"/>
      <c r="BM182" s="490"/>
      <c r="BN182" s="490"/>
      <c r="BO182" s="490"/>
      <c r="BP182" s="490"/>
      <c r="BQ182" s="490"/>
      <c r="BR182" s="490"/>
      <c r="BS182" s="490"/>
      <c r="BT182" s="490"/>
      <c r="BU182" s="490"/>
      <c r="BV182" s="490"/>
      <c r="BW182" s="490"/>
      <c r="BX182" s="490"/>
      <c r="BY182" s="490"/>
      <c r="BZ182" s="490"/>
      <c r="CA182" s="490"/>
      <c r="CB182" s="490"/>
      <c r="CC182" s="490"/>
    </row>
    <row r="183" spans="2:81" s="199" customFormat="1" ht="16.2" hidden="1" outlineLevel="1" x14ac:dyDescent="0.45">
      <c r="B183" s="714" t="s">
        <v>603</v>
      </c>
      <c r="C183" s="715"/>
      <c r="D183" s="206"/>
      <c r="E183" s="421"/>
      <c r="F183" s="421"/>
      <c r="G183" s="425">
        <f>G14/(AVERAGE(G149,F149))</f>
        <v>3.4838446918273145</v>
      </c>
      <c r="H183" s="422"/>
      <c r="I183" s="425">
        <f>I14/(AVERAGE(I149,G149))</f>
        <v>3.5510204081632653</v>
      </c>
      <c r="J183" s="425">
        <f>J14/(AVERAGE(J149,I149))</f>
        <v>2.8487776025236595</v>
      </c>
      <c r="K183" s="425">
        <f>K14/(AVERAGE(K149,J149))</f>
        <v>3.1218826176636041</v>
      </c>
      <c r="L183" s="425">
        <f>L14/(AVERAGE(L149,K149))</f>
        <v>2.8829905265853033</v>
      </c>
      <c r="M183" s="422"/>
      <c r="N183" s="425">
        <f>N14/(AVERAGE(N149,L149))</f>
        <v>3.6872392461516328</v>
      </c>
      <c r="O183" s="425">
        <f>O14/(AVERAGE(O149,N149))</f>
        <v>2.8880330509067993</v>
      </c>
      <c r="P183" s="425">
        <f>P14/(AVERAGE(P149,O149))</f>
        <v>2.9965589467384799</v>
      </c>
      <c r="Q183" s="425">
        <f>Q14/(AVERAGE(Q149,P149))</f>
        <v>2.994515031590641</v>
      </c>
      <c r="R183" s="422"/>
      <c r="S183" s="425">
        <f>S14/(AVERAGE(S149,Q149))</f>
        <v>3.7803141597920669</v>
      </c>
      <c r="T183" s="425">
        <f>T14/(AVERAGE(T149,S149))</f>
        <v>3.3671855695576971</v>
      </c>
      <c r="U183" s="425">
        <f>U14/(AVERAGE(U149,T149))</f>
        <v>4.1043622308117058</v>
      </c>
      <c r="V183" s="425">
        <f>V14/(AVERAGE(V149,U149))</f>
        <v>3.8839792643791657</v>
      </c>
      <c r="W183" s="422"/>
      <c r="X183" s="425">
        <f>X14/(AVERAGE(X149,V149))</f>
        <v>3.8569347790904676</v>
      </c>
      <c r="Y183" s="425">
        <f>Y14/(AVERAGE(Y149,X149))</f>
        <v>3.2362425516999651</v>
      </c>
      <c r="Z183" s="425">
        <f>Z14/(AVERAGE(Z149,Y149))</f>
        <v>3.7290725375831757</v>
      </c>
      <c r="AA183" s="425">
        <f>AA14/(AVERAGE(AA149,Z149))</f>
        <v>3.3030609663546673</v>
      </c>
      <c r="AB183" s="422"/>
      <c r="AC183" s="425">
        <f>AC14/(AVERAGE(AC149,AA149))</f>
        <v>3.8962911491357595</v>
      </c>
      <c r="AD183" s="425">
        <f>AD14/(AVERAGE(AD149,AC149))</f>
        <v>3.3473643184254116</v>
      </c>
      <c r="AE183" s="425">
        <f>AE14/(AVERAGE(AE149,AD149))</f>
        <v>3.5632293403191238</v>
      </c>
      <c r="AF183" s="425">
        <f>AF14/(AVERAGE(AF149,AE149))</f>
        <v>2.6879423385871215</v>
      </c>
      <c r="AG183" s="423"/>
      <c r="AH183" s="425">
        <f>AH14/(AVERAGE(AH149,AF149))</f>
        <v>3.6125109291789208</v>
      </c>
      <c r="AI183" s="425">
        <f>AI14/(AVERAGE(AI149,AH149))</f>
        <v>3.180812957483258</v>
      </c>
      <c r="AJ183" s="425">
        <f>AJ14/(AVERAGE(AJ149,AI149))</f>
        <v>3.5183274140588354</v>
      </c>
      <c r="AK183" s="425">
        <f>AK14/(AVERAGE(AK149,AJ149))</f>
        <v>2.7824462223925646</v>
      </c>
      <c r="AL183" s="423"/>
      <c r="AM183" s="425">
        <f>AM14/(AVERAGE(AM149,AK149))</f>
        <v>3.5081012197342072</v>
      </c>
      <c r="AN183" s="425">
        <f>AN14/(AVERAGE(AN149,AM149))</f>
        <v>2.8148825861543152</v>
      </c>
      <c r="AO183" s="426">
        <f t="shared" ref="AO183:AP184" si="227">AN183*(AJ183/AI183)</f>
        <v>3.1135683558267471</v>
      </c>
      <c r="AP183" s="426">
        <f t="shared" si="227"/>
        <v>2.4623451686768703</v>
      </c>
      <c r="AQ183" s="423"/>
      <c r="AR183" s="426">
        <f>AP183*(AM183/AK183)</f>
        <v>3.1045186139174326</v>
      </c>
      <c r="AS183" s="426">
        <f t="shared" ref="AS183:AU184" si="228">AR183*(AN183/AM183)</f>
        <v>2.4910499547587786</v>
      </c>
      <c r="AT183" s="426">
        <f t="shared" si="228"/>
        <v>2.7553740074526099</v>
      </c>
      <c r="AU183" s="426">
        <f t="shared" si="228"/>
        <v>2.1790695111773837</v>
      </c>
      <c r="AV183" s="423"/>
      <c r="AW183" s="426">
        <f>AU183*(AR183/AP183)</f>
        <v>2.7473653753040925</v>
      </c>
      <c r="AX183" s="426">
        <f t="shared" ref="AX183:AZ184" si="229">AW183*(AS183/AR183)</f>
        <v>2.2044720115951324</v>
      </c>
      <c r="AY183" s="426">
        <f t="shared" si="229"/>
        <v>2.4383874234646523</v>
      </c>
      <c r="AZ183" s="426">
        <f t="shared" si="229"/>
        <v>1.928382744606981</v>
      </c>
      <c r="BA183" s="423"/>
      <c r="BB183" s="426">
        <f>AZ183*(AW183/AU183)</f>
        <v>2.4313001286519405</v>
      </c>
      <c r="BC183" s="426">
        <f t="shared" ref="BC183:BE184" si="230">BB183*(AX183/AW183)</f>
        <v>1.950862864320551</v>
      </c>
      <c r="BD183" s="426">
        <f t="shared" si="230"/>
        <v>2.1578679376479699</v>
      </c>
      <c r="BE183" s="426">
        <f t="shared" si="230"/>
        <v>1.7065357440978124</v>
      </c>
      <c r="BF183" s="423"/>
      <c r="BG183" s="426">
        <f>BE183*(BB183/AZ183)</f>
        <v>2.1515959867291619</v>
      </c>
      <c r="BH183" s="426">
        <f t="shared" ref="BH183:BJ184" si="231">BG183*(BC183/BB183)</f>
        <v>1.7264296826481824</v>
      </c>
      <c r="BI183" s="426">
        <f t="shared" si="231"/>
        <v>1.9096202644093909</v>
      </c>
      <c r="BJ183" s="426">
        <f t="shared" si="231"/>
        <v>1.5102106954794474</v>
      </c>
      <c r="BK183" s="423"/>
      <c r="BL183" s="424"/>
      <c r="BM183" s="424"/>
      <c r="BN183" s="424"/>
      <c r="BO183" s="424"/>
      <c r="BP183" s="424"/>
      <c r="BQ183" s="424"/>
      <c r="BR183" s="424"/>
      <c r="BS183" s="424"/>
      <c r="BT183" s="424"/>
      <c r="BU183" s="424"/>
      <c r="BV183" s="424"/>
      <c r="BW183" s="424"/>
      <c r="BX183" s="424"/>
      <c r="BY183" s="424"/>
      <c r="BZ183" s="424"/>
      <c r="CA183" s="424"/>
      <c r="CB183" s="424"/>
      <c r="CC183" s="424"/>
    </row>
    <row r="184" spans="2:81" hidden="1" outlineLevel="1" x14ac:dyDescent="0.3">
      <c r="B184" s="714" t="s">
        <v>52</v>
      </c>
      <c r="C184" s="743"/>
      <c r="D184" s="142"/>
      <c r="E184" s="526">
        <f>E14/(AVERAGE(D147,E147))</f>
        <v>12.971993410214168</v>
      </c>
      <c r="F184" s="526">
        <f>F14/(AVERAGE(E147,F147))</f>
        <v>12.106329113924051</v>
      </c>
      <c r="G184" s="526">
        <f>G14/(AVERAGE(F147,G147))</f>
        <v>12.87606623181134</v>
      </c>
      <c r="H184" s="527"/>
      <c r="I184" s="526">
        <f>I14/(AVERAGE(G147,I147))</f>
        <v>16.986570247933884</v>
      </c>
      <c r="J184" s="526">
        <f>J14/(AVERAGE(I147,J147))</f>
        <v>15.92176308539945</v>
      </c>
      <c r="K184" s="526">
        <f>K14/(AVERAGE(J147,K147))</f>
        <v>18.305662451896648</v>
      </c>
      <c r="L184" s="526">
        <f>L14/(AVERAGE(K147,L147))</f>
        <v>20.288288288288289</v>
      </c>
      <c r="M184" s="527"/>
      <c r="N184" s="526">
        <f>N14/(AVERAGE(L147,N147))</f>
        <v>25.477137176938371</v>
      </c>
      <c r="O184" s="526">
        <f>O14/(AVERAGE(N147,O147))</f>
        <v>17.640718562874252</v>
      </c>
      <c r="P184" s="526">
        <f>P14/(AVERAGE(O147,P147))</f>
        <v>18.011690647482013</v>
      </c>
      <c r="Q184" s="526">
        <f>Q14/(AVERAGE(P147,Q147))</f>
        <v>22.545739675901725</v>
      </c>
      <c r="R184" s="527"/>
      <c r="S184" s="526">
        <f>S14/(AVERAGE(Q147,S147))</f>
        <v>29.788067675868209</v>
      </c>
      <c r="T184" s="526">
        <f>T14/(AVERAGE(S147,T147))</f>
        <v>20.188148148148148</v>
      </c>
      <c r="U184" s="526">
        <f>U14/(AVERAGE(T147,U147))</f>
        <v>15.159075458871516</v>
      </c>
      <c r="V184" s="526">
        <f>V14/(AVERAGE(U147,V147))</f>
        <v>13.638254839641721</v>
      </c>
      <c r="W184" s="527"/>
      <c r="X184" s="526">
        <f>X14/(AVERAGE(V147,X147))</f>
        <v>18.398353062274833</v>
      </c>
      <c r="Y184" s="526">
        <f>Y14/(AVERAGE(X147,Y147))</f>
        <v>14.021260440394837</v>
      </c>
      <c r="Z184" s="526">
        <f>Z14/(AVERAGE(Y147,Z147))</f>
        <v>13.261466549810109</v>
      </c>
      <c r="AA184" s="526">
        <f>AA14/(AVERAGE(Z147,AA147))</f>
        <v>14.096626180836708</v>
      </c>
      <c r="AB184" s="527"/>
      <c r="AC184" s="524">
        <f>AC14/(AVERAGE(AA147,AC147))</f>
        <v>20.417842512517069</v>
      </c>
      <c r="AD184" s="524">
        <f>AD14/(AVERAGE(AC147,AD147))</f>
        <v>14.684334259457149</v>
      </c>
      <c r="AE184" s="524">
        <f>AE14/(AVERAGE(AD147,AE147))</f>
        <v>13.485353762956287</v>
      </c>
      <c r="AF184" s="524">
        <f>AF14/(AVERAGE(AE147,AF147))</f>
        <v>14.098383056251423</v>
      </c>
      <c r="AG184" s="527"/>
      <c r="AH184" s="524">
        <f>AH14/(AVERAGE(AF147,AH147))</f>
        <v>18.937083333333334</v>
      </c>
      <c r="AI184" s="524">
        <f>AI14/(AVERAGE(AH147,AI147))</f>
        <v>12.948436179205411</v>
      </c>
      <c r="AJ184" s="524">
        <f>AJ14/(AVERAGE(AI147,AJ147))</f>
        <v>12.768482490272374</v>
      </c>
      <c r="AK184" s="524">
        <f>AK14/(AVERAGE(AJ147,AK147))</f>
        <v>14.65505929851123</v>
      </c>
      <c r="AL184" s="527"/>
      <c r="AM184" s="524">
        <f>AM14/(AVERAGE(AK147,AM147))</f>
        <v>19.890586292320396</v>
      </c>
      <c r="AN184" s="524">
        <f>AN14/(AVERAGE(AM147,AN147))</f>
        <v>11.492351476342938</v>
      </c>
      <c r="AO184" s="426">
        <f t="shared" si="227"/>
        <v>11.332634039112627</v>
      </c>
      <c r="AP184" s="426">
        <f t="shared" si="227"/>
        <v>13.007060469249199</v>
      </c>
      <c r="AQ184" s="527"/>
      <c r="AR184" s="426">
        <f>AP184*(AM184/AK184)</f>
        <v>17.65383908745515</v>
      </c>
      <c r="AS184" s="426">
        <f t="shared" si="228"/>
        <v>10.200007215381472</v>
      </c>
      <c r="AT184" s="426">
        <f t="shared" si="228"/>
        <v>10.058250411691212</v>
      </c>
      <c r="AU184" s="426">
        <f t="shared" si="228"/>
        <v>11.544383315316376</v>
      </c>
      <c r="AV184" s="527"/>
      <c r="AW184" s="426">
        <f>AU184*(AR184/AP184)</f>
        <v>15.668619815700859</v>
      </c>
      <c r="AX184" s="426">
        <f t="shared" si="229"/>
        <v>9.0529903656358961</v>
      </c>
      <c r="AY184" s="426">
        <f t="shared" si="229"/>
        <v>8.9271744763945602</v>
      </c>
      <c r="AZ184" s="426">
        <f t="shared" si="229"/>
        <v>10.246187941236501</v>
      </c>
      <c r="BA184" s="527"/>
      <c r="BB184" s="426">
        <f>AZ184*(AW184/AU184)</f>
        <v>13.906643518883685</v>
      </c>
      <c r="BC184" s="426">
        <f t="shared" si="230"/>
        <v>8.0349584887260548</v>
      </c>
      <c r="BD184" s="426">
        <f t="shared" si="230"/>
        <v>7.9232909174102115</v>
      </c>
      <c r="BE184" s="426">
        <f t="shared" si="230"/>
        <v>9.0939779509792888</v>
      </c>
      <c r="BF184" s="527"/>
      <c r="BG184" s="426">
        <f>BE184*(BB184/AZ184)</f>
        <v>12.342805954581717</v>
      </c>
      <c r="BH184" s="426">
        <f t="shared" si="231"/>
        <v>7.1314068951862906</v>
      </c>
      <c r="BI184" s="426">
        <f t="shared" si="231"/>
        <v>7.032296627327673</v>
      </c>
      <c r="BJ184" s="426">
        <f t="shared" si="231"/>
        <v>8.0713369154652881</v>
      </c>
      <c r="BK184" s="527"/>
      <c r="BL184" s="424"/>
      <c r="BM184" s="424"/>
      <c r="BN184" s="424"/>
      <c r="BO184" s="424"/>
      <c r="BP184" s="424"/>
      <c r="BQ184" s="424"/>
      <c r="BR184" s="424"/>
      <c r="BS184" s="424"/>
      <c r="BT184" s="424"/>
      <c r="BU184" s="424"/>
      <c r="BV184" s="424"/>
      <c r="BW184" s="424"/>
      <c r="BX184" s="424"/>
      <c r="BY184" s="424"/>
      <c r="BZ184" s="424"/>
      <c r="CA184" s="424"/>
      <c r="CB184" s="424"/>
      <c r="CC184" s="424"/>
    </row>
    <row r="185" spans="2:81" s="98" customFormat="1" hidden="1" outlineLevel="1" x14ac:dyDescent="0.3">
      <c r="B185" s="726" t="s">
        <v>415</v>
      </c>
      <c r="C185" s="727"/>
      <c r="D185" s="522"/>
      <c r="E185" s="524">
        <f>E182/E184</f>
        <v>6.9380238760477519</v>
      </c>
      <c r="F185" s="524">
        <f t="shared" ref="F185:G185" si="232">F182/F184</f>
        <v>7.5167294019238806</v>
      </c>
      <c r="G185" s="524">
        <f t="shared" si="232"/>
        <v>7.1450393578053149</v>
      </c>
      <c r="H185" s="430"/>
      <c r="I185" s="524">
        <f t="shared" ref="I185:L185" si="233">I182/I184</f>
        <v>5.4160433011007729</v>
      </c>
      <c r="J185" s="524">
        <f t="shared" si="233"/>
        <v>5.65264032112949</v>
      </c>
      <c r="K185" s="524">
        <f t="shared" si="233"/>
        <v>4.9711394077722382</v>
      </c>
      <c r="L185" s="524">
        <f t="shared" si="233"/>
        <v>4.534635879218472</v>
      </c>
      <c r="M185" s="430"/>
      <c r="N185" s="524">
        <f t="shared" ref="N185" si="234">N182/N184</f>
        <v>3.6110807647288334</v>
      </c>
      <c r="O185" s="524">
        <f t="shared" ref="O185" si="235">O182/O184</f>
        <v>5.1585200271554648</v>
      </c>
      <c r="P185" s="524">
        <f t="shared" ref="P185" si="236">P182/P184</f>
        <v>5.0522742024065108</v>
      </c>
      <c r="Q185" s="524">
        <f t="shared" ref="Q185" si="237">Q182/Q184</f>
        <v>4.0805935543705081</v>
      </c>
      <c r="R185" s="430"/>
      <c r="S185" s="524">
        <f t="shared" ref="S185" si="238">S182/S184</f>
        <v>3.0884849934234127</v>
      </c>
      <c r="T185" s="524">
        <f t="shared" ref="T185" si="239">T182/T184</f>
        <v>4.4580612020253909</v>
      </c>
      <c r="U185" s="524">
        <f t="shared" ref="U185" si="240">U182/U184</f>
        <v>6.0030046190412127</v>
      </c>
      <c r="V185" s="524">
        <f t="shared" ref="V185" si="241">V182/V184</f>
        <v>6.7457311130884285</v>
      </c>
      <c r="W185" s="430"/>
      <c r="X185" s="524">
        <f t="shared" ref="X185" si="242">X182/X184</f>
        <v>5.0004475774868524</v>
      </c>
      <c r="Y185" s="524">
        <f t="shared" ref="Y185" si="243">Y182/Y184</f>
        <v>6.4188237842521394</v>
      </c>
      <c r="Z185" s="524">
        <f t="shared" ref="Z185" si="244">Z182/Z184</f>
        <v>6.8619861655725423</v>
      </c>
      <c r="AA185" s="524">
        <f t="shared" ref="AA185" si="245">AA182/AA184</f>
        <v>6.526384314926859</v>
      </c>
      <c r="AB185" s="430"/>
      <c r="AC185" s="524">
        <f t="shared" ref="AC185" si="246">AC182/AC184</f>
        <v>4.5058629452940391</v>
      </c>
      <c r="AD185" s="524">
        <f t="shared" ref="AD185" si="247">AD182/AD184</f>
        <v>6.1289806136112244</v>
      </c>
      <c r="AE185" s="524">
        <f t="shared" ref="AE185" si="248">AE182/AE184</f>
        <v>6.7480617564496725</v>
      </c>
      <c r="AF185" s="524">
        <f t="shared" ref="AF185" si="249">AF182/AF184</f>
        <v>6.5255710270409981</v>
      </c>
      <c r="AG185" s="430"/>
      <c r="AH185" s="524">
        <f t="shared" ref="AH185" si="250">AH182/AH184</f>
        <v>4.8581926995093401</v>
      </c>
      <c r="AI185" s="524">
        <f t="shared" ref="AI185" si="251">AI182/AI184</f>
        <v>7.0278757017887452</v>
      </c>
      <c r="AJ185" s="524">
        <f t="shared" ref="AJ185" si="252">AJ182/AJ184</f>
        <v>7.1269236629590118</v>
      </c>
      <c r="AK185" s="524">
        <f t="shared" ref="AK185" si="253">AK182/AK184</f>
        <v>6.2776955129308858</v>
      </c>
      <c r="AL185" s="430"/>
      <c r="AM185" s="524">
        <f t="shared" ref="AM185:AN185" si="254">AM182/AM184</f>
        <v>4.6253035806953813</v>
      </c>
      <c r="AN185" s="524">
        <f t="shared" si="254"/>
        <v>7.8312954650982824</v>
      </c>
      <c r="AO185" s="524">
        <f t="shared" ref="AO185" si="255">AO182/AO184</f>
        <v>8.0299072295045644</v>
      </c>
      <c r="AP185" s="524">
        <f t="shared" ref="AP185" si="256">AP182/AP184</f>
        <v>7.0730815942236083</v>
      </c>
      <c r="AQ185" s="430"/>
      <c r="AR185" s="524">
        <f t="shared" ref="AR185" si="257">AR182/AR184</f>
        <v>5.2113310619997302</v>
      </c>
      <c r="AS185" s="524">
        <f t="shared" ref="AS185" si="258">AS182/AS184</f>
        <v>8.823523170089647</v>
      </c>
      <c r="AT185" s="524">
        <f t="shared" ref="AT185" si="259">AT182/AT184</f>
        <v>9.0472991102136522</v>
      </c>
      <c r="AU185" s="524">
        <f t="shared" ref="AU185" si="260">AU182/AU184</f>
        <v>7.9692433529940123</v>
      </c>
      <c r="AV185" s="430"/>
      <c r="AW185" s="524">
        <f t="shared" ref="AW185" si="261">AW182/AW184</f>
        <v>5.8716084174695915</v>
      </c>
      <c r="AX185" s="524">
        <f t="shared" ref="AX185" si="262">AX182/AX184</f>
        <v>9.9414664508679458</v>
      </c>
      <c r="AY185" s="524">
        <f t="shared" ref="AY185" si="263">AY182/AY184</f>
        <v>10.193594876029845</v>
      </c>
      <c r="AZ185" s="524">
        <f t="shared" ref="AZ185" si="264">AZ182/AZ184</f>
        <v>8.978949100644499</v>
      </c>
      <c r="BA185" s="430"/>
      <c r="BB185" s="524">
        <f t="shared" ref="BB185" si="265">BB182/BB184</f>
        <v>6.6155431305242107</v>
      </c>
      <c r="BC185" s="524">
        <f t="shared" ref="BC185" si="266">BC182/BC184</f>
        <v>11.325509662269342</v>
      </c>
      <c r="BD185" s="524">
        <f t="shared" ref="BD185" si="267">BD182/BD184</f>
        <v>11.485126691491475</v>
      </c>
      <c r="BE185" s="524">
        <f t="shared" ref="BE185" si="268">BE182/BE184</f>
        <v>10.116584897821634</v>
      </c>
      <c r="BF185" s="430"/>
      <c r="BG185" s="524">
        <f t="shared" ref="BG185" si="269">BG182/BG184</f>
        <v>7.4537346158187878</v>
      </c>
      <c r="BH185" s="524">
        <f t="shared" ref="BH185" si="270">BH182/BH184</f>
        <v>12.620230667352626</v>
      </c>
      <c r="BI185" s="524">
        <f t="shared" ref="BI185" si="271">BI182/BI184</f>
        <v>12.94029601174271</v>
      </c>
      <c r="BJ185" s="524">
        <f t="shared" ref="BJ185" si="272">BJ182/BJ184</f>
        <v>11.398359523776177</v>
      </c>
      <c r="BK185" s="430"/>
      <c r="BL185" s="490"/>
      <c r="BM185" s="490"/>
      <c r="BN185" s="490"/>
      <c r="BO185" s="490"/>
      <c r="BP185" s="490"/>
      <c r="BQ185" s="490"/>
      <c r="BR185" s="490"/>
      <c r="BS185" s="490"/>
      <c r="BT185" s="490"/>
      <c r="BU185" s="490"/>
      <c r="BV185" s="490"/>
      <c r="BW185" s="490"/>
      <c r="BX185" s="490"/>
      <c r="BY185" s="490"/>
      <c r="BZ185" s="490"/>
      <c r="CA185" s="490"/>
      <c r="CB185" s="490"/>
      <c r="CC185" s="490"/>
    </row>
    <row r="186" spans="2:81" hidden="1" outlineLevel="1" x14ac:dyDescent="0.3">
      <c r="B186" s="714" t="s">
        <v>51</v>
      </c>
      <c r="C186" s="743"/>
      <c r="D186" s="142"/>
      <c r="E186" s="427">
        <f>E13/(AVERAGE(E146,D146))</f>
        <v>4.5177376171352073</v>
      </c>
      <c r="F186" s="427">
        <f>F13/(AVERAGE(F146,E146))</f>
        <v>4.9581556924048638</v>
      </c>
      <c r="G186" s="427">
        <f>G13/(AVERAGE(G146,F146))</f>
        <v>4.5423690967958024</v>
      </c>
      <c r="H186" s="428"/>
      <c r="I186" s="425">
        <f>I13/(AVERAGE(I146,G146))</f>
        <v>4.6356938545549102</v>
      </c>
      <c r="J186" s="427">
        <f>J13/(AVERAGE(J146,I146))</f>
        <v>4.1720084566596194</v>
      </c>
      <c r="K186" s="427">
        <f>K13/(AVERAGE(K146,J146))</f>
        <v>4.8018487394957985</v>
      </c>
      <c r="L186" s="427">
        <f>L13/(AVERAGE(L146,K146))</f>
        <v>4.9289512684160055</v>
      </c>
      <c r="M186" s="428"/>
      <c r="N186" s="425">
        <f>N13/(AVERAGE(N146,L146))</f>
        <v>6.4805930484649279</v>
      </c>
      <c r="O186" s="427">
        <f>O13/(AVERAGE(O146,N146))</f>
        <v>4.9068369646882042</v>
      </c>
      <c r="P186" s="427">
        <f>P13/(AVERAGE(P146,O146))</f>
        <v>4.7653581876318114</v>
      </c>
      <c r="Q186" s="427">
        <f>Q13/(AVERAGE(Q146,P146))</f>
        <v>3.8700166783235597</v>
      </c>
      <c r="R186" s="428"/>
      <c r="S186" s="425">
        <f>S13/(AVERAGE(S146,Q146))</f>
        <v>4.8394886363636367</v>
      </c>
      <c r="T186" s="427">
        <f>T13/(AVERAGE(T146,S146))</f>
        <v>4.6679156407236917</v>
      </c>
      <c r="U186" s="427">
        <f>U13/(AVERAGE(U146,T146))</f>
        <v>4.4367267474722096</v>
      </c>
      <c r="V186" s="427">
        <f>V13/(AVERAGE(V146,U146))</f>
        <v>3.4157057563465658</v>
      </c>
      <c r="W186" s="428"/>
      <c r="X186" s="425">
        <f>X13/(AVERAGE(X146,V146))</f>
        <v>4.219031572778551</v>
      </c>
      <c r="Y186" s="427">
        <f>Y13/(AVERAGE(Y146,X146))</f>
        <v>3.8197489539748952</v>
      </c>
      <c r="Z186" s="427">
        <f>Z13/(AVERAGE(Z146,Y146))</f>
        <v>3.654041390081999</v>
      </c>
      <c r="AA186" s="427">
        <f>AA13/(AVERAGE(AA146,Z146))</f>
        <v>2.9823704333050127</v>
      </c>
      <c r="AB186" s="428"/>
      <c r="AC186" s="429">
        <f>AC13/(AVERAGE(AC146,AA146))</f>
        <v>4.3664725335830727</v>
      </c>
      <c r="AD186" s="429">
        <f>AD13/(AVERAGE(AD146,AC146))</f>
        <v>4.2014919968132105</v>
      </c>
      <c r="AE186" s="429">
        <f>AE13/(AVERAGE(AE146,AD146))</f>
        <v>4.6632197414806109</v>
      </c>
      <c r="AF186" s="429">
        <f>AF13/(AVERAGE(AF146,AE146))</f>
        <v>3.7841948638818472</v>
      </c>
      <c r="AG186" s="430"/>
      <c r="AH186" s="429">
        <f>AH13/(AVERAGE(AH146,AF146))</f>
        <v>5.0917388094758742</v>
      </c>
      <c r="AI186" s="429">
        <f>AI13/(AVERAGE(AI146,AH146))</f>
        <v>4.0153284091811612</v>
      </c>
      <c r="AJ186" s="429">
        <f>AJ13/(AVERAGE(AJ146,AI146))</f>
        <v>3.5382366453660778</v>
      </c>
      <c r="AK186" s="429">
        <f>AK13/(AVERAGE(AK146,AJ146))</f>
        <v>3.4113877967088975</v>
      </c>
      <c r="AL186" s="430"/>
      <c r="AM186" s="429">
        <f>AM13/(AVERAGE(AM146,AK146))</f>
        <v>5.2565160511220688</v>
      </c>
      <c r="AN186" s="429">
        <f>AN13/(AVERAGE(AN146,AM146))</f>
        <v>4.126696832579186</v>
      </c>
      <c r="AO186" s="426">
        <f>AN186*(AJ186/AI186)</f>
        <v>3.6363725377883602</v>
      </c>
      <c r="AP186" s="426">
        <f>AO186*(AK186/AJ186)</f>
        <v>3.5060054323797512</v>
      </c>
      <c r="AQ186" s="430"/>
      <c r="AR186" s="426">
        <f>AP186*(AM186/AK186)</f>
        <v>5.4023098307395268</v>
      </c>
      <c r="AS186" s="426">
        <f>AR186*(AN186/AM186)</f>
        <v>4.2411541504501518</v>
      </c>
      <c r="AT186" s="426">
        <f>AS186*(AO186/AN186)</f>
        <v>3.7372303095948638</v>
      </c>
      <c r="AU186" s="426">
        <f>AT186*(AP186/AO186)</f>
        <v>3.6032473657011326</v>
      </c>
      <c r="AV186" s="430"/>
      <c r="AW186" s="426">
        <f>AU186*(AR186/AP186)</f>
        <v>5.5521473202911729</v>
      </c>
      <c r="AX186" s="426">
        <f>AW186*(AS186/AR186)</f>
        <v>4.358786035813158</v>
      </c>
      <c r="AY186" s="426">
        <f>AX186*(AT186/AS186)</f>
        <v>3.840885454340488</v>
      </c>
      <c r="AZ186" s="426">
        <f>AY186*(AU186/AT186)</f>
        <v>3.7031863837186036</v>
      </c>
      <c r="BA186" s="430"/>
      <c r="BB186" s="426">
        <f>AZ186*(AW186/AU186)</f>
        <v>5.7061406753852557</v>
      </c>
      <c r="BC186" s="426">
        <f>BB186*(AX186/AW186)</f>
        <v>4.4796805378986866</v>
      </c>
      <c r="BD186" s="426">
        <f>BC186*(AY186/AX186)</f>
        <v>3.9474155594557341</v>
      </c>
      <c r="BE186" s="426">
        <f>BD186*(AZ186/AY186)</f>
        <v>3.8058972922860734</v>
      </c>
      <c r="BF186" s="430"/>
      <c r="BG186" s="426">
        <f>BE186*(BB186/AZ186)</f>
        <v>5.8644051623577136</v>
      </c>
      <c r="BH186" s="426">
        <f>BG186*(BC186/BB186)</f>
        <v>4.60392814805477</v>
      </c>
      <c r="BI186" s="426">
        <f>BH186*(BD186/BC186)</f>
        <v>4.0569003643220594</v>
      </c>
      <c r="BJ186" s="426">
        <f>BI186*(BE186/BD186)</f>
        <v>3.9114569720591019</v>
      </c>
      <c r="BK186" s="430"/>
      <c r="BL186" s="424"/>
      <c r="BM186" s="424"/>
      <c r="BN186" s="424"/>
      <c r="BO186" s="424"/>
      <c r="BP186" s="424"/>
      <c r="BQ186" s="424"/>
      <c r="BR186" s="424"/>
      <c r="BS186" s="424"/>
      <c r="BT186" s="424"/>
      <c r="BU186" s="424"/>
      <c r="BV186" s="424"/>
      <c r="BW186" s="424"/>
      <c r="BX186" s="424"/>
      <c r="BY186" s="424"/>
      <c r="BZ186" s="424"/>
      <c r="CA186" s="424"/>
      <c r="CB186" s="424"/>
      <c r="CC186" s="424"/>
    </row>
    <row r="187" spans="2:81" s="98" customFormat="1" hidden="1" outlineLevel="1" x14ac:dyDescent="0.3">
      <c r="B187" s="726" t="s">
        <v>416</v>
      </c>
      <c r="C187" s="727"/>
      <c r="D187" s="522"/>
      <c r="E187" s="524">
        <f>E182/E186</f>
        <v>19.921475664864065</v>
      </c>
      <c r="F187" s="524">
        <f t="shared" ref="F187:G187" si="273">F182/F186</f>
        <v>18.353598726114647</v>
      </c>
      <c r="G187" s="524">
        <f t="shared" si="273"/>
        <v>20.253748218060267</v>
      </c>
      <c r="H187" s="430"/>
      <c r="I187" s="524">
        <f t="shared" ref="I187:L187" si="274">I182/I186</f>
        <v>19.846004263116562</v>
      </c>
      <c r="J187" s="524">
        <f t="shared" si="274"/>
        <v>21.572343616978149</v>
      </c>
      <c r="K187" s="524">
        <f t="shared" si="274"/>
        <v>18.951034265513982</v>
      </c>
      <c r="L187" s="524">
        <f t="shared" si="274"/>
        <v>18.665228157056951</v>
      </c>
      <c r="M187" s="430"/>
      <c r="N187" s="524">
        <f t="shared" ref="N187" si="275">N182/N186</f>
        <v>14.196231627565666</v>
      </c>
      <c r="O187" s="524">
        <f t="shared" ref="O187" si="276">O182/O186</f>
        <v>18.54555198285102</v>
      </c>
      <c r="P187" s="524">
        <f t="shared" ref="P187" si="277">P182/P186</f>
        <v>19.096151100705253</v>
      </c>
      <c r="Q187" s="524">
        <f t="shared" ref="Q187" si="278">Q182/Q186</f>
        <v>23.772507368069842</v>
      </c>
      <c r="R187" s="430"/>
      <c r="S187" s="524">
        <f t="shared" ref="S187" si="279">S182/S186</f>
        <v>19.010272967420015</v>
      </c>
      <c r="T187" s="524">
        <f t="shared" ref="T187" si="280">T182/T186</f>
        <v>19.280554090314883</v>
      </c>
      <c r="U187" s="524">
        <f t="shared" ref="U187" si="281">U182/U186</f>
        <v>20.510616312317755</v>
      </c>
      <c r="V187" s="524">
        <f t="shared" ref="V187" si="282">V182/V186</f>
        <v>26.934404355251921</v>
      </c>
      <c r="W187" s="430"/>
      <c r="X187" s="524">
        <f t="shared" ref="X187" si="283">X182/X186</f>
        <v>21.805952008889815</v>
      </c>
      <c r="Y187" s="524">
        <f t="shared" ref="Y187" si="284">Y182/Y186</f>
        <v>23.561757875827016</v>
      </c>
      <c r="Z187" s="524">
        <f t="shared" ref="Z187" si="285">Z182/Z186</f>
        <v>24.903932464201755</v>
      </c>
      <c r="AA187" s="524">
        <f t="shared" ref="AA187" si="286">AA182/AA186</f>
        <v>30.847945303041094</v>
      </c>
      <c r="AB187" s="430"/>
      <c r="AC187" s="524">
        <f t="shared" ref="AC187" si="287">AC182/AC186</f>
        <v>21.069639003203793</v>
      </c>
      <c r="AD187" s="524">
        <f t="shared" ref="AD187" si="288">AD182/AD186</f>
        <v>21.420961903120151</v>
      </c>
      <c r="AE187" s="524">
        <f t="shared" ref="AE187" si="289">AE182/AE186</f>
        <v>19.514413869569601</v>
      </c>
      <c r="AF187" s="524">
        <f t="shared" ref="AF187" si="290">AF182/AF186</f>
        <v>24.311644434088659</v>
      </c>
      <c r="AG187" s="430"/>
      <c r="AH187" s="524">
        <f t="shared" ref="AH187" si="291">AH182/AH186</f>
        <v>18.068483762125684</v>
      </c>
      <c r="AI187" s="524">
        <f t="shared" ref="AI187" si="292">AI182/AI186</f>
        <v>22.663152481357674</v>
      </c>
      <c r="AJ187" s="524">
        <f t="shared" ref="AJ187" si="293">AJ182/AJ186</f>
        <v>25.719025921903771</v>
      </c>
      <c r="AK187" s="524">
        <f t="shared" ref="AK187" si="294">AK182/AK186</f>
        <v>26.968496542303424</v>
      </c>
      <c r="AL187" s="430"/>
      <c r="AM187" s="524">
        <f t="shared" ref="AM187:AN187" si="295">AM182/AM186</f>
        <v>17.502086763410805</v>
      </c>
      <c r="AN187" s="524">
        <f t="shared" si="295"/>
        <v>21.809210526315788</v>
      </c>
      <c r="AO187" s="524">
        <f t="shared" ref="AO187" si="296">AO182/AO186</f>
        <v>25.024938741657682</v>
      </c>
      <c r="AP187" s="524">
        <f t="shared" ref="AP187" si="297">AP182/AP186</f>
        <v>26.240689518143071</v>
      </c>
      <c r="AQ187" s="430"/>
      <c r="AR187" s="524">
        <f t="shared" ref="AR187" si="298">AR182/AR186</f>
        <v>17.029752621094307</v>
      </c>
      <c r="AS187" s="524">
        <f t="shared" ref="AS187" si="299">AS182/AS186</f>
        <v>21.220638724118881</v>
      </c>
      <c r="AT187" s="524">
        <f t="shared" ref="AT187" si="300">AT182/AT186</f>
        <v>24.34958310339319</v>
      </c>
      <c r="AU187" s="524">
        <f t="shared" ref="AU187" si="301">AU182/AU186</f>
        <v>25.532524043654803</v>
      </c>
      <c r="AV187" s="430"/>
      <c r="AW187" s="524">
        <f t="shared" ref="AW187" si="302">AW182/AW186</f>
        <v>16.570165504033351</v>
      </c>
      <c r="AX187" s="524">
        <f t="shared" ref="AX187" si="303">AX182/AX186</f>
        <v>20.647950888282121</v>
      </c>
      <c r="AY187" s="524">
        <f t="shared" ref="AY187" si="304">AY182/AY186</f>
        <v>23.692453493285822</v>
      </c>
      <c r="AZ187" s="524">
        <f t="shared" ref="AZ187" si="305">AZ182/AZ186</f>
        <v>24.843470046359638</v>
      </c>
      <c r="BA187" s="430"/>
      <c r="BB187" s="524">
        <f t="shared" ref="BB187" si="306">BB182/BB186</f>
        <v>16.122981404377754</v>
      </c>
      <c r="BC187" s="524">
        <f t="shared" ref="BC187" si="307">BC182/BC186</f>
        <v>20.313948557297341</v>
      </c>
      <c r="BD187" s="524">
        <f t="shared" ref="BD187" si="308">BD182/BD186</f>
        <v>23.053058039966533</v>
      </c>
      <c r="BE187" s="524">
        <f t="shared" ref="BE187" si="309">BE182/BE186</f>
        <v>24.173011759005909</v>
      </c>
      <c r="BF187" s="430"/>
      <c r="BG187" s="524">
        <f t="shared" ref="BG187" si="310">BG182/BG186</f>
        <v>15.687865598121892</v>
      </c>
      <c r="BH187" s="524">
        <f t="shared" ref="BH187" si="311">BH182/BH186</f>
        <v>19.54852402247554</v>
      </c>
      <c r="BI187" s="524">
        <f t="shared" ref="BI187" si="312">BI182/BI186</f>
        <v>22.430918146348617</v>
      </c>
      <c r="BJ187" s="524">
        <f t="shared" ref="BJ187" si="313">BJ182/BJ186</f>
        <v>23.520647333509739</v>
      </c>
      <c r="BK187" s="430"/>
      <c r="BL187" s="490"/>
      <c r="BM187" s="490"/>
      <c r="BN187" s="490"/>
      <c r="BO187" s="490"/>
      <c r="BP187" s="490"/>
      <c r="BQ187" s="490"/>
      <c r="BR187" s="490"/>
      <c r="BS187" s="490"/>
      <c r="BT187" s="490"/>
      <c r="BU187" s="490"/>
      <c r="BV187" s="490"/>
      <c r="BW187" s="490"/>
      <c r="BX187" s="490"/>
      <c r="BY187" s="490"/>
      <c r="BZ187" s="490"/>
      <c r="CA187" s="490"/>
      <c r="CB187" s="490"/>
      <c r="CC187" s="490"/>
    </row>
    <row r="188" spans="2:81" s="98" customFormat="1" hidden="1" outlineLevel="1" x14ac:dyDescent="0.3">
      <c r="B188" s="726" t="s">
        <v>417</v>
      </c>
      <c r="C188" s="727"/>
      <c r="D188" s="522"/>
      <c r="E188" s="528">
        <f>E14/(AVERAGE(E160,D160))</f>
        <v>1.2932577810626591</v>
      </c>
      <c r="F188" s="528">
        <f>F14/(AVERAGE(F160,E160))</f>
        <v>1.3532366466218606</v>
      </c>
      <c r="G188" s="528">
        <f>G14/(AVERAGE(G160,F160))</f>
        <v>1.2527826596367897</v>
      </c>
      <c r="H188" s="430"/>
      <c r="I188" s="429">
        <f>I14/(AVERAGE(I160,G160))</f>
        <v>1.249658002735978</v>
      </c>
      <c r="J188" s="528">
        <f>J14/(AVERAGE(J160,I160))</f>
        <v>1.0315188291986437</v>
      </c>
      <c r="K188" s="528">
        <f>K14/(AVERAGE(K160,J160))</f>
        <v>1.1488407397184655</v>
      </c>
      <c r="L188" s="528">
        <f>L14/(AVERAGE(L160,K160))</f>
        <v>1.1296903217176109</v>
      </c>
      <c r="M188" s="430"/>
      <c r="N188" s="429">
        <f>N14/(AVERAGE(N160,L160))</f>
        <v>1.5602836879432624</v>
      </c>
      <c r="O188" s="528">
        <f>O14/(AVERAGE(O160,N160))</f>
        <v>1.1706403269754768</v>
      </c>
      <c r="P188" s="528">
        <f>P14/(AVERAGE(P160,O160))</f>
        <v>1.184482095863272</v>
      </c>
      <c r="Q188" s="528">
        <f>Q14/(AVERAGE(Q160,P160))</f>
        <v>1.1355079904167653</v>
      </c>
      <c r="R188" s="430"/>
      <c r="S188" s="429">
        <f>S14/(AVERAGE(S160,Q160))</f>
        <v>1.4063439345847435</v>
      </c>
      <c r="T188" s="528">
        <f>T14/(AVERAGE(T160,S160))</f>
        <v>1.3194868070685064</v>
      </c>
      <c r="U188" s="528">
        <f>U14/(AVERAGE(U160,T160))</f>
        <v>1.4656894965163665</v>
      </c>
      <c r="V188" s="528">
        <f>V14/(AVERAGE(V160,U160))</f>
        <v>1.2459942454399071</v>
      </c>
      <c r="W188" s="430"/>
      <c r="X188" s="429">
        <f>X14/(AVERAGE(X160,V160))</f>
        <v>1.3761139447598885</v>
      </c>
      <c r="Y188" s="528">
        <f>Y14/(AVERAGE(Y160,X160))</f>
        <v>1.1421797039297348</v>
      </c>
      <c r="Z188" s="528">
        <f>Z14/(AVERAGE(Z160,Y160))</f>
        <v>1.1507009049659054</v>
      </c>
      <c r="AA188" s="528">
        <f>AA14/(AVERAGE(AA160,Z160))</f>
        <v>1.0295085844946876</v>
      </c>
      <c r="AB188" s="430"/>
      <c r="AC188" s="429">
        <f>AC14/(AVERAGE(AC160,AA160))</f>
        <v>1.3155417393726996</v>
      </c>
      <c r="AD188" s="429">
        <f>AD14/(AVERAGE(AD160,AC160))</f>
        <v>1.1234139960758667</v>
      </c>
      <c r="AE188" s="429">
        <f>AE14/(AVERAGE(AE160,AD160))</f>
        <v>1.2058106501722645</v>
      </c>
      <c r="AF188" s="528">
        <f>AF14/(AVERAGE(AF160,AE160))</f>
        <v>0.9990639726292686</v>
      </c>
      <c r="AG188" s="430"/>
      <c r="AH188" s="528">
        <f>AH14/(AVERAGE(AH160,AF160))</f>
        <v>1.321153454841429</v>
      </c>
      <c r="AI188" s="429">
        <f>AI14/(AVERAGE(AI160,AH160))</f>
        <v>1.0489984591679506</v>
      </c>
      <c r="AJ188" s="429">
        <f>AJ14/(AVERAGE(AJ160,AI160))</f>
        <v>1.0211607281779991</v>
      </c>
      <c r="AK188" s="429">
        <f>AK14/(AVERAGE(AK160,AJ160))</f>
        <v>0.91300383575426025</v>
      </c>
      <c r="AL188" s="430"/>
      <c r="AM188" s="528">
        <f>AM14/(AVERAGE(AM160,AK160))</f>
        <v>1.2710411060102369</v>
      </c>
      <c r="AN188" s="429">
        <f>AN14/(AVERAGE(AN160,AM160))</f>
        <v>0.96313522054767975</v>
      </c>
      <c r="AO188" s="426">
        <f>AN188*(AJ188/AI188)</f>
        <v>0.93757607988142899</v>
      </c>
      <c r="AP188" s="426">
        <f>AO188*(AK188/AJ188)</f>
        <v>0.83827210900532767</v>
      </c>
      <c r="AQ188" s="430"/>
      <c r="AR188" s="426">
        <f>AP188*(AM188/AK188)</f>
        <v>1.1670031021145071</v>
      </c>
      <c r="AS188" s="426">
        <f>AR188*(AN188/AM188)</f>
        <v>0.88430011021675781</v>
      </c>
      <c r="AT188" s="426">
        <f>AS188*(AO188/AN188)</f>
        <v>0.8608330513593746</v>
      </c>
      <c r="AU188" s="426">
        <f>AT188*(AP188/AO188)</f>
        <v>0.76965736749147173</v>
      </c>
      <c r="AV188" s="430"/>
      <c r="AW188" s="426">
        <f>AU188*(AR188/AP188)</f>
        <v>1.071480878080991</v>
      </c>
      <c r="AX188" s="426">
        <f>AW188*(AS188/AR188)</f>
        <v>0.8119178576863787</v>
      </c>
      <c r="AY188" s="426">
        <f>AX188*(AT188/AS188)</f>
        <v>0.79037163832764035</v>
      </c>
      <c r="AZ188" s="426">
        <f>AY188*(AU188/AT188)</f>
        <v>0.70665892014085552</v>
      </c>
      <c r="BA188" s="430"/>
      <c r="BB188" s="426">
        <f>AZ188*(AW188/AU188)</f>
        <v>0.98377739528970176</v>
      </c>
      <c r="BC188" s="426">
        <f>BB188*(AX188/AW188)</f>
        <v>0.74546027984600649</v>
      </c>
      <c r="BD188" s="426">
        <f>BC188*(AY188/AX188)</f>
        <v>0.72567767430194574</v>
      </c>
      <c r="BE188" s="426">
        <f>BD188*(AZ188/AY188)</f>
        <v>0.64881705874162687</v>
      </c>
      <c r="BF188" s="430"/>
      <c r="BG188" s="426">
        <f>BE188*(BB188/AZ188)</f>
        <v>0.90325266953558725</v>
      </c>
      <c r="BH188" s="426">
        <f>BG188*(BC188/BB188)</f>
        <v>0.6844424267396052</v>
      </c>
      <c r="BI188" s="426">
        <f>BH188*(BD188/BC188)</f>
        <v>0.66627907865537683</v>
      </c>
      <c r="BJ188" s="426">
        <f>BI188*(BE188/BD188)</f>
        <v>0.59570970338876739</v>
      </c>
      <c r="BK188" s="430"/>
      <c r="BL188" s="490"/>
      <c r="BM188" s="490"/>
      <c r="BN188" s="490"/>
      <c r="BO188" s="490"/>
      <c r="BP188" s="490"/>
      <c r="BQ188" s="490"/>
      <c r="BR188" s="490"/>
      <c r="BS188" s="490"/>
      <c r="BT188" s="490"/>
      <c r="BU188" s="490"/>
      <c r="BV188" s="490"/>
      <c r="BW188" s="490"/>
      <c r="BX188" s="490"/>
      <c r="BY188" s="490"/>
      <c r="BZ188" s="490"/>
      <c r="CA188" s="490"/>
      <c r="CB188" s="490"/>
      <c r="CC188" s="490"/>
    </row>
    <row r="189" spans="2:81" hidden="1" outlineLevel="1" x14ac:dyDescent="0.3">
      <c r="B189" s="714" t="s">
        <v>53</v>
      </c>
      <c r="C189" s="743"/>
      <c r="D189" s="143"/>
      <c r="E189" s="188">
        <f>E182/E188</f>
        <v>69.59169418338837</v>
      </c>
      <c r="F189" s="188">
        <f t="shared" ref="F189:G189" si="314">F182/F188</f>
        <v>67.246183605186118</v>
      </c>
      <c r="G189" s="188">
        <f t="shared" si="314"/>
        <v>73.436520925882633</v>
      </c>
      <c r="H189" s="431"/>
      <c r="I189" s="188">
        <f t="shared" ref="I189:L189" si="315">I182/I188</f>
        <v>73.620142309797487</v>
      </c>
      <c r="J189" s="188">
        <f t="shared" si="315"/>
        <v>87.249982697764537</v>
      </c>
      <c r="K189" s="188">
        <f t="shared" si="315"/>
        <v>79.21028289987386</v>
      </c>
      <c r="L189" s="188">
        <f t="shared" si="315"/>
        <v>81.438247483718172</v>
      </c>
      <c r="M189" s="431"/>
      <c r="N189" s="188">
        <f t="shared" ref="N189" si="316">N182/N188</f>
        <v>58.963636363636361</v>
      </c>
      <c r="O189" s="188">
        <f t="shared" ref="O189" si="317">O182/O188</f>
        <v>77.735234215885953</v>
      </c>
      <c r="P189" s="188">
        <f t="shared" ref="P189" si="318">P182/P188</f>
        <v>76.826826102151884</v>
      </c>
      <c r="Q189" s="188">
        <f t="shared" ref="Q189" si="319">Q182/Q188</f>
        <v>81.021006260143764</v>
      </c>
      <c r="R189" s="431"/>
      <c r="S189" s="188">
        <f t="shared" ref="S189" si="320">S182/S188</f>
        <v>65.417852445294741</v>
      </c>
      <c r="T189" s="188">
        <f t="shared" ref="T189" si="321">T182/T188</f>
        <v>68.208336390988478</v>
      </c>
      <c r="U189" s="188">
        <f t="shared" ref="U189" si="322">U182/U188</f>
        <v>62.086820036772949</v>
      </c>
      <c r="V189" s="188">
        <f t="shared" ref="V189" si="323">V182/V188</f>
        <v>73.836617092496084</v>
      </c>
      <c r="W189" s="431"/>
      <c r="X189" s="188">
        <f t="shared" ref="X189" si="324">X182/X188</f>
        <v>66.854928947073958</v>
      </c>
      <c r="Y189" s="188">
        <f t="shared" ref="Y189" si="325">Y182/Y188</f>
        <v>78.796707462363273</v>
      </c>
      <c r="Z189" s="188">
        <f t="shared" ref="Z189" si="326">Z182/Z188</f>
        <v>79.082235537736267</v>
      </c>
      <c r="AA189" s="188">
        <f t="shared" ref="AA189" si="327">AA182/AA188</f>
        <v>89.363023665466798</v>
      </c>
      <c r="AB189" s="431"/>
      <c r="AC189" s="188">
        <f t="shared" ref="AC189" si="328">AC182/AC188</f>
        <v>69.933166882161487</v>
      </c>
      <c r="AD189" s="188">
        <f t="shared" ref="AD189" si="329">AD182/AD188</f>
        <v>80.112941724398894</v>
      </c>
      <c r="AE189" s="188">
        <f t="shared" ref="AE189" si="330">AE182/AE188</f>
        <v>75.467902018446722</v>
      </c>
      <c r="AF189" s="188">
        <f t="shared" ref="AF189" si="331">AF182/AF188</f>
        <v>92.086195199172934</v>
      </c>
      <c r="AG189" s="431"/>
      <c r="AH189" s="188">
        <f t="shared" ref="AH189" si="332">AH182/AH188</f>
        <v>69.636119606592004</v>
      </c>
      <c r="AI189" s="188">
        <f t="shared" ref="AI189" si="333">AI182/AI188</f>
        <v>86.749412455934205</v>
      </c>
      <c r="AJ189" s="188">
        <f t="shared" ref="AJ189" si="334">AJ182/AJ188</f>
        <v>89.1142770074661</v>
      </c>
      <c r="AK189" s="188">
        <f t="shared" ref="AK189" si="335">AK182/AK188</f>
        <v>100.76627983057267</v>
      </c>
      <c r="AL189" s="431"/>
      <c r="AM189" s="188">
        <f t="shared" ref="AM189:AN189" si="336">AM182/AM188</f>
        <v>72.381608718214849</v>
      </c>
      <c r="AN189" s="188">
        <f t="shared" si="336"/>
        <v>93.444822782850949</v>
      </c>
      <c r="AO189" s="188">
        <f t="shared" ref="AO189" si="337">AO182/AO188</f>
        <v>97.058790164002858</v>
      </c>
      <c r="AP189" s="188">
        <f t="shared" ref="AP189" si="338">AP182/AP188</f>
        <v>109.74956581719611</v>
      </c>
      <c r="AQ189" s="431"/>
      <c r="AR189" s="188">
        <f t="shared" ref="AR189" si="339">AR182/AR188</f>
        <v>78.83440912308123</v>
      </c>
      <c r="AS189" s="188">
        <f t="shared" ref="AS189" si="340">AS182/AS188</f>
        <v>101.7754028979363</v>
      </c>
      <c r="AT189" s="188">
        <f t="shared" ref="AT189" si="341">AT182/AT188</f>
        <v>105.71155447191346</v>
      </c>
      <c r="AU189" s="188">
        <f t="shared" ref="AU189" si="342">AU182/AU188</f>
        <v>119.53370926579146</v>
      </c>
      <c r="AV189" s="431"/>
      <c r="AW189" s="188">
        <f t="shared" ref="AW189" si="343">AW182/AW188</f>
        <v>85.862474899944885</v>
      </c>
      <c r="AX189" s="188">
        <f t="shared" ref="AX189" si="344">AX182/AX188</f>
        <v>110.84865192700873</v>
      </c>
      <c r="AY189" s="188">
        <f t="shared" ref="AY189" si="345">AY182/AY188</f>
        <v>115.13571032552271</v>
      </c>
      <c r="AZ189" s="188">
        <f t="shared" ref="AZ189" si="346">AZ182/AZ188</f>
        <v>130.19010639766918</v>
      </c>
      <c r="BA189" s="431"/>
      <c r="BB189" s="188">
        <f t="shared" ref="BB189" si="347">BB182/BB188</f>
        <v>93.517090797667635</v>
      </c>
      <c r="BC189" s="188">
        <f t="shared" ref="BC189" si="348">BC182/BC188</f>
        <v>122.07223169395201</v>
      </c>
      <c r="BD189" s="188">
        <f t="shared" ref="BD189" si="349">BD182/BD188</f>
        <v>125.40002706785216</v>
      </c>
      <c r="BE189" s="188">
        <f t="shared" ref="BE189" si="350">BE182/BE188</f>
        <v>141.79651838752966</v>
      </c>
      <c r="BF189" s="431"/>
      <c r="BG189" s="188">
        <f t="shared" ref="BG189" si="351">BG182/BG188</f>
        <v>101.85411358629291</v>
      </c>
      <c r="BH189" s="188">
        <f t="shared" ref="BH189" si="352">BH182/BH188</f>
        <v>131.49389413032446</v>
      </c>
      <c r="BI189" s="188">
        <f t="shared" ref="BI189" si="353">BI182/BI188</f>
        <v>136.5794048098401</v>
      </c>
      <c r="BJ189" s="188">
        <f t="shared" ref="BJ189" si="354">BJ182/BJ188</f>
        <v>154.43763879729804</v>
      </c>
      <c r="BK189" s="431"/>
      <c r="BL189" s="424"/>
      <c r="BM189" s="424"/>
      <c r="BN189" s="424"/>
      <c r="BO189" s="424"/>
      <c r="BP189" s="424"/>
      <c r="BQ189" s="424"/>
      <c r="BR189" s="424"/>
      <c r="BS189" s="424"/>
      <c r="BT189" s="424"/>
      <c r="BU189" s="424"/>
      <c r="BV189" s="424"/>
      <c r="BW189" s="424"/>
      <c r="BX189" s="424"/>
      <c r="BY189" s="424"/>
      <c r="BZ189" s="424"/>
      <c r="CA189" s="424"/>
      <c r="CB189" s="424"/>
      <c r="CC189" s="424"/>
    </row>
    <row r="190" spans="2:81" s="98" customFormat="1" hidden="1" outlineLevel="1" x14ac:dyDescent="0.3">
      <c r="B190" s="726" t="s">
        <v>418</v>
      </c>
      <c r="C190" s="727"/>
      <c r="D190" s="529"/>
      <c r="E190" s="189">
        <f>E185+E187-E189</f>
        <v>-42.732194642476557</v>
      </c>
      <c r="F190" s="189">
        <f>F185+F187-F189</f>
        <v>-41.375855477147589</v>
      </c>
      <c r="G190" s="189">
        <f>G185+G187-G189</f>
        <v>-46.037733350017049</v>
      </c>
      <c r="H190" s="530"/>
      <c r="I190" s="189">
        <f>I185+I187-I189</f>
        <v>-48.358094745580154</v>
      </c>
      <c r="J190" s="189">
        <f>J185+J187-J189</f>
        <v>-60.024998759656896</v>
      </c>
      <c r="K190" s="189">
        <f>K185+K187-K189</f>
        <v>-55.288109226587636</v>
      </c>
      <c r="L190" s="189">
        <f>L185+L187-L189</f>
        <v>-58.23838344744275</v>
      </c>
      <c r="M190" s="530"/>
      <c r="N190" s="189">
        <f>N185+N187-N189</f>
        <v>-41.156323971341862</v>
      </c>
      <c r="O190" s="189">
        <f>O185+O187-O189</f>
        <v>-54.031162205879468</v>
      </c>
      <c r="P190" s="189">
        <f>P185+P187-P189</f>
        <v>-52.678400799040119</v>
      </c>
      <c r="Q190" s="189">
        <f>Q185+Q187-Q189</f>
        <v>-53.167905337703417</v>
      </c>
      <c r="R190" s="530"/>
      <c r="S190" s="189">
        <f>S185+S187-S189</f>
        <v>-43.319094484451313</v>
      </c>
      <c r="T190" s="189">
        <f>T185+T187-T189</f>
        <v>-44.469721098648208</v>
      </c>
      <c r="U190" s="189">
        <f>U185+U187-U189</f>
        <v>-35.573199105413977</v>
      </c>
      <c r="V190" s="189">
        <f>V185+V187-V189</f>
        <v>-40.156481624155731</v>
      </c>
      <c r="W190" s="530"/>
      <c r="X190" s="189">
        <f>X185+X187-X189</f>
        <v>-40.048529360697287</v>
      </c>
      <c r="Y190" s="189">
        <f>Y185+Y187-Y189</f>
        <v>-48.81612580228412</v>
      </c>
      <c r="Z190" s="189">
        <f>Z185+Z187-Z189</f>
        <v>-47.316316907961969</v>
      </c>
      <c r="AA190" s="189">
        <f>AA185+AA187-AA189</f>
        <v>-51.988694047498846</v>
      </c>
      <c r="AB190" s="530"/>
      <c r="AC190" s="189">
        <f>AC185+AC187-AC189</f>
        <v>-44.357664933663656</v>
      </c>
      <c r="AD190" s="189">
        <f>AD185+AD187-AD189</f>
        <v>-52.562999207667517</v>
      </c>
      <c r="AE190" s="189">
        <f>AE185+AE187-AE189</f>
        <v>-49.205426392427448</v>
      </c>
      <c r="AF190" s="189">
        <f>AF185+AF187-AF189</f>
        <v>-61.248979738043275</v>
      </c>
      <c r="AG190" s="530"/>
      <c r="AH190" s="189">
        <f>AH185+AH187-AH189</f>
        <v>-46.709443144956978</v>
      </c>
      <c r="AI190" s="189">
        <f>AI185+AI187-AI189</f>
        <v>-57.058384272787791</v>
      </c>
      <c r="AJ190" s="189">
        <f>AJ185+AJ187-AJ189</f>
        <v>-56.268327422603321</v>
      </c>
      <c r="AK190" s="189">
        <f>AK185+AK187-AK189</f>
        <v>-67.520087775338368</v>
      </c>
      <c r="AL190" s="530"/>
      <c r="AM190" s="189">
        <f>AM185+AM187-AM189</f>
        <v>-50.25421837410866</v>
      </c>
      <c r="AN190" s="189">
        <f>AN185+AN187-AN189</f>
        <v>-63.804316791436875</v>
      </c>
      <c r="AO190" s="189">
        <f>AO185+AO187-AO189</f>
        <v>-64.003944192840606</v>
      </c>
      <c r="AP190" s="189">
        <f>AP185+AP187-AP189</f>
        <v>-76.435794704829433</v>
      </c>
      <c r="AQ190" s="530"/>
      <c r="AR190" s="189">
        <f>AR185+AR187-AR189</f>
        <v>-56.593325439987197</v>
      </c>
      <c r="AS190" s="189">
        <f>AS185+AS187-AS189</f>
        <v>-71.731241003727774</v>
      </c>
      <c r="AT190" s="189">
        <f>AT185+AT187-AT189</f>
        <v>-72.314672258306615</v>
      </c>
      <c r="AU190" s="189">
        <f>AU185+AU187-AU189</f>
        <v>-86.031941869142642</v>
      </c>
      <c r="AV190" s="530"/>
      <c r="AW190" s="189">
        <f>AW185+AW187-AW189</f>
        <v>-63.420700978441943</v>
      </c>
      <c r="AX190" s="189">
        <f>AX185+AX187-AX189</f>
        <v>-80.259234587858657</v>
      </c>
      <c r="AY190" s="189">
        <f>AY185+AY187-AY189</f>
        <v>-81.249661956207035</v>
      </c>
      <c r="AZ190" s="189">
        <f>AZ185+AZ187-AZ189</f>
        <v>-96.367687250665043</v>
      </c>
      <c r="BA190" s="530"/>
      <c r="BB190" s="189">
        <f>BB185+BB187-BB189</f>
        <v>-70.778566262765679</v>
      </c>
      <c r="BC190" s="189">
        <f>BC185+BC187-BC189</f>
        <v>-90.432773474385328</v>
      </c>
      <c r="BD190" s="189">
        <f>BD185+BD187-BD189</f>
        <v>-90.861842336394147</v>
      </c>
      <c r="BE190" s="189">
        <f>BE185+BE187-BE189</f>
        <v>-107.50692173070212</v>
      </c>
      <c r="BF190" s="530"/>
      <c r="BG190" s="189">
        <f>BG185+BG187-BG189</f>
        <v>-78.712513372352234</v>
      </c>
      <c r="BH190" s="189">
        <f>BH185+BH187-BH189</f>
        <v>-99.325139440496301</v>
      </c>
      <c r="BI190" s="189">
        <f>BI185+BI187-BI189</f>
        <v>-101.20819065174877</v>
      </c>
      <c r="BJ190" s="189">
        <f>BJ185+BJ187-BJ189</f>
        <v>-119.51863194001211</v>
      </c>
      <c r="BK190" s="530"/>
      <c r="BL190" s="490"/>
      <c r="BM190" s="490"/>
      <c r="BN190" s="490"/>
      <c r="BO190" s="490"/>
      <c r="BP190" s="490"/>
      <c r="BQ190" s="490"/>
      <c r="BR190" s="490"/>
      <c r="BS190" s="490"/>
      <c r="BT190" s="490"/>
      <c r="BU190" s="490"/>
      <c r="BV190" s="490"/>
      <c r="BW190" s="490"/>
      <c r="BX190" s="490"/>
      <c r="BY190" s="490"/>
      <c r="BZ190" s="490"/>
      <c r="CA190" s="490"/>
      <c r="CB190" s="490"/>
      <c r="CC190" s="490"/>
    </row>
    <row r="191" spans="2:81" s="98" customFormat="1" hidden="1" outlineLevel="1" x14ac:dyDescent="0.3">
      <c r="B191" s="491" t="s">
        <v>578</v>
      </c>
      <c r="C191" s="683"/>
      <c r="D191" s="492"/>
      <c r="E191" s="493"/>
      <c r="F191" s="493"/>
      <c r="G191" s="493"/>
      <c r="H191" s="494"/>
      <c r="I191" s="495">
        <f>(+I165+I162)/(I13+E13+F13+G13)</f>
        <v>6.2359896700444395E-2</v>
      </c>
      <c r="J191" s="495">
        <f>(+J165+J162)/(J13+F13+G13+I13)</f>
        <v>5.512801454528822E-2</v>
      </c>
      <c r="K191" s="495">
        <f>(+K165+K162)/(K13+G13+J13+I13)</f>
        <v>5.381671019317797E-2</v>
      </c>
      <c r="L191" s="495">
        <f>(+L165+L162)/(L13+K13+I13+J13)</f>
        <v>5.3367698546868791E-2</v>
      </c>
      <c r="M191" s="496"/>
      <c r="N191" s="495">
        <f>(+N165+N162)/(N13+J13+K13+L13)</f>
        <v>5.5326538434461559E-2</v>
      </c>
      <c r="O191" s="495">
        <f>(+O165+O162)/(O13+K13+L13+N13)</f>
        <v>5.4039055914582745E-2</v>
      </c>
      <c r="P191" s="495">
        <f>(+P165+P162)/(P13+L13+O13+N13)</f>
        <v>5.6124506088218694E-2</v>
      </c>
      <c r="Q191" s="495">
        <f>(+Q165+Q162)/(Q13+P13+N13+O13)</f>
        <v>5.4955657218800316E-2</v>
      </c>
      <c r="R191" s="496"/>
      <c r="S191" s="495">
        <f>(+S165+S162)/(S13+O13+P13+Q13)</f>
        <v>6.2008537407324198E-2</v>
      </c>
      <c r="T191" s="495">
        <f>(+T165+T162)/(T13+P13+Q13+S13)</f>
        <v>5.9974926672343644E-2</v>
      </c>
      <c r="U191" s="495">
        <f>(+U165+U162)/(U13+Q13+T13+S13)</f>
        <v>5.9059998583268401E-2</v>
      </c>
      <c r="V191" s="495">
        <f>(+V165+V162)/(V13+U13+S13+T13)</f>
        <v>5.8861389035164705E-2</v>
      </c>
      <c r="W191" s="496"/>
      <c r="X191" s="495">
        <f>(+X165+X162)/(X13+T13+U13+V13)</f>
        <v>6.5681180743942247E-2</v>
      </c>
      <c r="Y191" s="495">
        <f>(+Y165+Y162)/(Y13+U13+V13+X13)</f>
        <v>6.5180219842644924E-2</v>
      </c>
      <c r="Z191" s="495">
        <f>(+Z165+Z162)/(Z13+V13+Y13+X13)</f>
        <v>6.4296299622777081E-2</v>
      </c>
      <c r="AA191" s="495">
        <f>(+AA165+AA162)/(AA13+Z13+X13+Y13)</f>
        <v>6.3032358653136028E-2</v>
      </c>
      <c r="AB191" s="496"/>
      <c r="AC191" s="495">
        <f>(+AC165+AC162)/(AC13+Y13+Z13+AA13)</f>
        <v>6.23973973973974E-2</v>
      </c>
      <c r="AD191" s="495">
        <f>(+AD165+AD162)/(AD13+Z13+AA13+AC13)</f>
        <v>5.8987387115627531E-2</v>
      </c>
      <c r="AE191" s="495">
        <f>(+AE165+AE162)/(AE13+AA13+AD13+AC13)</f>
        <v>5.5996112990723775E-2</v>
      </c>
      <c r="AF191" s="495">
        <f>(+AF165+AF162)/(AF13+AE13+AC13+AD13)</f>
        <v>5.3757781913869457E-2</v>
      </c>
      <c r="AG191" s="496"/>
      <c r="AH191" s="495">
        <f>(+AH165+AH162)/(AH13+AD13+AE13+AF13)</f>
        <v>5.334314943741808E-2</v>
      </c>
      <c r="AI191" s="495">
        <f>(+AI165+AI162)/(AI13+AE13+AF13+AH13)</f>
        <v>5.618036785549476E-2</v>
      </c>
      <c r="AJ191" s="495">
        <f>(+AJ165+AJ162)/(AJ13+AF13+AI13+AH13)</f>
        <v>5.1823067983730389E-2</v>
      </c>
      <c r="AK191" s="495">
        <f>(+AK165+AK162)/(AK13+AJ13+AH13+AI13)</f>
        <v>5.1057554523996122E-2</v>
      </c>
      <c r="AL191" s="496"/>
      <c r="AM191" s="495">
        <f>(+AM165+AM162)/(AM13+AI13+AJ13+AK13)</f>
        <v>5.0669820922619867E-2</v>
      </c>
      <c r="AN191" s="495">
        <f>(+AN165+AN162)/(AN13+AJ13+AK13+AM13)</f>
        <v>4.8939248923826416E-2</v>
      </c>
      <c r="AO191" s="497">
        <v>0.05</v>
      </c>
      <c r="AP191" s="497">
        <v>0.05</v>
      </c>
      <c r="AQ191" s="498"/>
      <c r="AR191" s="499">
        <v>0.05</v>
      </c>
      <c r="AS191" s="499">
        <v>0.05</v>
      </c>
      <c r="AT191" s="499">
        <v>0.05</v>
      </c>
      <c r="AU191" s="499">
        <v>0.05</v>
      </c>
      <c r="AV191" s="498"/>
      <c r="AW191" s="499">
        <v>0.05</v>
      </c>
      <c r="AX191" s="499">
        <v>0.05</v>
      </c>
      <c r="AY191" s="499">
        <v>0.05</v>
      </c>
      <c r="AZ191" s="499">
        <v>0.05</v>
      </c>
      <c r="BA191" s="498"/>
      <c r="BB191" s="499">
        <v>0.05</v>
      </c>
      <c r="BC191" s="499">
        <v>0.05</v>
      </c>
      <c r="BD191" s="499">
        <v>0.05</v>
      </c>
      <c r="BE191" s="499">
        <v>0.05</v>
      </c>
      <c r="BF191" s="498"/>
      <c r="BG191" s="499">
        <v>0.05</v>
      </c>
      <c r="BH191" s="499">
        <v>0.05</v>
      </c>
      <c r="BI191" s="499">
        <v>0.05</v>
      </c>
      <c r="BJ191" s="499">
        <v>0.05</v>
      </c>
      <c r="BK191" s="498"/>
      <c r="BL191" s="490"/>
      <c r="BM191" s="490"/>
      <c r="BN191" s="490"/>
      <c r="BO191" s="490"/>
      <c r="BP191" s="490"/>
      <c r="BQ191" s="490"/>
      <c r="BR191" s="490"/>
      <c r="BS191" s="490"/>
      <c r="BT191" s="490"/>
      <c r="BU191" s="490"/>
      <c r="BV191" s="490"/>
      <c r="BW191" s="490"/>
      <c r="BX191" s="490"/>
      <c r="BY191" s="490"/>
      <c r="BZ191" s="490"/>
      <c r="CA191" s="490"/>
      <c r="CB191" s="490"/>
      <c r="CC191" s="490"/>
    </row>
    <row r="192" spans="2:81" s="98" customFormat="1" hidden="1" outlineLevel="1" x14ac:dyDescent="0.3">
      <c r="B192" s="500" t="s">
        <v>410</v>
      </c>
      <c r="C192" s="684"/>
      <c r="D192" s="501"/>
      <c r="E192" s="502"/>
      <c r="F192" s="502"/>
      <c r="G192" s="502"/>
      <c r="H192" s="503"/>
      <c r="I192" s="504">
        <f>I162/(I162+I165)</f>
        <v>0.74437670800924949</v>
      </c>
      <c r="J192" s="504">
        <f>J162/(J162+J165)</f>
        <v>0.74486621032980704</v>
      </c>
      <c r="K192" s="504">
        <f>K162/(K162+K165)</f>
        <v>0.73939618447860711</v>
      </c>
      <c r="L192" s="504">
        <f>L162/(L162+L165)</f>
        <v>0.70815302059892682</v>
      </c>
      <c r="M192" s="505"/>
      <c r="N192" s="504">
        <f>N162/(N162+N165)</f>
        <v>0.69079598473066595</v>
      </c>
      <c r="O192" s="504">
        <f>O162/(O162+O165)</f>
        <v>0.68204861562459373</v>
      </c>
      <c r="P192" s="504">
        <f>P162/(P162+P165)</f>
        <v>0.69707854406130265</v>
      </c>
      <c r="Q192" s="504">
        <f>Q162/(Q162+Q165)</f>
        <v>0.6921288222299733</v>
      </c>
      <c r="R192" s="505"/>
      <c r="S192" s="504">
        <f>S162/(S162+S165)</f>
        <v>0.71229925577751663</v>
      </c>
      <c r="T192" s="504">
        <f>T162/(T162+T165)</f>
        <v>0.71632814040623149</v>
      </c>
      <c r="U192" s="504">
        <f>U162/(U162+U165)</f>
        <v>0.73293353323338328</v>
      </c>
      <c r="V192" s="504">
        <f>V162/(V162+V165)</f>
        <v>0.73906560636182905</v>
      </c>
      <c r="W192" s="505"/>
      <c r="X192" s="504">
        <f>X162/(X162+X165)</f>
        <v>0.73127406370318515</v>
      </c>
      <c r="Y192" s="504">
        <f>Y162/(Y162+Y165)</f>
        <v>0.72424612166637614</v>
      </c>
      <c r="Z192" s="504">
        <f>Z162/(Z162+Z165)</f>
        <v>0.73301903265234858</v>
      </c>
      <c r="AA192" s="504">
        <f>AA162/(AA162+AA165)</f>
        <v>0.73693803159173754</v>
      </c>
      <c r="AB192" s="505"/>
      <c r="AC192" s="504">
        <f>AC162/(AC162+AC165)</f>
        <v>0.72086307852731213</v>
      </c>
      <c r="AD192" s="504">
        <f>AD162/(AD162+AD165)</f>
        <v>0.71466240511386336</v>
      </c>
      <c r="AE192" s="504">
        <f>AE162/(AE162+AE165)</f>
        <v>0.7234516796688425</v>
      </c>
      <c r="AF192" s="504">
        <f>AF162/(AF162+AF165)</f>
        <v>0.71155682903533901</v>
      </c>
      <c r="AG192" s="505"/>
      <c r="AH192" s="504">
        <f>AH162/(AH162+AH165)</f>
        <v>0.71711208615875544</v>
      </c>
      <c r="AI192" s="504">
        <f>AI162/(AI162+AI165)</f>
        <v>0.74012360165845259</v>
      </c>
      <c r="AJ192" s="504">
        <f>AJ162/(AJ162+AJ165)</f>
        <v>0.73160476524176599</v>
      </c>
      <c r="AK192" s="504">
        <f>AK162/(AK162+AK165)</f>
        <v>0.73387829246139868</v>
      </c>
      <c r="AL192" s="505"/>
      <c r="AM192" s="504">
        <f>AM162/(AM162+AM165)</f>
        <v>0.71380745566413317</v>
      </c>
      <c r="AN192" s="504">
        <f>AN162/(AN162+AN165)</f>
        <v>0.71202150338307535</v>
      </c>
      <c r="AO192" s="506">
        <v>0.71</v>
      </c>
      <c r="AP192" s="506">
        <v>0.71</v>
      </c>
      <c r="AQ192" s="507"/>
      <c r="AR192" s="508">
        <v>0.71</v>
      </c>
      <c r="AS192" s="508">
        <v>0.71</v>
      </c>
      <c r="AT192" s="508">
        <v>0.71</v>
      </c>
      <c r="AU192" s="508">
        <v>0.71</v>
      </c>
      <c r="AV192" s="507"/>
      <c r="AW192" s="508">
        <v>0.71</v>
      </c>
      <c r="AX192" s="508">
        <v>0.71</v>
      </c>
      <c r="AY192" s="508">
        <v>0.71</v>
      </c>
      <c r="AZ192" s="508">
        <v>0.71</v>
      </c>
      <c r="BA192" s="507"/>
      <c r="BB192" s="508">
        <v>0.71</v>
      </c>
      <c r="BC192" s="508">
        <v>0.71</v>
      </c>
      <c r="BD192" s="508">
        <v>0.71</v>
      </c>
      <c r="BE192" s="508">
        <v>0.71</v>
      </c>
      <c r="BF192" s="507"/>
      <c r="BG192" s="508">
        <v>0.71</v>
      </c>
      <c r="BH192" s="508">
        <v>0.71</v>
      </c>
      <c r="BI192" s="508">
        <v>0.71</v>
      </c>
      <c r="BJ192" s="508">
        <v>0.71</v>
      </c>
      <c r="BK192" s="507"/>
      <c r="BL192" s="490"/>
      <c r="BM192" s="490"/>
      <c r="BN192" s="490"/>
      <c r="BO192" s="490"/>
      <c r="BP192" s="490"/>
      <c r="BQ192" s="490"/>
      <c r="BR192" s="490"/>
      <c r="BS192" s="490"/>
      <c r="BT192" s="490"/>
      <c r="BU192" s="490"/>
      <c r="BV192" s="490"/>
      <c r="BW192" s="490"/>
      <c r="BX192" s="490"/>
      <c r="BY192" s="490"/>
      <c r="BZ192" s="490"/>
      <c r="CA192" s="490"/>
      <c r="CB192" s="490"/>
      <c r="CC192" s="490"/>
    </row>
    <row r="193" spans="2:81" s="62" customFormat="1" hidden="1" outlineLevel="1" x14ac:dyDescent="0.3">
      <c r="B193" s="726" t="s">
        <v>579</v>
      </c>
      <c r="C193" s="728"/>
      <c r="D193" s="476"/>
      <c r="E193" s="477">
        <f>E204/((E153+E155+D153+D155)/2)</f>
        <v>6.0648603116664326E-2</v>
      </c>
      <c r="F193" s="476">
        <f>F204/((F153+F155+E153+E155)/2)</f>
        <v>6.7616099071207428E-2</v>
      </c>
      <c r="G193" s="476">
        <f>G204/((G153+G155+F153+F155)/2)</f>
        <v>6.986621363346783E-2</v>
      </c>
      <c r="H193" s="59" t="s">
        <v>55</v>
      </c>
      <c r="I193" s="476">
        <f>I204/((I153+I155+G153+G155)/2)</f>
        <v>6.1913043478260869E-2</v>
      </c>
      <c r="J193" s="477">
        <f>J204/((J153+J155+I153+I155)/2)</f>
        <v>6.6067894656720957E-2</v>
      </c>
      <c r="K193" s="476">
        <f>K204/((K153+K155+J153+J155)/2)</f>
        <v>6.5593890631392329E-2</v>
      </c>
      <c r="L193" s="476">
        <f>L204/((L153+L155+K153+K155)/2)</f>
        <v>5.6471322344131873E-2</v>
      </c>
      <c r="M193" s="59" t="s">
        <v>55</v>
      </c>
      <c r="N193" s="476">
        <f>N204/((N153+N155+L153+L155)/2)</f>
        <v>6.3802486615636478E-2</v>
      </c>
      <c r="O193" s="477">
        <f>O204/((O153+O155+N153+N155)/2)</f>
        <v>6.2344664897426176E-2</v>
      </c>
      <c r="P193" s="476">
        <f>P204/((P153+P155+O153+O155)/2)</f>
        <v>6.1246195034290532E-2</v>
      </c>
      <c r="Q193" s="476">
        <f>Q204/((Q153+Q155+P153+P155)/2)</f>
        <v>5.6882755421547027E-2</v>
      </c>
      <c r="R193" s="59" t="s">
        <v>55</v>
      </c>
      <c r="S193" s="476">
        <f>S204/((S153+S155+Q153+Q155)/2)</f>
        <v>8.0283114256825078E-2</v>
      </c>
      <c r="T193" s="477">
        <f>T204/((T153+T155+S153+S155)/2)</f>
        <v>8.6667008144240124E-2</v>
      </c>
      <c r="U193" s="476">
        <f>U204/((U153+U155+T153+T155)/2)</f>
        <v>8.5035891772501385E-2</v>
      </c>
      <c r="V193" s="476">
        <f>V204/((V153+V155+U153+U155)/2)</f>
        <v>8.6018911617136234E-2</v>
      </c>
      <c r="W193" s="59" t="s">
        <v>55</v>
      </c>
      <c r="X193" s="476">
        <f>X204/((X153+X155+V153+V155)/2)</f>
        <v>0.10622011939854839</v>
      </c>
      <c r="Y193" s="477">
        <f>Y204/((Y153+Y155+X153+X155)/2)</f>
        <v>9.766827980642323E-2</v>
      </c>
      <c r="Z193" s="476">
        <f>Z204/((Z153+Z155+Y153+Y155)/2)</f>
        <v>9.6336633663366339E-2</v>
      </c>
      <c r="AA193" s="476">
        <f>AA204/((AA153+AA155+Z153+Z155)/2)</f>
        <v>8.5389652630209464E-2</v>
      </c>
      <c r="AB193" s="59" t="s">
        <v>55</v>
      </c>
      <c r="AC193" s="476">
        <f>AC204/((AC153+AC155+AA153+AA155)/2)</f>
        <v>0.10398158617347762</v>
      </c>
      <c r="AD193" s="477">
        <f>AD204/((AD153+AD155+AC153+AC155)/2)</f>
        <v>0.10123739126883653</v>
      </c>
      <c r="AE193" s="476">
        <f>AE204/((AE153+AE155+AD153+AD155)/2)</f>
        <v>0.12551892551892552</v>
      </c>
      <c r="AF193" s="476">
        <f>AF204/((AF153+AF155+AE153+AE155)/2)</f>
        <v>0.1216174062231927</v>
      </c>
      <c r="AG193" s="243"/>
      <c r="AH193" s="476">
        <f>AH204/((AH153+AH155+AF153+AF155)/2)</f>
        <v>0.11234502167794934</v>
      </c>
      <c r="AI193" s="477">
        <f>AI204/((AI153+AI155+AH153+AH155)/2)</f>
        <v>9.2997935047869351E-2</v>
      </c>
      <c r="AJ193" s="476">
        <f>AJ204/((AJ153+AJ155+AI153+AI155)/2)</f>
        <v>9.0214285714285719E-2</v>
      </c>
      <c r="AK193" s="476">
        <f>AK204/((AK153+AK155+AJ153+AJ155)/2)</f>
        <v>8.612472536758492E-2</v>
      </c>
      <c r="AL193" s="478"/>
      <c r="AM193" s="476">
        <f>AM204/((AM153+AM155+AK153+AK155)/2)</f>
        <v>0.10027864504649679</v>
      </c>
      <c r="AN193" s="477">
        <f>AN204/((AN153+AN155+AM153+AM155)/2)</f>
        <v>7.8866380330751801E-2</v>
      </c>
      <c r="AO193" s="438">
        <f>AVERAGE(AN193,AM193,AK193,AJ193)</f>
        <v>8.8871009114779798E-2</v>
      </c>
      <c r="AP193" s="438">
        <f>AVERAGE(AO193,AN193,AM193,AK193)</f>
        <v>8.8535189964903324E-2</v>
      </c>
      <c r="AQ193" s="243"/>
      <c r="AR193" s="438">
        <f>AVERAGE(AP193,AO193,AN193,AM193)</f>
        <v>8.9137806114232929E-2</v>
      </c>
      <c r="AS193" s="438">
        <f>AVERAGE(AR193,AP193,AO193,AN193)</f>
        <v>8.6352596381166963E-2</v>
      </c>
      <c r="AT193" s="438">
        <f>AVERAGE(AS193,AR193,AP193,AO193)</f>
        <v>8.8224150393770753E-2</v>
      </c>
      <c r="AU193" s="438">
        <f>AVERAGE(AT193,AS193,AR193,AP193)</f>
        <v>8.8062435713518503E-2</v>
      </c>
      <c r="AV193" s="243"/>
      <c r="AW193" s="438">
        <f>AVERAGE(AU193,AT193,AS193,AR193)</f>
        <v>8.7944247150672283E-2</v>
      </c>
      <c r="AX193" s="438">
        <f>AVERAGE(AW193,AU193,AT193,AS193)</f>
        <v>8.7645857409782119E-2</v>
      </c>
      <c r="AY193" s="438">
        <f>AVERAGE(AX193,AW193,AU193,AT193)</f>
        <v>8.7969172666935908E-2</v>
      </c>
      <c r="AZ193" s="438">
        <f>AVERAGE(AY193,AX193,AW193,AU193)</f>
        <v>8.7905428235227207E-2</v>
      </c>
      <c r="BA193" s="243"/>
      <c r="BB193" s="438">
        <f>AVERAGE(AZ193,AY193,AX193,AW193)</f>
        <v>8.7866176365654386E-2</v>
      </c>
      <c r="BC193" s="438">
        <f>AVERAGE(BB193,AZ193,AY193,AX193)</f>
        <v>8.7846658669399919E-2</v>
      </c>
      <c r="BD193" s="438">
        <f>AVERAGE(BC193,BB193,AZ193,AY193)</f>
        <v>8.7896858984304355E-2</v>
      </c>
      <c r="BE193" s="438">
        <f>AVERAGE(BD193,BC193,BB193,AZ193)</f>
        <v>8.7878780563646453E-2</v>
      </c>
      <c r="BF193" s="243"/>
      <c r="BG193" s="438">
        <f>AVERAGE(BE193,BD193,BC193,BB193)</f>
        <v>8.7872118645751285E-2</v>
      </c>
      <c r="BH193" s="438">
        <f>AVERAGE(BG193,BE193,BD193,BC193)</f>
        <v>8.7873604215775503E-2</v>
      </c>
      <c r="BI193" s="438">
        <f>AVERAGE(BH193,BG193,BE193,BD193)</f>
        <v>8.7880340602369406E-2</v>
      </c>
      <c r="BJ193" s="438">
        <f>AVERAGE(BI193,BH193,BG193,BE193)</f>
        <v>8.7876211006885654E-2</v>
      </c>
      <c r="BK193" s="243"/>
    </row>
    <row r="194" spans="2:81" hidden="1" outlineLevel="1" x14ac:dyDescent="0.3">
      <c r="B194" s="726" t="s">
        <v>402</v>
      </c>
      <c r="C194" s="727"/>
      <c r="D194" s="143"/>
      <c r="E194" s="432">
        <f>(E166+E163)/E175</f>
        <v>0.1153552912473315</v>
      </c>
      <c r="F194" s="432">
        <f>(F166+F163)/F175</f>
        <v>0.11553895757463292</v>
      </c>
      <c r="G194" s="432">
        <f>(G166+G163)/G175</f>
        <v>0.11573308781988241</v>
      </c>
      <c r="H194" s="431"/>
      <c r="I194" s="432">
        <f>(I166+I163)/I175</f>
        <v>0.12923938096806059</v>
      </c>
      <c r="J194" s="432">
        <f>(J166+J163)/J175</f>
        <v>0.12801535533614197</v>
      </c>
      <c r="K194" s="432">
        <f>(K166+K163)/K175</f>
        <v>0.13193833552052839</v>
      </c>
      <c r="L194" s="432">
        <f>(L166+L163)/L175</f>
        <v>0.13182797102395091</v>
      </c>
      <c r="M194" s="431"/>
      <c r="N194" s="432">
        <f>(N166+N163)/N175</f>
        <v>0.13139893841472894</v>
      </c>
      <c r="O194" s="432">
        <f>(O166+O163)/O175</f>
        <v>0.13613924174130226</v>
      </c>
      <c r="P194" s="432">
        <f>(P166+P163)/P175</f>
        <v>0.13924435773987437</v>
      </c>
      <c r="Q194" s="432">
        <f>(Q166+Q163)/Q175</f>
        <v>0.14096946112850012</v>
      </c>
      <c r="R194" s="431"/>
      <c r="S194" s="432">
        <f>(S166+S163)/S175</f>
        <v>0.14861087116988361</v>
      </c>
      <c r="T194" s="432">
        <f>(T166+T163)/T175</f>
        <v>0.1540187467709794</v>
      </c>
      <c r="U194" s="432">
        <f>(U166+U163)/U175</f>
        <v>0.13747426106976668</v>
      </c>
      <c r="V194" s="432">
        <f>(V166+V163)/V175</f>
        <v>0.13727347044492469</v>
      </c>
      <c r="W194" s="431"/>
      <c r="X194" s="432">
        <f>(X166+X163)/X175</f>
        <v>0.13078714413497425</v>
      </c>
      <c r="Y194" s="432">
        <f>(Y166+Y163)/Y175</f>
        <v>0.14113946696178201</v>
      </c>
      <c r="Z194" s="432">
        <f>(Z166+Z163)/Z175</f>
        <v>0.25665619315362992</v>
      </c>
      <c r="AA194" s="432">
        <f>(AA166+AA163)/AA175</f>
        <v>0.31641370901951643</v>
      </c>
      <c r="AB194" s="431"/>
      <c r="AC194" s="433">
        <f>(AC166+AC163)/AC175</f>
        <v>0.29517222366372597</v>
      </c>
      <c r="AD194" s="432">
        <f>(AD166+AD163)/AD175</f>
        <v>0.34006945413391626</v>
      </c>
      <c r="AE194" s="432">
        <f>(AE166+AE163)/AE175</f>
        <v>0.43299887807633858</v>
      </c>
      <c r="AF194" s="432">
        <f>(AF166+AF163)/AF175</f>
        <v>0.54008629718067946</v>
      </c>
      <c r="AG194" s="431"/>
      <c r="AH194" s="432">
        <f>(AH166+AH163)/AH175</f>
        <v>0.49087450396438681</v>
      </c>
      <c r="AI194" s="432">
        <f>(AI166+AI163)/AI175</f>
        <v>0.61224771380608167</v>
      </c>
      <c r="AJ194" s="432">
        <f>(AJ166+AJ163)/AJ175</f>
        <v>0.6712053800744423</v>
      </c>
      <c r="AK194" s="432">
        <f>(AK166+AK163)/AK175</f>
        <v>0.67861737713354486</v>
      </c>
      <c r="AL194" s="431"/>
      <c r="AM194" s="432">
        <f>(AM166+AM163)/AM175</f>
        <v>0.66129617040561972</v>
      </c>
      <c r="AN194" s="432">
        <f>(AN166+AN163)/AN175</f>
        <v>0.73478915887292851</v>
      </c>
      <c r="AO194" s="438">
        <f>AN194</f>
        <v>0.73478915887292851</v>
      </c>
      <c r="AP194" s="438">
        <f>AO194</f>
        <v>0.73478915887292851</v>
      </c>
      <c r="AQ194" s="431"/>
      <c r="AR194" s="438">
        <f>AVERAGE(AP194,AO194,AN194,AM194)</f>
        <v>0.71641591175610131</v>
      </c>
      <c r="AS194" s="438">
        <f>AVERAGE(AR194,AP194,AO194,AN194)</f>
        <v>0.73019584709372176</v>
      </c>
      <c r="AT194" s="438">
        <f>AVERAGE(AS194,AR194,AP194,AO194)</f>
        <v>0.72904751914892008</v>
      </c>
      <c r="AU194" s="438">
        <f>AVERAGE(AT194,AS194,AR194,AP194)</f>
        <v>0.72761210921791797</v>
      </c>
      <c r="AV194" s="431"/>
      <c r="AW194" s="438">
        <f>AVERAGE(AU194,AT194,AS194,AR194)</f>
        <v>0.72581784680416528</v>
      </c>
      <c r="AX194" s="438">
        <f>AVERAGE(AW194,AU194,AT194,AS194)</f>
        <v>0.72816833056618124</v>
      </c>
      <c r="AY194" s="438">
        <f>AVERAGE(AX194,AW194,AU194,AT194)</f>
        <v>0.72766145143429606</v>
      </c>
      <c r="AZ194" s="438">
        <f>AVERAGE(AY194,AX194,AW194,AU194)</f>
        <v>0.72731493450564011</v>
      </c>
      <c r="BA194" s="431"/>
      <c r="BB194" s="438">
        <f>AVERAGE(AZ194,AY194,AX194,AW194)</f>
        <v>0.72724064082757067</v>
      </c>
      <c r="BC194" s="438">
        <f>AVERAGE(BB194,AZ194,AY194,AX194)</f>
        <v>0.72759633933342205</v>
      </c>
      <c r="BD194" s="438">
        <f>AVERAGE(BC194,BB194,AZ194,AY194)</f>
        <v>0.72745334152523222</v>
      </c>
      <c r="BE194" s="438">
        <f>AVERAGE(BD194,BC194,BB194,AZ194)</f>
        <v>0.72740131404796626</v>
      </c>
      <c r="BF194" s="431"/>
      <c r="BG194" s="438">
        <f>AVERAGE(BE194,BD194,BC194,BB194)</f>
        <v>0.72742290893354777</v>
      </c>
      <c r="BH194" s="438">
        <f>AVERAGE(BG194,BE194,BD194,BC194)</f>
        <v>0.72746847596004205</v>
      </c>
      <c r="BI194" s="438">
        <f>AVERAGE(BH194,BG194,BE194,BD194)</f>
        <v>0.72743651011669708</v>
      </c>
      <c r="BJ194" s="438">
        <f>AVERAGE(BI194,BH194,BG194,BE194)</f>
        <v>0.72743230226456335</v>
      </c>
      <c r="BK194" s="431"/>
      <c r="BL194" s="424"/>
      <c r="BM194" s="424"/>
      <c r="BN194" s="424"/>
      <c r="BO194" s="424"/>
      <c r="BP194" s="424"/>
      <c r="BQ194" s="424"/>
      <c r="BR194" s="424"/>
      <c r="BS194" s="424"/>
      <c r="BT194" s="424"/>
      <c r="BU194" s="424"/>
      <c r="BV194" s="424"/>
      <c r="BW194" s="424"/>
      <c r="BX194" s="424"/>
      <c r="BY194" s="424"/>
      <c r="BZ194" s="424"/>
      <c r="CA194" s="424"/>
      <c r="CB194" s="424"/>
      <c r="CC194" s="424"/>
    </row>
    <row r="195" spans="2:81" s="199" customFormat="1" hidden="1" outlineLevel="1" x14ac:dyDescent="0.3">
      <c r="B195" s="450" t="s">
        <v>425</v>
      </c>
      <c r="C195" s="451"/>
      <c r="D195" s="143"/>
      <c r="E195" s="549"/>
      <c r="F195" s="432">
        <f>(F163+F166)/(E163+E166)-1</f>
        <v>9.7378277153558068E-2</v>
      </c>
      <c r="G195" s="432">
        <f>(G163+G166)/(F163+F166)-1</f>
        <v>0.11041959445894389</v>
      </c>
      <c r="H195" s="431"/>
      <c r="I195" s="432">
        <f>(I163+I166)/(G163+G166)-1</f>
        <v>0.27734586873983003</v>
      </c>
      <c r="J195" s="432">
        <f>(J163+J166)/(I163+I166)-1</f>
        <v>0.11394196744515206</v>
      </c>
      <c r="K195" s="432">
        <f>(K163+K166)/(J163+J166)-1</f>
        <v>0.16251588310038123</v>
      </c>
      <c r="L195" s="432">
        <f>(L163+L166)/(K163+K166)-1</f>
        <v>0.10394578642474595</v>
      </c>
      <c r="M195" s="431"/>
      <c r="N195" s="432">
        <f>(N163+N166)/(L163+L166)-1</f>
        <v>0.17158415841584151</v>
      </c>
      <c r="O195" s="432">
        <f>(O163+O166)/(N163+N166)-1</f>
        <v>0.17924448576016228</v>
      </c>
      <c r="P195" s="432">
        <f>(P163+P166)/(O163+O166)-1</f>
        <v>0.11509244661029094</v>
      </c>
      <c r="Q195" s="432">
        <f>(Q163+Q166)/(P163+P166)-1</f>
        <v>7.0951156812339322E-2</v>
      </c>
      <c r="R195" s="431"/>
      <c r="S195" s="432">
        <f>(S163+S166)/(Q163+Q166)-1</f>
        <v>0.13568170907345167</v>
      </c>
      <c r="T195" s="432">
        <f>(T163+T166)/(S163+S166)-1</f>
        <v>0.10266842800528408</v>
      </c>
      <c r="U195" s="432">
        <f>(U163+U166)/(T163+T166)-1</f>
        <v>-0.18736821928311287</v>
      </c>
      <c r="V195" s="432">
        <f>(V163+V166)/(U163+U166)-1</f>
        <v>1.1793843613627786E-4</v>
      </c>
      <c r="W195" s="431"/>
      <c r="X195" s="432">
        <f>(X163+X166)/(V163+V166)-1</f>
        <v>5.8962264150919097E-5</v>
      </c>
      <c r="Y195" s="432">
        <f>(Y163+Y166)/(X163+X166)-1</f>
        <v>5.8958787807261714E-5</v>
      </c>
      <c r="Z195" s="432">
        <f>(Z163+Z166)/(Y163+Y166)-1</f>
        <v>0.82997288055653806</v>
      </c>
      <c r="AA195" s="432">
        <f>(AA163+AA166)/(Z163+Z166)-1</f>
        <v>0.13708118556701021</v>
      </c>
      <c r="AB195" s="431"/>
      <c r="AC195" s="432">
        <f>(AC163+AC166)/(AA163+AA166)-1</f>
        <v>3.1392548519620256E-2</v>
      </c>
      <c r="AD195" s="432">
        <f>(AD163+AD166)/(AC163+AC166)-1</f>
        <v>0.20514792736862342</v>
      </c>
      <c r="AE195" s="432">
        <f>(AE163+AE166)/(AD163+AD166)-1</f>
        <v>0.24040938205192486</v>
      </c>
      <c r="AF195" s="432">
        <f>(AF163+AF166)/(AE163+AE166)-1</f>
        <v>0.18457128156124814</v>
      </c>
      <c r="AG195" s="431"/>
      <c r="AH195" s="432">
        <f>(AH163+AH166)/(AF163+AF166)-1</f>
        <v>-2.3254010114486023E-2</v>
      </c>
      <c r="AI195" s="432">
        <f>(AI163+AI166)/(AH163+AH166)-1</f>
        <v>0.26855454790908939</v>
      </c>
      <c r="AJ195" s="432">
        <f>(AJ163+AJ166)/(AI163+AI166)-1</f>
        <v>6.3388922275640969E-2</v>
      </c>
      <c r="AK195" s="432">
        <f>(AK163+AK166)/(AJ163+AJ166)-1</f>
        <v>2.4689468417024685E-2</v>
      </c>
      <c r="AL195" s="431"/>
      <c r="AM195" s="432">
        <f>(AM163+AM166)/(AK163+AK166)-1</f>
        <v>5.940343781597468E-3</v>
      </c>
      <c r="AN195" s="432">
        <f>(AN163+AN166)/(AM163+AM166)-1</f>
        <v>0.12533552639093526</v>
      </c>
      <c r="AO195" s="432">
        <f>(AO163+AO166)/(AN163+AN166)-1</f>
        <v>3.2760184758308775E-2</v>
      </c>
      <c r="AP195" s="432">
        <f>(AP163+AP166)/(AO163+AO166)-1</f>
        <v>-9.8420739771241106E-3</v>
      </c>
      <c r="AQ195" s="431"/>
      <c r="AR195" s="432">
        <f>(AR163+AR166)/(AP163+AP166)-1</f>
        <v>6.0519325779520683E-2</v>
      </c>
      <c r="AS195" s="432">
        <f>(AS163+AS166)/(AR163+AR166)-1</f>
        <v>6.2196709525258909E-2</v>
      </c>
      <c r="AT195" s="432">
        <f>(AT163+AT166)/(AS163+AS166)-1</f>
        <v>1.6958322498556111E-2</v>
      </c>
      <c r="AU195" s="432">
        <f>(AU163+AU166)/(AT163+AT166)-1</f>
        <v>2.1796062030890129E-2</v>
      </c>
      <c r="AV195" s="431"/>
      <c r="AW195" s="432">
        <f>(AW163+AW166)/(AU163+AU166)-1</f>
        <v>7.0805110541891647E-2</v>
      </c>
      <c r="AX195" s="432">
        <f>(AX163+AX166)/(AW163+AW166)-1</f>
        <v>3.1925164797367067E-2</v>
      </c>
      <c r="AY195" s="432">
        <f>(AY163+AY166)/(AX163+AX166)-1</f>
        <v>1.0607665365698571E-2</v>
      </c>
      <c r="AZ195" s="432">
        <f>(AZ163+AZ166)/(AY163+AY166)-1</f>
        <v>2.0999635216232049E-2</v>
      </c>
      <c r="BA195" s="431"/>
      <c r="BB195" s="432">
        <f>(BB163+BB166)/(AZ163+AZ166)-1</f>
        <v>6.4035033811780551E-2</v>
      </c>
      <c r="BC195" s="432">
        <f>(BC163+BC166)/(BB163+BB166)-1</f>
        <v>1.9276373304264016E-2</v>
      </c>
      <c r="BD195" s="432">
        <f>(BD163+BD166)/(BC163+BC166)-1</f>
        <v>6.1414013716794003E-3</v>
      </c>
      <c r="BE195" s="432">
        <f>(BE163+BE166)/(BD163+BD166)-1</f>
        <v>1.8589156699039489E-2</v>
      </c>
      <c r="BF195" s="431"/>
      <c r="BG195" s="432">
        <f>(BG163+BG166)/(BE163+BE166)-1</f>
        <v>5.106315906034542E-2</v>
      </c>
      <c r="BH195" s="432">
        <f>(BH163+BH166)/(BG163+BG166)-1</f>
        <v>1.30003015114315E-2</v>
      </c>
      <c r="BI195" s="432">
        <f>(BI163+BI166)/(BH163+BH166)-1</f>
        <v>3.4170024900495033E-3</v>
      </c>
      <c r="BJ195" s="432">
        <f>(BJ163+BJ166)/(BI163+BI166)-1</f>
        <v>1.5993601805445401E-2</v>
      </c>
      <c r="BK195" s="431"/>
      <c r="BL195" s="424"/>
      <c r="BM195" s="424"/>
      <c r="BN195" s="424"/>
      <c r="BO195" s="424"/>
      <c r="BP195" s="424"/>
      <c r="BQ195" s="424"/>
      <c r="BR195" s="424"/>
      <c r="BS195" s="424"/>
      <c r="BT195" s="424"/>
      <c r="BU195" s="424"/>
      <c r="BV195" s="424"/>
      <c r="BW195" s="424"/>
      <c r="BX195" s="424"/>
      <c r="BY195" s="424"/>
      <c r="BZ195" s="424"/>
      <c r="CA195" s="424"/>
      <c r="CB195" s="424"/>
      <c r="CC195" s="424"/>
    </row>
    <row r="196" spans="2:81" s="185" customFormat="1" hidden="1" outlineLevel="1" x14ac:dyDescent="0.3">
      <c r="B196" s="416" t="s">
        <v>404</v>
      </c>
      <c r="C196" s="417"/>
      <c r="D196" s="144"/>
      <c r="E196" s="69"/>
      <c r="F196" s="69"/>
      <c r="G196" s="435"/>
      <c r="H196" s="69"/>
      <c r="I196" s="144"/>
      <c r="J196" s="69"/>
      <c r="K196" s="69"/>
      <c r="L196" s="435"/>
      <c r="M196" s="69"/>
      <c r="N196" s="144"/>
      <c r="O196" s="69"/>
      <c r="P196" s="69"/>
      <c r="Q196" s="435"/>
      <c r="R196" s="69"/>
      <c r="S196" s="144"/>
      <c r="T196" s="69"/>
      <c r="U196" s="69"/>
      <c r="V196" s="435"/>
      <c r="W196" s="69"/>
      <c r="X196" s="144"/>
      <c r="Y196" s="69"/>
      <c r="Z196" s="69">
        <f>Z163/(Z163+Z166)</f>
        <v>6.4755154639175264E-2</v>
      </c>
      <c r="AA196" s="435">
        <f>AA163/(AA163+AA166)</f>
        <v>0.17872219861170138</v>
      </c>
      <c r="AB196" s="69"/>
      <c r="AC196" s="436">
        <f>AC163/(AC163+AC166)</f>
        <v>0.10710655715188308</v>
      </c>
      <c r="AD196" s="420">
        <f>AD163/(AD163+AD166)</f>
        <v>8.6594789268537309E-2</v>
      </c>
      <c r="AE196" s="420">
        <f>AE163/(AE163+AE166)</f>
        <v>0.12861553162556508</v>
      </c>
      <c r="AF196" s="437">
        <f>AF163/(AF163+AF166)</f>
        <v>0.17062765660389068</v>
      </c>
      <c r="AG196" s="69"/>
      <c r="AH196" s="434">
        <f>AH163/(AH163+AH166)</f>
        <v>0.15499579117894635</v>
      </c>
      <c r="AI196" s="420">
        <f>AI163/(AI163+AI166)</f>
        <v>0.13143529647435898</v>
      </c>
      <c r="AJ196" s="420">
        <f>AJ163/(AJ163+AJ166)</f>
        <v>0.18833225407664686</v>
      </c>
      <c r="AK196" s="437">
        <f>AK163/(AK163+AK166)</f>
        <v>0.1333417593528817</v>
      </c>
      <c r="AL196" s="69"/>
      <c r="AM196" s="434">
        <f>AM163/(AM163+AM166)</f>
        <v>0.15981907274783264</v>
      </c>
      <c r="AN196" s="420">
        <f>AN163/(AN163+AN166)</f>
        <v>0.14200889141511541</v>
      </c>
      <c r="AO196" s="439">
        <f>AVERAGE(AN196,AM196,AK196,AJ196)</f>
        <v>0.15587549439811915</v>
      </c>
      <c r="AP196" s="440">
        <f>AVERAGE(AO196,AN196,AM196,AK196)</f>
        <v>0.14776130447848723</v>
      </c>
      <c r="AQ196" s="420"/>
      <c r="AR196" s="473">
        <f>AVERAGE(AP196,AO196,AN196,AM196)</f>
        <v>0.15136619075988861</v>
      </c>
      <c r="AS196" s="439">
        <f>AVERAGE(AR196,AP196,AO196,AN196)</f>
        <v>0.1492529702629026</v>
      </c>
      <c r="AT196" s="439">
        <f>AVERAGE(AS196,AR196,AP196,AO196)</f>
        <v>0.15106398997484938</v>
      </c>
      <c r="AU196" s="440">
        <f>AVERAGE(AT196,AS196,AR196,AP196)</f>
        <v>0.14986111386903195</v>
      </c>
      <c r="AV196" s="420"/>
      <c r="AW196" s="473">
        <f>AVERAGE(AU196,AT196,AS196,AR196)</f>
        <v>0.15038606621666811</v>
      </c>
      <c r="AX196" s="439">
        <f>AVERAGE(AW196,AU196,AT196,AS196)</f>
        <v>0.15014103508086302</v>
      </c>
      <c r="AY196" s="439">
        <f>AVERAGE(AX196,AW196,AU196,AT196)</f>
        <v>0.1503630512853531</v>
      </c>
      <c r="AZ196" s="440">
        <f>AVERAGE(AY196,AX196,AW196,AU196)</f>
        <v>0.15018781661297903</v>
      </c>
      <c r="BA196" s="420"/>
      <c r="BB196" s="473">
        <f>AVERAGE(AZ196,AY196,AX196,AW196)</f>
        <v>0.1502694922989658</v>
      </c>
      <c r="BC196" s="439">
        <f>AVERAGE(BB196,AZ196,AY196,AX196)</f>
        <v>0.15024034881954024</v>
      </c>
      <c r="BD196" s="439">
        <f>AVERAGE(BC196,BB196,AZ196,AY196)</f>
        <v>0.15026517725420954</v>
      </c>
      <c r="BE196" s="440">
        <f>AVERAGE(BD196,BC196,BB196,AZ196)</f>
        <v>0.15024070874642365</v>
      </c>
      <c r="BF196" s="420"/>
      <c r="BG196" s="473">
        <f>AVERAGE(BE196,BD196,BC196,BB196)</f>
        <v>0.1502539317797848</v>
      </c>
      <c r="BH196" s="439">
        <f>AVERAGE(BG196,BE196,BD196,BC196)</f>
        <v>0.15025004164998956</v>
      </c>
      <c r="BI196" s="439">
        <f>AVERAGE(BH196,BG196,BE196,BD196)</f>
        <v>0.15025246485760188</v>
      </c>
      <c r="BJ196" s="440">
        <f>AVERAGE(BI196,BH196,BG196,BE196)</f>
        <v>0.15024928675844998</v>
      </c>
      <c r="BK196" s="474"/>
    </row>
    <row r="197" spans="2:81" collapsed="1" x14ac:dyDescent="0.3">
      <c r="B197" s="136"/>
      <c r="C197" s="137"/>
      <c r="AB197" s="389"/>
      <c r="AC197" s="43"/>
      <c r="AG197" s="389"/>
      <c r="AL197" s="419"/>
      <c r="AM197" s="419"/>
      <c r="AN197" s="475"/>
    </row>
    <row r="198" spans="2:81" ht="15.6" x14ac:dyDescent="0.3">
      <c r="B198" s="733" t="s">
        <v>87</v>
      </c>
      <c r="C198" s="734"/>
      <c r="D198" s="170" t="s">
        <v>117</v>
      </c>
      <c r="E198" s="170" t="s">
        <v>118</v>
      </c>
      <c r="F198" s="170" t="s">
        <v>119</v>
      </c>
      <c r="G198" s="170" t="s">
        <v>120</v>
      </c>
      <c r="H198" s="170" t="s">
        <v>120</v>
      </c>
      <c r="I198" s="170" t="s">
        <v>116</v>
      </c>
      <c r="J198" s="170" t="s">
        <v>126</v>
      </c>
      <c r="K198" s="170" t="s">
        <v>127</v>
      </c>
      <c r="L198" s="170" t="s">
        <v>128</v>
      </c>
      <c r="M198" s="170" t="s">
        <v>128</v>
      </c>
      <c r="N198" s="170" t="s">
        <v>134</v>
      </c>
      <c r="O198" s="170" t="s">
        <v>135</v>
      </c>
      <c r="P198" s="170" t="s">
        <v>136</v>
      </c>
      <c r="Q198" s="170" t="s">
        <v>137</v>
      </c>
      <c r="R198" s="170" t="s">
        <v>137</v>
      </c>
      <c r="S198" s="170" t="s">
        <v>143</v>
      </c>
      <c r="T198" s="170" t="s">
        <v>144</v>
      </c>
      <c r="U198" s="170" t="s">
        <v>145</v>
      </c>
      <c r="V198" s="170" t="s">
        <v>95</v>
      </c>
      <c r="W198" s="170" t="s">
        <v>95</v>
      </c>
      <c r="X198" s="170" t="s">
        <v>94</v>
      </c>
      <c r="Y198" s="170" t="s">
        <v>93</v>
      </c>
      <c r="Z198" s="170" t="s">
        <v>92</v>
      </c>
      <c r="AA198" s="170" t="s">
        <v>91</v>
      </c>
      <c r="AB198" s="170" t="s">
        <v>91</v>
      </c>
      <c r="AC198" s="170" t="s">
        <v>96</v>
      </c>
      <c r="AD198" s="170" t="s">
        <v>97</v>
      </c>
      <c r="AE198" s="170" t="s">
        <v>98</v>
      </c>
      <c r="AF198" s="170" t="s">
        <v>99</v>
      </c>
      <c r="AG198" s="170" t="s">
        <v>99</v>
      </c>
      <c r="AH198" s="170" t="s">
        <v>101</v>
      </c>
      <c r="AI198" s="170" t="s">
        <v>102</v>
      </c>
      <c r="AJ198" s="170" t="s">
        <v>103</v>
      </c>
      <c r="AK198" s="170" t="s">
        <v>104</v>
      </c>
      <c r="AL198" s="170" t="s">
        <v>104</v>
      </c>
      <c r="AM198" s="170" t="s">
        <v>100</v>
      </c>
      <c r="AN198" s="170" t="s">
        <v>105</v>
      </c>
      <c r="AO198" s="202" t="s">
        <v>106</v>
      </c>
      <c r="AP198" s="202" t="s">
        <v>107</v>
      </c>
      <c r="AQ198" s="202" t="s">
        <v>107</v>
      </c>
      <c r="AR198" s="202" t="s">
        <v>108</v>
      </c>
      <c r="AS198" s="202" t="s">
        <v>109</v>
      </c>
      <c r="AT198" s="202" t="s">
        <v>110</v>
      </c>
      <c r="AU198" s="202" t="s">
        <v>111</v>
      </c>
      <c r="AV198" s="202" t="s">
        <v>111</v>
      </c>
      <c r="AW198" s="202" t="s">
        <v>112</v>
      </c>
      <c r="AX198" s="202" t="s">
        <v>113</v>
      </c>
      <c r="AY198" s="202" t="s">
        <v>114</v>
      </c>
      <c r="AZ198" s="202" t="s">
        <v>115</v>
      </c>
      <c r="BA198" s="202" t="s">
        <v>115</v>
      </c>
      <c r="BB198" s="202" t="s">
        <v>233</v>
      </c>
      <c r="BC198" s="202" t="s">
        <v>234</v>
      </c>
      <c r="BD198" s="202" t="s">
        <v>235</v>
      </c>
      <c r="BE198" s="202" t="s">
        <v>236</v>
      </c>
      <c r="BF198" s="202" t="s">
        <v>236</v>
      </c>
      <c r="BG198" s="202" t="s">
        <v>272</v>
      </c>
      <c r="BH198" s="202" t="s">
        <v>273</v>
      </c>
      <c r="BI198" s="202" t="s">
        <v>274</v>
      </c>
      <c r="BJ198" s="202" t="s">
        <v>275</v>
      </c>
      <c r="BK198" s="203" t="s">
        <v>275</v>
      </c>
    </row>
    <row r="199" spans="2:81" ht="16.2" x14ac:dyDescent="0.45">
      <c r="B199" s="443" t="s">
        <v>10</v>
      </c>
      <c r="C199" s="444"/>
      <c r="D199" s="171" t="s">
        <v>121</v>
      </c>
      <c r="E199" s="171" t="s">
        <v>122</v>
      </c>
      <c r="F199" s="171" t="s">
        <v>123</v>
      </c>
      <c r="G199" s="171" t="s">
        <v>124</v>
      </c>
      <c r="H199" s="171" t="s">
        <v>125</v>
      </c>
      <c r="I199" s="171" t="s">
        <v>129</v>
      </c>
      <c r="J199" s="171" t="s">
        <v>130</v>
      </c>
      <c r="K199" s="171" t="s">
        <v>131</v>
      </c>
      <c r="L199" s="171" t="s">
        <v>132</v>
      </c>
      <c r="M199" s="171" t="s">
        <v>133</v>
      </c>
      <c r="N199" s="171" t="s">
        <v>138</v>
      </c>
      <c r="O199" s="171" t="s">
        <v>139</v>
      </c>
      <c r="P199" s="171" t="s">
        <v>140</v>
      </c>
      <c r="Q199" s="171" t="s">
        <v>141</v>
      </c>
      <c r="R199" s="171" t="s">
        <v>142</v>
      </c>
      <c r="S199" s="171" t="s">
        <v>146</v>
      </c>
      <c r="T199" s="171" t="s">
        <v>147</v>
      </c>
      <c r="U199" s="171" t="s">
        <v>148</v>
      </c>
      <c r="V199" s="171" t="s">
        <v>149</v>
      </c>
      <c r="W199" s="171" t="s">
        <v>0</v>
      </c>
      <c r="X199" s="171" t="s">
        <v>40</v>
      </c>
      <c r="Y199" s="171" t="s">
        <v>41</v>
      </c>
      <c r="Z199" s="171" t="s">
        <v>42</v>
      </c>
      <c r="AA199" s="171" t="s">
        <v>43</v>
      </c>
      <c r="AB199" s="171" t="s">
        <v>6</v>
      </c>
      <c r="AC199" s="171" t="s">
        <v>206</v>
      </c>
      <c r="AD199" s="171" t="s">
        <v>211</v>
      </c>
      <c r="AE199" s="171" t="s">
        <v>213</v>
      </c>
      <c r="AF199" s="171" t="s">
        <v>215</v>
      </c>
      <c r="AG199" s="171" t="s">
        <v>231</v>
      </c>
      <c r="AH199" s="171" t="s">
        <v>243</v>
      </c>
      <c r="AI199" s="171" t="s">
        <v>247</v>
      </c>
      <c r="AJ199" s="171" t="s">
        <v>248</v>
      </c>
      <c r="AK199" s="171" t="s">
        <v>270</v>
      </c>
      <c r="AL199" s="171" t="s">
        <v>271</v>
      </c>
      <c r="AM199" s="171" t="s">
        <v>281</v>
      </c>
      <c r="AN199" s="171" t="s">
        <v>440</v>
      </c>
      <c r="AO199" s="204" t="s">
        <v>58</v>
      </c>
      <c r="AP199" s="204" t="s">
        <v>59</v>
      </c>
      <c r="AQ199" s="204" t="s">
        <v>216</v>
      </c>
      <c r="AR199" s="204" t="s">
        <v>60</v>
      </c>
      <c r="AS199" s="204" t="s">
        <v>61</v>
      </c>
      <c r="AT199" s="204" t="s">
        <v>62</v>
      </c>
      <c r="AU199" s="204" t="s">
        <v>63</v>
      </c>
      <c r="AV199" s="204" t="s">
        <v>217</v>
      </c>
      <c r="AW199" s="204" t="s">
        <v>64</v>
      </c>
      <c r="AX199" s="204" t="s">
        <v>65</v>
      </c>
      <c r="AY199" s="204" t="s">
        <v>66</v>
      </c>
      <c r="AZ199" s="204" t="s">
        <v>67</v>
      </c>
      <c r="BA199" s="204" t="s">
        <v>218</v>
      </c>
      <c r="BB199" s="204" t="s">
        <v>232</v>
      </c>
      <c r="BC199" s="204" t="s">
        <v>237</v>
      </c>
      <c r="BD199" s="204" t="s">
        <v>238</v>
      </c>
      <c r="BE199" s="204" t="s">
        <v>239</v>
      </c>
      <c r="BF199" s="204" t="s">
        <v>240</v>
      </c>
      <c r="BG199" s="204" t="s">
        <v>276</v>
      </c>
      <c r="BH199" s="204" t="s">
        <v>277</v>
      </c>
      <c r="BI199" s="204" t="s">
        <v>278</v>
      </c>
      <c r="BJ199" s="204" t="s">
        <v>279</v>
      </c>
      <c r="BK199" s="205" t="s">
        <v>280</v>
      </c>
    </row>
    <row r="200" spans="2:81" hidden="1" outlineLevel="1" x14ac:dyDescent="0.3">
      <c r="B200" s="729" t="s">
        <v>27</v>
      </c>
      <c r="C200" s="738"/>
      <c r="D200" s="36"/>
      <c r="E200" s="5"/>
      <c r="F200" s="5"/>
      <c r="G200" s="37"/>
      <c r="H200" s="4"/>
      <c r="I200" s="36"/>
      <c r="J200" s="5"/>
      <c r="K200" s="5"/>
      <c r="L200" s="37"/>
      <c r="M200" s="4"/>
      <c r="N200" s="36"/>
      <c r="O200" s="5"/>
      <c r="P200" s="5"/>
      <c r="Q200" s="37"/>
      <c r="R200" s="4"/>
      <c r="S200" s="36"/>
      <c r="T200" s="5"/>
      <c r="U200" s="5"/>
      <c r="V200" s="37"/>
      <c r="W200" s="4"/>
      <c r="X200" s="36"/>
      <c r="Y200" s="5"/>
      <c r="Z200" s="5"/>
      <c r="AA200" s="37"/>
      <c r="AB200" s="4"/>
      <c r="AC200" s="22"/>
      <c r="AD200" s="24"/>
      <c r="AE200" s="20"/>
      <c r="AF200" s="20"/>
      <c r="AG200" s="25"/>
      <c r="AH200" s="22"/>
      <c r="AI200" s="24"/>
      <c r="AJ200" s="20"/>
      <c r="AK200" s="20"/>
      <c r="AL200" s="25"/>
      <c r="AM200" s="22"/>
      <c r="AN200" s="24"/>
      <c r="AO200" s="20"/>
      <c r="AP200" s="20"/>
      <c r="AQ200" s="25"/>
      <c r="AR200" s="22"/>
      <c r="AS200" s="24"/>
      <c r="AT200" s="20"/>
      <c r="AU200" s="20"/>
      <c r="AV200" s="25"/>
      <c r="AW200" s="22"/>
      <c r="AX200" s="24"/>
      <c r="AY200" s="20"/>
      <c r="AZ200" s="20"/>
      <c r="BA200" s="25"/>
      <c r="BB200" s="22"/>
      <c r="BC200" s="24"/>
      <c r="BD200" s="20"/>
      <c r="BE200" s="20"/>
      <c r="BF200" s="25"/>
      <c r="BG200" s="22"/>
      <c r="BH200" s="24"/>
      <c r="BI200" s="20"/>
      <c r="BJ200" s="20"/>
      <c r="BK200" s="25"/>
    </row>
    <row r="201" spans="2:81" hidden="1" outlineLevel="1" x14ac:dyDescent="0.3">
      <c r="B201" s="726" t="s">
        <v>28</v>
      </c>
      <c r="C201" s="728"/>
      <c r="D201" s="36">
        <f>D27</f>
        <v>3378</v>
      </c>
      <c r="E201" s="5">
        <f>E27</f>
        <v>3074</v>
      </c>
      <c r="F201" s="5">
        <f>F27</f>
        <v>3253</v>
      </c>
      <c r="G201" s="37">
        <f>G27</f>
        <v>4308</v>
      </c>
      <c r="H201" s="4">
        <f t="shared" ref="H201:H216" si="355">SUM(D201:G201)</f>
        <v>14013</v>
      </c>
      <c r="I201" s="36">
        <f>I27</f>
        <v>6004</v>
      </c>
      <c r="J201" s="5">
        <f>J27</f>
        <v>5987</v>
      </c>
      <c r="K201" s="5">
        <f>K27</f>
        <v>7308</v>
      </c>
      <c r="L201" s="37">
        <f>L27</f>
        <v>6623</v>
      </c>
      <c r="M201" s="4">
        <f>SUM(I201:L201)</f>
        <v>25922</v>
      </c>
      <c r="N201" s="36">
        <f t="shared" ref="N201:AS201" si="356">N27</f>
        <v>13064</v>
      </c>
      <c r="O201" s="5">
        <f t="shared" si="356"/>
        <v>11622</v>
      </c>
      <c r="P201" s="5">
        <f t="shared" si="356"/>
        <v>8824</v>
      </c>
      <c r="Q201" s="37">
        <f t="shared" si="356"/>
        <v>8223</v>
      </c>
      <c r="R201" s="4">
        <f t="shared" si="356"/>
        <v>41733</v>
      </c>
      <c r="S201" s="36">
        <f t="shared" si="356"/>
        <v>13078</v>
      </c>
      <c r="T201" s="5">
        <f t="shared" si="356"/>
        <v>9547</v>
      </c>
      <c r="U201" s="5">
        <f t="shared" si="356"/>
        <v>6900</v>
      </c>
      <c r="V201" s="37">
        <f t="shared" si="356"/>
        <v>7512</v>
      </c>
      <c r="W201" s="4">
        <f t="shared" si="356"/>
        <v>37037</v>
      </c>
      <c r="X201" s="36">
        <f t="shared" si="356"/>
        <v>13072</v>
      </c>
      <c r="Y201" s="5">
        <f t="shared" si="356"/>
        <v>10223</v>
      </c>
      <c r="Z201" s="5">
        <f t="shared" si="356"/>
        <v>7748</v>
      </c>
      <c r="AA201" s="37">
        <f t="shared" si="356"/>
        <v>8467</v>
      </c>
      <c r="AB201" s="4">
        <f t="shared" si="356"/>
        <v>39510</v>
      </c>
      <c r="AC201" s="36">
        <f t="shared" si="356"/>
        <v>18024</v>
      </c>
      <c r="AD201" s="5">
        <f t="shared" si="356"/>
        <v>13569</v>
      </c>
      <c r="AE201" s="5">
        <f t="shared" si="356"/>
        <v>10677</v>
      </c>
      <c r="AF201" s="5">
        <f t="shared" si="356"/>
        <v>11124</v>
      </c>
      <c r="AG201" s="4">
        <f t="shared" si="356"/>
        <v>53394</v>
      </c>
      <c r="AH201" s="36">
        <f t="shared" si="356"/>
        <v>18361</v>
      </c>
      <c r="AI201" s="5">
        <f t="shared" si="356"/>
        <v>10516</v>
      </c>
      <c r="AJ201" s="5">
        <f t="shared" si="356"/>
        <v>7796</v>
      </c>
      <c r="AK201" s="5">
        <f t="shared" si="356"/>
        <v>9014</v>
      </c>
      <c r="AL201" s="4">
        <f t="shared" si="356"/>
        <v>45687</v>
      </c>
      <c r="AM201" s="36">
        <f t="shared" si="356"/>
        <v>17891</v>
      </c>
      <c r="AN201" s="5">
        <f t="shared" si="356"/>
        <v>11029</v>
      </c>
      <c r="AO201" s="5">
        <f t="shared" si="356"/>
        <v>8141.684079766379</v>
      </c>
      <c r="AP201" s="5">
        <f t="shared" si="356"/>
        <v>9565.9165850562949</v>
      </c>
      <c r="AQ201" s="4">
        <f t="shared" si="356"/>
        <v>46627.600664822698</v>
      </c>
      <c r="AR201" s="36">
        <f t="shared" si="356"/>
        <v>18541.732122602283</v>
      </c>
      <c r="AS201" s="5">
        <f t="shared" si="356"/>
        <v>12061.286693457041</v>
      </c>
      <c r="AT201" s="5">
        <f t="shared" ref="AT201:BK201" si="357">AT27</f>
        <v>9381.5185023510167</v>
      </c>
      <c r="AU201" s="5">
        <f t="shared" si="357"/>
        <v>9898.4561076628834</v>
      </c>
      <c r="AV201" s="4">
        <f t="shared" si="357"/>
        <v>49882.993426073204</v>
      </c>
      <c r="AW201" s="36">
        <f t="shared" si="357"/>
        <v>18445.041503735418</v>
      </c>
      <c r="AX201" s="5">
        <f t="shared" si="357"/>
        <v>10883.626695417319</v>
      </c>
      <c r="AY201" s="5">
        <f t="shared" si="357"/>
        <v>8622.5426835142825</v>
      </c>
      <c r="AZ201" s="5">
        <f t="shared" si="357"/>
        <v>10039.281965556151</v>
      </c>
      <c r="BA201" s="4">
        <f t="shared" si="357"/>
        <v>47990.492848223133</v>
      </c>
      <c r="BB201" s="36">
        <f t="shared" si="357"/>
        <v>18434.877129570879</v>
      </c>
      <c r="BC201" s="5">
        <f t="shared" si="357"/>
        <v>9749.5685783251811</v>
      </c>
      <c r="BD201" s="5">
        <f t="shared" si="357"/>
        <v>7944.8275659620358</v>
      </c>
      <c r="BE201" s="5">
        <f t="shared" si="357"/>
        <v>9925.8581599347381</v>
      </c>
      <c r="BF201" s="4">
        <f t="shared" si="357"/>
        <v>46055.13143379282</v>
      </c>
      <c r="BG201" s="36">
        <f t="shared" si="357"/>
        <v>17125.433848302244</v>
      </c>
      <c r="BH201" s="5">
        <f t="shared" si="357"/>
        <v>8939.2651780937849</v>
      </c>
      <c r="BI201" s="5">
        <f t="shared" si="357"/>
        <v>7485.2046999696249</v>
      </c>
      <c r="BJ201" s="5">
        <f t="shared" si="357"/>
        <v>9714.2262520790337</v>
      </c>
      <c r="BK201" s="4">
        <f t="shared" si="357"/>
        <v>43264.129978444667</v>
      </c>
    </row>
    <row r="202" spans="2:81" s="199" customFormat="1" hidden="1" outlineLevel="1" x14ac:dyDescent="0.3">
      <c r="B202" s="726" t="s">
        <v>406</v>
      </c>
      <c r="C202" s="728"/>
      <c r="D202" s="36"/>
      <c r="E202" s="5"/>
      <c r="F202" s="5"/>
      <c r="G202" s="37"/>
      <c r="H202" s="4"/>
      <c r="I202" s="36"/>
      <c r="J202" s="5"/>
      <c r="K202" s="5"/>
      <c r="L202" s="37"/>
      <c r="M202" s="4"/>
      <c r="N202" s="36"/>
      <c r="O202" s="5"/>
      <c r="P202" s="5"/>
      <c r="Q202" s="37"/>
      <c r="R202" s="4"/>
      <c r="S202" s="36"/>
      <c r="T202" s="5"/>
      <c r="U202" s="5"/>
      <c r="V202" s="37"/>
      <c r="W202" s="4"/>
      <c r="X202" s="36"/>
      <c r="Y202" s="5"/>
      <c r="Z202" s="5"/>
      <c r="AA202" s="37"/>
      <c r="AB202" s="4"/>
      <c r="AC202" s="36"/>
      <c r="AD202" s="5"/>
      <c r="AE202" s="5"/>
      <c r="AF202" s="5"/>
      <c r="AG202" s="4"/>
      <c r="AH202" s="36"/>
      <c r="AI202" s="5"/>
      <c r="AJ202" s="5"/>
      <c r="AK202" s="5"/>
      <c r="AL202" s="4">
        <f>5806-4332</f>
        <v>1474</v>
      </c>
      <c r="AM202" s="479">
        <v>299.25</v>
      </c>
      <c r="AN202" s="220">
        <v>299.25</v>
      </c>
      <c r="AO202" s="220">
        <v>299.25</v>
      </c>
      <c r="AP202" s="220">
        <v>299.25</v>
      </c>
      <c r="AQ202" s="4">
        <f t="shared" ref="AQ202:AQ207" si="358">SUM(AM202:AP202)</f>
        <v>1197</v>
      </c>
      <c r="AR202" s="479">
        <v>225.5</v>
      </c>
      <c r="AS202" s="220">
        <v>225.5</v>
      </c>
      <c r="AT202" s="220">
        <v>225.5</v>
      </c>
      <c r="AU202" s="220">
        <v>225.5</v>
      </c>
      <c r="AV202" s="4">
        <f>SUM(AR202:AU202)</f>
        <v>902</v>
      </c>
      <c r="AW202" s="479">
        <f>449/4</f>
        <v>112.25</v>
      </c>
      <c r="AX202" s="220">
        <f t="shared" ref="AX202:AZ202" si="359">449/4</f>
        <v>112.25</v>
      </c>
      <c r="AY202" s="220">
        <f t="shared" si="359"/>
        <v>112.25</v>
      </c>
      <c r="AZ202" s="220">
        <f t="shared" si="359"/>
        <v>112.25</v>
      </c>
      <c r="BA202" s="4">
        <f>SUM(AW202:AZ202)</f>
        <v>449</v>
      </c>
      <c r="BB202" s="479">
        <v>63.75</v>
      </c>
      <c r="BC202" s="220">
        <v>63.75</v>
      </c>
      <c r="BD202" s="220">
        <v>63.75</v>
      </c>
      <c r="BE202" s="220">
        <v>63.75</v>
      </c>
      <c r="BF202" s="4">
        <f>SUM(BB202:BE202)</f>
        <v>255</v>
      </c>
      <c r="BG202" s="479">
        <v>43.75</v>
      </c>
      <c r="BH202" s="220">
        <v>43.75</v>
      </c>
      <c r="BI202" s="220">
        <v>43.75</v>
      </c>
      <c r="BJ202" s="220">
        <v>43.75</v>
      </c>
      <c r="BK202" s="4">
        <f>SUM(BG202:BJ202)</f>
        <v>175</v>
      </c>
    </row>
    <row r="203" spans="2:81" s="199" customFormat="1" ht="16.2" hidden="1" outlineLevel="1" x14ac:dyDescent="0.45">
      <c r="B203" s="441" t="s">
        <v>409</v>
      </c>
      <c r="C203" s="442"/>
      <c r="D203" s="34"/>
      <c r="E203" s="8"/>
      <c r="F203" s="8"/>
      <c r="G203" s="35"/>
      <c r="H203" s="7"/>
      <c r="I203" s="34"/>
      <c r="J203" s="8"/>
      <c r="K203" s="8"/>
      <c r="L203" s="35"/>
      <c r="M203" s="7"/>
      <c r="N203" s="34"/>
      <c r="O203" s="8"/>
      <c r="P203" s="8"/>
      <c r="Q203" s="35"/>
      <c r="R203" s="7"/>
      <c r="S203" s="34"/>
      <c r="T203" s="8"/>
      <c r="U203" s="8"/>
      <c r="V203" s="35"/>
      <c r="W203" s="7"/>
      <c r="X203" s="34"/>
      <c r="Y203" s="8"/>
      <c r="Z203" s="8"/>
      <c r="AA203" s="35"/>
      <c r="AB203" s="7"/>
      <c r="AC203" s="34"/>
      <c r="AD203" s="8"/>
      <c r="AE203" s="8"/>
      <c r="AF203" s="8"/>
      <c r="AG203" s="7"/>
      <c r="AH203" s="34"/>
      <c r="AI203" s="8"/>
      <c r="AJ203" s="8"/>
      <c r="AK203" s="8"/>
      <c r="AL203" s="7">
        <f>AL204-AL202</f>
        <v>9031</v>
      </c>
      <c r="AM203" s="34">
        <f>AM204-AM202</f>
        <v>2687.75</v>
      </c>
      <c r="AN203" s="8">
        <f t="shared" ref="AN203:AP203" si="360">AN204-AN202</f>
        <v>2032.75</v>
      </c>
      <c r="AO203" s="8">
        <f t="shared" si="360"/>
        <v>2347.3286514381425</v>
      </c>
      <c r="AP203" s="8">
        <f t="shared" si="360"/>
        <v>2367.4008245253799</v>
      </c>
      <c r="AQ203" s="7">
        <f t="shared" si="358"/>
        <v>9435.2294759635224</v>
      </c>
      <c r="AR203" s="34">
        <f>AR204-AR202</f>
        <v>2482.0294863546319</v>
      </c>
      <c r="AS203" s="8">
        <f t="shared" ref="AS203" si="361">AS204-AS202</f>
        <v>2418.4591074090185</v>
      </c>
      <c r="AT203" s="8">
        <f t="shared" ref="AT203" si="362">AT204-AT202</f>
        <v>2504.9455972918631</v>
      </c>
      <c r="AU203" s="8">
        <f t="shared" ref="AU203" si="363">AU204-AU202</f>
        <v>2524.4635734778058</v>
      </c>
      <c r="AV203" s="7">
        <f t="shared" ref="AV203" si="364">AV204-AV202</f>
        <v>9929.897764533318</v>
      </c>
      <c r="AW203" s="34">
        <f>AW204-AW202</f>
        <v>2659.2621003765653</v>
      </c>
      <c r="AX203" s="8">
        <f t="shared" ref="AX203" si="365">AX204-AX202</f>
        <v>2675.7143606908617</v>
      </c>
      <c r="AY203" s="8">
        <f t="shared" ref="AY203" si="366">AY204-AY202</f>
        <v>2713.1066662917037</v>
      </c>
      <c r="AZ203" s="8">
        <f t="shared" ref="AZ203" si="367">AZ204-AZ202</f>
        <v>2737.5932824123347</v>
      </c>
      <c r="BA203" s="7">
        <f t="shared" ref="BA203" si="368">BA204-BA202</f>
        <v>10785.676409771466</v>
      </c>
      <c r="BB203" s="34">
        <f>BB204-BB202</f>
        <v>2811.8555994963976</v>
      </c>
      <c r="BC203" s="8">
        <f t="shared" ref="BC203" si="369">BC204-BC202</f>
        <v>2838.6970775229815</v>
      </c>
      <c r="BD203" s="8">
        <f t="shared" ref="BD203" si="370">BD204-BD202</f>
        <v>2868.2385528665477</v>
      </c>
      <c r="BE203" s="8">
        <f t="shared" ref="BE203" si="371">BE204-BE202</f>
        <v>2895.6989784510365</v>
      </c>
      <c r="BF203" s="7">
        <f t="shared" ref="BF203" si="372">BF204-BF202</f>
        <v>11414.490208336963</v>
      </c>
      <c r="BG203" s="34">
        <f>BG204-BG202</f>
        <v>2943.9184744326817</v>
      </c>
      <c r="BH203" s="8">
        <f t="shared" ref="BH203" si="373">BH204-BH202</f>
        <v>2972.7625626151071</v>
      </c>
      <c r="BI203" s="8">
        <f t="shared" ref="BI203" si="374">BI204-BI202</f>
        <v>3002.1130871943155</v>
      </c>
      <c r="BJ203" s="8">
        <f t="shared" ref="BJ203" si="375">BJ204-BJ202</f>
        <v>3031.3957009531587</v>
      </c>
      <c r="BK203" s="7">
        <f t="shared" ref="BK203" si="376">BK204-BK202</f>
        <v>11950.189825195263</v>
      </c>
    </row>
    <row r="204" spans="2:81" s="200" customFormat="1" hidden="1" outlineLevel="1" x14ac:dyDescent="0.3">
      <c r="B204" s="741" t="s">
        <v>405</v>
      </c>
      <c r="C204" s="742"/>
      <c r="D204" s="14">
        <v>209</v>
      </c>
      <c r="E204" s="10">
        <v>216</v>
      </c>
      <c r="F204" s="10">
        <v>273</v>
      </c>
      <c r="G204" s="15">
        <v>329</v>
      </c>
      <c r="H204" s="9">
        <f t="shared" si="355"/>
        <v>1027</v>
      </c>
      <c r="I204" s="14">
        <v>356</v>
      </c>
      <c r="J204" s="10">
        <v>434</v>
      </c>
      <c r="K204" s="10">
        <v>481</v>
      </c>
      <c r="L204" s="15">
        <v>543</v>
      </c>
      <c r="M204" s="9">
        <f t="shared" ref="M204:M216" si="377">SUM(I204:L204)</f>
        <v>1814</v>
      </c>
      <c r="N204" s="14">
        <v>721</v>
      </c>
      <c r="O204" s="10">
        <f>1461-N204</f>
        <v>740</v>
      </c>
      <c r="P204" s="10">
        <v>835</v>
      </c>
      <c r="Q204" s="15">
        <v>981</v>
      </c>
      <c r="R204" s="9">
        <f t="shared" ref="R204:R216" si="378">SUM(N204:Q204)</f>
        <v>3277</v>
      </c>
      <c r="S204" s="14">
        <v>1588</v>
      </c>
      <c r="T204" s="10">
        <v>1692</v>
      </c>
      <c r="U204" s="10">
        <v>1694</v>
      </c>
      <c r="V204" s="15">
        <v>1783</v>
      </c>
      <c r="W204" s="9">
        <f t="shared" ref="W204:W216" si="379">SUM(S204:V204)</f>
        <v>6757</v>
      </c>
      <c r="X204" s="14">
        <v>2144</v>
      </c>
      <c r="Y204" s="10">
        <v>1887</v>
      </c>
      <c r="Z204" s="10">
        <v>1946</v>
      </c>
      <c r="AA204" s="15">
        <v>1969</v>
      </c>
      <c r="AB204" s="9">
        <f t="shared" ref="AB204:AB216" si="380">SUM(X204:AA204)</f>
        <v>7946</v>
      </c>
      <c r="AC204" s="117">
        <v>2575</v>
      </c>
      <c r="AD204" s="115">
        <f>5054-AC204</f>
        <v>2479</v>
      </c>
      <c r="AE204" s="115">
        <f>8138-AD204-AC204</f>
        <v>3084</v>
      </c>
      <c r="AF204" s="115">
        <f>11257-AE204-AD204-AC204</f>
        <v>3119</v>
      </c>
      <c r="AG204" s="9">
        <f>SUM(AC204:AF204)</f>
        <v>11257</v>
      </c>
      <c r="AH204" s="117">
        <v>2954</v>
      </c>
      <c r="AI204" s="115">
        <f>5431-AH204</f>
        <v>2477</v>
      </c>
      <c r="AJ204" s="115">
        <f>7957-AI204-AH204</f>
        <v>2526</v>
      </c>
      <c r="AK204" s="115">
        <f>10505-AJ204-AI204-AH204</f>
        <v>2548</v>
      </c>
      <c r="AL204" s="9">
        <f t="shared" ref="AL204:AL216" si="381">SUM(AH204:AK204)</f>
        <v>10505</v>
      </c>
      <c r="AM204" s="117">
        <v>2987</v>
      </c>
      <c r="AN204" s="115">
        <f>5319-AM204</f>
        <v>2332</v>
      </c>
      <c r="AO204" s="115">
        <f>((AN153+AN155))*AO193</f>
        <v>2646.5786514381425</v>
      </c>
      <c r="AP204" s="115">
        <f>((AO153+AO155))*AP193</f>
        <v>2666.6508245253799</v>
      </c>
      <c r="AQ204" s="9">
        <f t="shared" si="358"/>
        <v>10632.229475963522</v>
      </c>
      <c r="AR204" s="117">
        <f>((AP153+AP155))*AR193</f>
        <v>2707.5294863546319</v>
      </c>
      <c r="AS204" s="115">
        <f>((AR153+AR155))*AS193</f>
        <v>2643.9591074090185</v>
      </c>
      <c r="AT204" s="115">
        <f>((AS153+AS155))*AT193</f>
        <v>2730.4455972918631</v>
      </c>
      <c r="AU204" s="115">
        <f>((AT153+AT155))*AU193</f>
        <v>2749.9635734778058</v>
      </c>
      <c r="AV204" s="9">
        <f t="shared" ref="AV204:AV216" si="382">SUM(AR204:AU204)</f>
        <v>10831.897764533318</v>
      </c>
      <c r="AW204" s="117">
        <f>((AU153+AU155))*AW193</f>
        <v>2771.5121003765653</v>
      </c>
      <c r="AX204" s="115">
        <f>((AW153+AW155))*AX193</f>
        <v>2787.9643606908617</v>
      </c>
      <c r="AY204" s="115">
        <f>((AX153+AX155))*AY193</f>
        <v>2825.3566662917037</v>
      </c>
      <c r="AZ204" s="115">
        <f>((AY153+AY155))*AZ193</f>
        <v>2849.8432824123347</v>
      </c>
      <c r="BA204" s="9">
        <f t="shared" ref="BA204:BA216" si="383">SUM(AW204:AZ204)</f>
        <v>11234.676409771466</v>
      </c>
      <c r="BB204" s="117">
        <f>((AZ153+AZ155))*BB193</f>
        <v>2875.6055994963976</v>
      </c>
      <c r="BC204" s="115">
        <f>((BB153+BB155))*BC193</f>
        <v>2902.4470775229815</v>
      </c>
      <c r="BD204" s="115">
        <f>((BC153+BC155))*BD193</f>
        <v>2931.9885528665477</v>
      </c>
      <c r="BE204" s="115">
        <f>((BD153+BD155))*BE193</f>
        <v>2959.4489784510365</v>
      </c>
      <c r="BF204" s="9">
        <f>SUM(BB204:BE204)</f>
        <v>11669.490208336963</v>
      </c>
      <c r="BG204" s="117">
        <f>((BE153+BE155))*BG193</f>
        <v>2987.6684744326817</v>
      </c>
      <c r="BH204" s="115">
        <f>((BG153+BG155))*BH193</f>
        <v>3016.5125626151071</v>
      </c>
      <c r="BI204" s="115">
        <f>((BH153+BH155))*BI193</f>
        <v>3045.8630871943155</v>
      </c>
      <c r="BJ204" s="115">
        <f>((BI153+BI155))*BJ193</f>
        <v>3075.1457009531587</v>
      </c>
      <c r="BK204" s="9">
        <f>SUM(BG204:BJ204)</f>
        <v>12125.189825195263</v>
      </c>
    </row>
    <row r="205" spans="2:81" hidden="1" outlineLevel="1" x14ac:dyDescent="0.3">
      <c r="B205" s="726" t="s">
        <v>166</v>
      </c>
      <c r="C205" s="728"/>
      <c r="D205" s="36">
        <v>205</v>
      </c>
      <c r="E205" s="5">
        <v>231</v>
      </c>
      <c r="F205" s="5">
        <v>219</v>
      </c>
      <c r="G205" s="37">
        <v>224</v>
      </c>
      <c r="H205" s="4">
        <f t="shared" si="355"/>
        <v>879</v>
      </c>
      <c r="I205" s="36">
        <v>299</v>
      </c>
      <c r="J205" s="5">
        <v>287</v>
      </c>
      <c r="K205" s="5">
        <v>284</v>
      </c>
      <c r="L205" s="37">
        <v>298</v>
      </c>
      <c r="M205" s="4">
        <f t="shared" si="377"/>
        <v>1168</v>
      </c>
      <c r="N205" s="36">
        <v>420</v>
      </c>
      <c r="O205" s="5">
        <f>844-N205</f>
        <v>424</v>
      </c>
      <c r="P205" s="5">
        <v>448</v>
      </c>
      <c r="Q205" s="37">
        <v>448</v>
      </c>
      <c r="R205" s="4">
        <f t="shared" si="378"/>
        <v>1740</v>
      </c>
      <c r="S205" s="36">
        <v>545</v>
      </c>
      <c r="T205" s="5">
        <v>575</v>
      </c>
      <c r="U205" s="5">
        <f>1698-T205-S205</f>
        <v>578</v>
      </c>
      <c r="V205" s="37">
        <v>555</v>
      </c>
      <c r="W205" s="4">
        <f t="shared" si="379"/>
        <v>2253</v>
      </c>
      <c r="X205" s="36">
        <v>681</v>
      </c>
      <c r="Y205" s="5">
        <v>696</v>
      </c>
      <c r="Z205" s="5">
        <v>724</v>
      </c>
      <c r="AA205" s="37">
        <v>762</v>
      </c>
      <c r="AB205" s="4">
        <f t="shared" si="380"/>
        <v>2863</v>
      </c>
      <c r="AC205" s="36">
        <v>888</v>
      </c>
      <c r="AD205" s="5">
        <f>1815-AC205</f>
        <v>927</v>
      </c>
      <c r="AE205" s="5">
        <f>2671-AD205-AC205</f>
        <v>856</v>
      </c>
      <c r="AF205" s="5">
        <f>3586-AE205-AD205-AC205</f>
        <v>915</v>
      </c>
      <c r="AG205" s="4">
        <f>SUM(AC205:AF205)</f>
        <v>3586</v>
      </c>
      <c r="AH205" s="36">
        <v>1078</v>
      </c>
      <c r="AI205" s="5">
        <f>2126-AH205</f>
        <v>1048</v>
      </c>
      <c r="AJ205" s="5">
        <f>3180-AI205-AH205</f>
        <v>1054</v>
      </c>
      <c r="AK205" s="5">
        <f>4210-AJ205-AI205-AH205</f>
        <v>1030</v>
      </c>
      <c r="AL205" s="4">
        <f t="shared" si="381"/>
        <v>4210</v>
      </c>
      <c r="AM205" s="36">
        <v>1256</v>
      </c>
      <c r="AN205" s="5">
        <f>2473-AM205</f>
        <v>1217</v>
      </c>
      <c r="AO205" s="5">
        <f>AO13*AO256</f>
        <v>1221.5057033318617</v>
      </c>
      <c r="AP205" s="5">
        <f>AP13*AP256</f>
        <v>1231.2466976369558</v>
      </c>
      <c r="AQ205" s="4">
        <f t="shared" si="358"/>
        <v>4925.7524009688177</v>
      </c>
      <c r="AR205" s="36">
        <f>AR13*AR256</f>
        <v>1343.1200000000001</v>
      </c>
      <c r="AS205" s="5">
        <f>AS13*AS256</f>
        <v>1355.7600000000002</v>
      </c>
      <c r="AT205" s="5">
        <f>AT13*AT256</f>
        <v>1369.0216898777778</v>
      </c>
      <c r="AU205" s="5">
        <f>AU13*AU256</f>
        <v>1283.1188976555554</v>
      </c>
      <c r="AV205" s="4">
        <f t="shared" si="382"/>
        <v>5351.020587533334</v>
      </c>
      <c r="AW205" s="36">
        <f>AW13*AW256</f>
        <v>1367.0020292053334</v>
      </c>
      <c r="AX205" s="5">
        <f>AX13*AX256</f>
        <v>1246.6027219152666</v>
      </c>
      <c r="AY205" s="5">
        <f>AY13*AY256</f>
        <v>1247.813919778524</v>
      </c>
      <c r="AZ205" s="5">
        <f>AZ13*AZ256</f>
        <v>1297.3091076934124</v>
      </c>
      <c r="BA205" s="4">
        <f t="shared" si="383"/>
        <v>5158.7277785925362</v>
      </c>
      <c r="BB205" s="36">
        <f>BB13*BB256</f>
        <v>1363.2820730640424</v>
      </c>
      <c r="BC205" s="5">
        <f>BC13*BC256</f>
        <v>1116.7181460890693</v>
      </c>
      <c r="BD205" s="5">
        <f>BD13*BD256</f>
        <v>1161.099785285269</v>
      </c>
      <c r="BE205" s="5">
        <f>BE13*BE256</f>
        <v>1316.3599748308793</v>
      </c>
      <c r="BF205" s="4">
        <f>SUM(BB205:BE205)</f>
        <v>4957.4599792692607</v>
      </c>
      <c r="BG205" s="36">
        <f>BG13*BG256</f>
        <v>1305.0603578814114</v>
      </c>
      <c r="BH205" s="5">
        <f>BH13*BH256</f>
        <v>1041.3328450026047</v>
      </c>
      <c r="BI205" s="5">
        <f>BI13*BI256</f>
        <v>1101.2882840282336</v>
      </c>
      <c r="BJ205" s="5">
        <f>BJ13*BJ256</f>
        <v>1289.6345622342383</v>
      </c>
      <c r="BK205" s="4">
        <f>SUM(BG205:BJ205)</f>
        <v>4737.3160491464878</v>
      </c>
    </row>
    <row r="206" spans="2:81" hidden="1" outlineLevel="1" x14ac:dyDescent="0.3">
      <c r="B206" s="726" t="s">
        <v>29</v>
      </c>
      <c r="C206" s="728"/>
      <c r="D206" s="36">
        <v>425</v>
      </c>
      <c r="E206" s="5">
        <f>893-D206</f>
        <v>468</v>
      </c>
      <c r="F206" s="5">
        <f>1298-E206-D206</f>
        <v>405</v>
      </c>
      <c r="G206" s="37">
        <f>1440-F206-E206-D206</f>
        <v>142</v>
      </c>
      <c r="H206" s="4">
        <f t="shared" si="355"/>
        <v>1440</v>
      </c>
      <c r="I206" s="36">
        <v>823</v>
      </c>
      <c r="J206" s="5">
        <f>1563-I206</f>
        <v>740</v>
      </c>
      <c r="K206" s="5">
        <f>2232-J206-I206</f>
        <v>669</v>
      </c>
      <c r="L206" s="37">
        <f>2868-K206-J206-I206</f>
        <v>636</v>
      </c>
      <c r="M206" s="4">
        <f>SUM(I206:L206)</f>
        <v>2868</v>
      </c>
      <c r="N206" s="36">
        <v>1456</v>
      </c>
      <c r="O206" s="5">
        <f>2915-N206</f>
        <v>1459</v>
      </c>
      <c r="P206" s="5">
        <f>4066-O206-N206</f>
        <v>1151</v>
      </c>
      <c r="Q206" s="37">
        <f>4405-P206-O206-N206</f>
        <v>339</v>
      </c>
      <c r="R206" s="4">
        <f>SUM(N206:Q206)</f>
        <v>4405</v>
      </c>
      <c r="S206" s="36">
        <v>1179</v>
      </c>
      <c r="T206" s="5">
        <f>1957-S206</f>
        <v>778</v>
      </c>
      <c r="U206" s="5">
        <f>2524-T206-S206</f>
        <v>567</v>
      </c>
      <c r="V206" s="37">
        <f>1141-U206-T206-S206</f>
        <v>-1383</v>
      </c>
      <c r="W206" s="4">
        <f>SUM(S206:V206)</f>
        <v>1141</v>
      </c>
      <c r="X206" s="36">
        <v>1253</v>
      </c>
      <c r="Y206" s="5">
        <f>2059-X206</f>
        <v>806</v>
      </c>
      <c r="Z206" s="5">
        <f>3154-Y206-X206</f>
        <v>1095</v>
      </c>
      <c r="AA206" s="37">
        <f>2347-Z206-Y206-X206</f>
        <v>-807</v>
      </c>
      <c r="AB206" s="4">
        <f>SUM(X206:AA206)</f>
        <v>2347</v>
      </c>
      <c r="AC206" s="36">
        <v>2197</v>
      </c>
      <c r="AD206" s="5">
        <f>1879-AC206</f>
        <v>-318</v>
      </c>
      <c r="AE206" s="5">
        <f>2820-AD206-AC206</f>
        <v>941</v>
      </c>
      <c r="AF206" s="5">
        <f>1382-AE206-AD206-AC206</f>
        <v>-1438</v>
      </c>
      <c r="AG206" s="4">
        <f>SUM(AC206:AF206)</f>
        <v>1382</v>
      </c>
      <c r="AH206" s="36">
        <v>1592</v>
      </c>
      <c r="AI206" s="5">
        <f>3092-AH206</f>
        <v>1500</v>
      </c>
      <c r="AJ206" s="5">
        <f>5191-AI206-AH206</f>
        <v>2099</v>
      </c>
      <c r="AK206" s="5">
        <f>4938-AJ206-AI206-AH206</f>
        <v>-253</v>
      </c>
      <c r="AL206" s="4">
        <f>SUM(AH206:AK206)</f>
        <v>4938</v>
      </c>
      <c r="AM206" s="36">
        <v>1452</v>
      </c>
      <c r="AN206" s="5">
        <f>2822-AM206</f>
        <v>1370</v>
      </c>
      <c r="AO206" s="5"/>
      <c r="AP206" s="5"/>
      <c r="AQ206" s="4">
        <f t="shared" si="358"/>
        <v>2822</v>
      </c>
      <c r="AR206" s="36"/>
      <c r="AS206" s="5"/>
      <c r="AT206" s="5"/>
      <c r="AU206" s="5"/>
      <c r="AV206" s="4">
        <f>SUM(AR206:AU206)</f>
        <v>0</v>
      </c>
      <c r="AW206" s="36"/>
      <c r="AX206" s="5"/>
      <c r="AY206" s="5"/>
      <c r="AZ206" s="5"/>
      <c r="BA206" s="4">
        <f>SUM(AW206:AZ206)</f>
        <v>0</v>
      </c>
      <c r="BB206" s="36"/>
      <c r="BC206" s="5"/>
      <c r="BD206" s="5"/>
      <c r="BE206" s="5"/>
      <c r="BF206" s="4">
        <f>SUM(BB206:BE206)</f>
        <v>0</v>
      </c>
      <c r="BG206" s="36"/>
      <c r="BH206" s="5"/>
      <c r="BI206" s="5"/>
      <c r="BJ206" s="5"/>
      <c r="BK206" s="4">
        <f>SUM(BG206:BJ206)</f>
        <v>0</v>
      </c>
    </row>
    <row r="207" spans="2:81" hidden="1" outlineLevel="1" x14ac:dyDescent="0.3">
      <c r="B207" s="726" t="s">
        <v>30</v>
      </c>
      <c r="C207" s="728"/>
      <c r="D207" s="36">
        <v>6</v>
      </c>
      <c r="E207" s="5">
        <f>0-D207</f>
        <v>-6</v>
      </c>
      <c r="F207" s="5">
        <f>-E207-D207</f>
        <v>0</v>
      </c>
      <c r="G207" s="37">
        <v>0</v>
      </c>
      <c r="H207" s="4">
        <f t="shared" si="355"/>
        <v>0</v>
      </c>
      <c r="I207" s="36"/>
      <c r="J207" s="5"/>
      <c r="K207" s="5"/>
      <c r="L207" s="37"/>
      <c r="M207" s="4">
        <f t="shared" si="377"/>
        <v>0</v>
      </c>
      <c r="N207" s="36"/>
      <c r="O207" s="5"/>
      <c r="P207" s="5"/>
      <c r="Q207" s="37"/>
      <c r="R207" s="4">
        <f t="shared" si="378"/>
        <v>0</v>
      </c>
      <c r="S207" s="36">
        <v>0</v>
      </c>
      <c r="T207" s="5"/>
      <c r="U207" s="5"/>
      <c r="V207" s="37"/>
      <c r="W207" s="4">
        <f t="shared" si="379"/>
        <v>0</v>
      </c>
      <c r="X207" s="36"/>
      <c r="Y207" s="5"/>
      <c r="Z207" s="5"/>
      <c r="AA207" s="37"/>
      <c r="AB207" s="4">
        <f t="shared" si="380"/>
        <v>0</v>
      </c>
      <c r="AC207" s="36"/>
      <c r="AD207" s="5"/>
      <c r="AE207" s="5"/>
      <c r="AF207" s="5"/>
      <c r="AG207" s="4">
        <f>SUM(AC207:AF207)</f>
        <v>0</v>
      </c>
      <c r="AH207" s="36"/>
      <c r="AI207" s="5"/>
      <c r="AJ207" s="5"/>
      <c r="AK207" s="5"/>
      <c r="AL207" s="4">
        <f t="shared" si="381"/>
        <v>0</v>
      </c>
      <c r="AM207" s="36">
        <v>-274</v>
      </c>
      <c r="AN207" s="5">
        <f>-209-AM207</f>
        <v>65</v>
      </c>
      <c r="AO207" s="5"/>
      <c r="AP207" s="5"/>
      <c r="AQ207" s="4">
        <f t="shared" si="358"/>
        <v>-209</v>
      </c>
      <c r="AR207" s="36"/>
      <c r="AS207" s="5"/>
      <c r="AT207" s="5"/>
      <c r="AU207" s="5"/>
      <c r="AV207" s="4">
        <f t="shared" si="382"/>
        <v>0</v>
      </c>
      <c r="AW207" s="36"/>
      <c r="AX207" s="5"/>
      <c r="AY207" s="5"/>
      <c r="AZ207" s="5"/>
      <c r="BA207" s="4">
        <f t="shared" si="383"/>
        <v>0</v>
      </c>
      <c r="BB207" s="36"/>
      <c r="BC207" s="5"/>
      <c r="BD207" s="5"/>
      <c r="BE207" s="5"/>
      <c r="BF207" s="4">
        <f>SUM(BB207:BE207)</f>
        <v>0</v>
      </c>
      <c r="BG207" s="36"/>
      <c r="BH207" s="5"/>
      <c r="BI207" s="5"/>
      <c r="BJ207" s="5"/>
      <c r="BK207" s="4">
        <f>SUM(BG207:BJ207)</f>
        <v>0</v>
      </c>
    </row>
    <row r="208" spans="2:81" ht="7.5" hidden="1" customHeight="1" outlineLevel="1" x14ac:dyDescent="0.3">
      <c r="B208" s="739"/>
      <c r="C208" s="740"/>
      <c r="D208" s="36"/>
      <c r="E208" s="5"/>
      <c r="F208" s="5"/>
      <c r="G208" s="37"/>
      <c r="H208" s="4">
        <f t="shared" si="355"/>
        <v>0</v>
      </c>
      <c r="I208" s="36"/>
      <c r="J208" s="5"/>
      <c r="K208" s="5"/>
      <c r="L208" s="37"/>
      <c r="M208" s="4">
        <f t="shared" si="377"/>
        <v>0</v>
      </c>
      <c r="N208" s="36"/>
      <c r="O208" s="5"/>
      <c r="P208" s="5"/>
      <c r="Q208" s="37"/>
      <c r="R208" s="4">
        <f t="shared" si="378"/>
        <v>0</v>
      </c>
      <c r="S208" s="36">
        <v>0</v>
      </c>
      <c r="T208" s="5"/>
      <c r="U208" s="5"/>
      <c r="V208" s="37"/>
      <c r="W208" s="4">
        <f t="shared" si="379"/>
        <v>0</v>
      </c>
      <c r="X208" s="36"/>
      <c r="Y208" s="5"/>
      <c r="Z208" s="5"/>
      <c r="AA208" s="37"/>
      <c r="AB208" s="4"/>
      <c r="AC208" s="36"/>
      <c r="AD208" s="5"/>
      <c r="AE208" s="5"/>
      <c r="AF208" s="5"/>
      <c r="AG208" s="4"/>
      <c r="AH208" s="36"/>
      <c r="AI208" s="5"/>
      <c r="AJ208" s="5"/>
      <c r="AK208" s="5"/>
      <c r="AL208" s="4"/>
      <c r="AM208" s="36"/>
      <c r="AN208" s="5"/>
      <c r="AO208" s="5"/>
      <c r="AP208" s="5"/>
      <c r="AQ208" s="4">
        <f t="shared" ref="AQ208" si="384">SUM(AM208:AP208)</f>
        <v>0</v>
      </c>
      <c r="AR208" s="36"/>
      <c r="AS208" s="5"/>
      <c r="AT208" s="5"/>
      <c r="AU208" s="5"/>
      <c r="AV208" s="4">
        <f t="shared" si="382"/>
        <v>0</v>
      </c>
      <c r="AW208" s="36"/>
      <c r="AX208" s="5"/>
      <c r="AY208" s="5"/>
      <c r="AZ208" s="5"/>
      <c r="BA208" s="4">
        <f t="shared" si="383"/>
        <v>0</v>
      </c>
      <c r="BB208" s="36"/>
      <c r="BC208" s="5"/>
      <c r="BD208" s="5"/>
      <c r="BE208" s="5"/>
      <c r="BF208" s="4">
        <f>SUM(BB208:BE208)</f>
        <v>0</v>
      </c>
      <c r="BG208" s="36"/>
      <c r="BH208" s="5"/>
      <c r="BI208" s="5"/>
      <c r="BJ208" s="5"/>
      <c r="BK208" s="4">
        <f>SUM(BG208:BJ208)</f>
        <v>0</v>
      </c>
    </row>
    <row r="209" spans="2:63" hidden="1" outlineLevel="1" x14ac:dyDescent="0.3">
      <c r="B209" s="729" t="s">
        <v>39</v>
      </c>
      <c r="C209" s="738"/>
      <c r="D209" s="36"/>
      <c r="E209" s="5"/>
      <c r="F209" s="5"/>
      <c r="G209" s="37"/>
      <c r="H209" s="4"/>
      <c r="I209" s="36"/>
      <c r="J209" s="5"/>
      <c r="K209" s="5"/>
      <c r="L209" s="37"/>
      <c r="M209" s="4"/>
      <c r="N209" s="36"/>
      <c r="O209" s="5"/>
      <c r="P209" s="5"/>
      <c r="Q209" s="37"/>
      <c r="R209" s="4"/>
      <c r="S209" s="36"/>
      <c r="T209" s="5"/>
      <c r="U209" s="5"/>
      <c r="V209" s="37"/>
      <c r="W209" s="4"/>
      <c r="X209" s="36"/>
      <c r="Y209" s="5"/>
      <c r="Z209" s="5"/>
      <c r="AA209" s="37"/>
      <c r="AB209" s="4"/>
      <c r="AC209" s="36"/>
      <c r="AD209" s="5"/>
      <c r="AE209" s="5"/>
      <c r="AF209" s="5"/>
      <c r="AG209" s="4"/>
      <c r="AH209" s="36"/>
      <c r="AI209" s="5"/>
      <c r="AJ209" s="5"/>
      <c r="AK209" s="5"/>
      <c r="AL209" s="4"/>
      <c r="AM209" s="36"/>
      <c r="AN209" s="5"/>
      <c r="AO209" s="5"/>
      <c r="AP209" s="5"/>
      <c r="AQ209" s="4"/>
      <c r="AR209" s="36"/>
      <c r="AS209" s="5"/>
      <c r="AT209" s="5"/>
      <c r="AU209" s="5"/>
      <c r="AV209" s="4"/>
      <c r="AW209" s="36"/>
      <c r="AX209" s="5"/>
      <c r="AY209" s="5"/>
      <c r="AZ209" s="5"/>
      <c r="BA209" s="4"/>
      <c r="BB209" s="36"/>
      <c r="BC209" s="5"/>
      <c r="BD209" s="5"/>
      <c r="BE209" s="5"/>
      <c r="BF209" s="4"/>
      <c r="BG209" s="36"/>
      <c r="BH209" s="5"/>
      <c r="BI209" s="5"/>
      <c r="BJ209" s="5"/>
      <c r="BK209" s="4"/>
    </row>
    <row r="210" spans="2:63" hidden="1" outlineLevel="1" x14ac:dyDescent="0.3">
      <c r="B210" s="714" t="s">
        <v>167</v>
      </c>
      <c r="C210" s="715"/>
      <c r="D210" s="36">
        <v>271</v>
      </c>
      <c r="E210" s="5">
        <f>482-D210</f>
        <v>211</v>
      </c>
      <c r="F210" s="5">
        <f>-79-E210-D210</f>
        <v>-561</v>
      </c>
      <c r="G210" s="37">
        <f>-2142-F210-E210-D210</f>
        <v>-2063</v>
      </c>
      <c r="H210" s="4">
        <f t="shared" si="355"/>
        <v>-2142</v>
      </c>
      <c r="I210" s="36">
        <v>-517</v>
      </c>
      <c r="J210" s="5">
        <f>-288-I210</f>
        <v>229</v>
      </c>
      <c r="K210" s="5">
        <f>-592-J210-I210</f>
        <v>-304</v>
      </c>
      <c r="L210" s="37">
        <f>143-K210-J210-I210</f>
        <v>735</v>
      </c>
      <c r="M210" s="4">
        <f t="shared" si="377"/>
        <v>143</v>
      </c>
      <c r="N210" s="36">
        <v>-3561</v>
      </c>
      <c r="O210" s="5">
        <f>-1663-N210</f>
        <v>1898</v>
      </c>
      <c r="P210" s="5">
        <f>-2278-O210-N210</f>
        <v>-615</v>
      </c>
      <c r="Q210" s="37">
        <f>-5551-P210-O210-N210</f>
        <v>-3273</v>
      </c>
      <c r="R210" s="4">
        <f t="shared" si="378"/>
        <v>-5551</v>
      </c>
      <c r="S210" s="36">
        <v>-668</v>
      </c>
      <c r="T210" s="5">
        <f>3846-S210</f>
        <v>4514</v>
      </c>
      <c r="U210" s="5">
        <f>2091-T210-S210</f>
        <v>-1755</v>
      </c>
      <c r="V210" s="37">
        <f>-2172-U210-T210-S210</f>
        <v>-4263</v>
      </c>
      <c r="W210" s="4">
        <f t="shared" si="379"/>
        <v>-2172</v>
      </c>
      <c r="X210" s="36">
        <v>-1098</v>
      </c>
      <c r="Y210" s="5">
        <f>3401-X210</f>
        <v>4499</v>
      </c>
      <c r="Z210" s="5">
        <f>2314-Y210-X210</f>
        <v>-1087</v>
      </c>
      <c r="AA210" s="37">
        <f>-4232-Z210-Y210-X210</f>
        <v>-6546</v>
      </c>
      <c r="AB210" s="4">
        <f t="shared" si="380"/>
        <v>-4232</v>
      </c>
      <c r="AC210" s="36">
        <f>-(AC146-AB146)</f>
        <v>751</v>
      </c>
      <c r="AD210" s="5">
        <f>-(AD146-AC146)</f>
        <v>5804</v>
      </c>
      <c r="AE210" s="5">
        <f>7090-AD210-AC210</f>
        <v>535</v>
      </c>
      <c r="AF210" s="5">
        <f>611-AE210-AD210-AC210</f>
        <v>-6479</v>
      </c>
      <c r="AG210" s="4">
        <f t="shared" ref="AG210:AG216" si="385">SUM(AC210:AF210)</f>
        <v>611</v>
      </c>
      <c r="AH210" s="36">
        <v>3896</v>
      </c>
      <c r="AI210" s="5">
        <f>4620-AH210</f>
        <v>724</v>
      </c>
      <c r="AJ210" s="5">
        <f>5135-AI210-AH210</f>
        <v>515</v>
      </c>
      <c r="AK210" s="5">
        <f>1095-AJ210-AI210-AH210</f>
        <v>-4040</v>
      </c>
      <c r="AL210" s="4">
        <f t="shared" si="381"/>
        <v>1095</v>
      </c>
      <c r="AM210" s="36">
        <v>1697</v>
      </c>
      <c r="AN210" s="5">
        <f>4183-AM210</f>
        <v>2486</v>
      </c>
      <c r="AO210" s="5">
        <f t="shared" ref="AO210:AP211" si="386">-(AO146-AN146)</f>
        <v>-1576.539452523717</v>
      </c>
      <c r="AP210" s="5">
        <f t="shared" si="386"/>
        <v>-2637.5356814135703</v>
      </c>
      <c r="AQ210" s="4">
        <f t="shared" ref="AQ210:AQ216" si="387">SUM(AM210:AP210)</f>
        <v>-31.075133937287319</v>
      </c>
      <c r="AR210" s="36">
        <f t="shared" ref="AR210:AU211" si="388">-(AR146-AQ146)</f>
        <v>508.70279444497282</v>
      </c>
      <c r="AS210" s="5">
        <f t="shared" si="388"/>
        <v>2153.837857640021</v>
      </c>
      <c r="AT210" s="5">
        <f t="shared" si="388"/>
        <v>-1385.7130458552165</v>
      </c>
      <c r="AU210" s="5">
        <f t="shared" si="388"/>
        <v>-1273.9472251199659</v>
      </c>
      <c r="AV210" s="4">
        <f t="shared" si="382"/>
        <v>2.8803811098114238</v>
      </c>
      <c r="AW210" s="36">
        <f t="shared" ref="AW210:AZ211" si="389">-(AW146-AV146)</f>
        <v>803.96305418510383</v>
      </c>
      <c r="AX210" s="5">
        <f t="shared" si="389"/>
        <v>4550.4468251314211</v>
      </c>
      <c r="AY210" s="5">
        <f t="shared" si="389"/>
        <v>-3647.4211404982016</v>
      </c>
      <c r="AZ210" s="5">
        <f t="shared" si="389"/>
        <v>-1648.259533360826</v>
      </c>
      <c r="BA210" s="4">
        <f t="shared" si="383"/>
        <v>58.729205457497301</v>
      </c>
      <c r="BB210" s="36">
        <f t="shared" ref="BB210:BE211" si="390">-(BB146-BA146)</f>
        <v>1598.5676260808432</v>
      </c>
      <c r="BC210" s="5">
        <f t="shared" si="390"/>
        <v>6107.1096666038502</v>
      </c>
      <c r="BD210" s="5">
        <f t="shared" si="390"/>
        <v>-6147.8020851755537</v>
      </c>
      <c r="BE210" s="5">
        <f t="shared" si="390"/>
        <v>-1088.8832894472107</v>
      </c>
      <c r="BF210" s="4">
        <f t="shared" ref="BF210:BF216" si="391">SUM(BB210:BE210)</f>
        <v>468.99191806192903</v>
      </c>
      <c r="BG210" s="36">
        <f t="shared" ref="BG210:BJ211" si="392">-(BG146-BF146)</f>
        <v>2707.5403403002856</v>
      </c>
      <c r="BH210" s="5">
        <f t="shared" si="392"/>
        <v>5004.6615054958093</v>
      </c>
      <c r="BI210" s="5">
        <f t="shared" si="392"/>
        <v>-5387.0428767414123</v>
      </c>
      <c r="BJ210" s="5">
        <f t="shared" si="392"/>
        <v>-2185.5369398232724</v>
      </c>
      <c r="BK210" s="4">
        <f t="shared" ref="BK210:BK216" si="393">SUM(BG210:BJ210)</f>
        <v>139.62202923141012</v>
      </c>
    </row>
    <row r="211" spans="2:63" hidden="1" outlineLevel="1" x14ac:dyDescent="0.3">
      <c r="B211" s="714" t="s">
        <v>11</v>
      </c>
      <c r="C211" s="715"/>
      <c r="D211" s="36">
        <v>-121</v>
      </c>
      <c r="E211" s="5">
        <f>-183-D211</f>
        <v>-62</v>
      </c>
      <c r="F211" s="5">
        <f>-487-E211-D211</f>
        <v>-304</v>
      </c>
      <c r="G211" s="37">
        <f>-596-F211-E211-D211</f>
        <v>-109</v>
      </c>
      <c r="H211" s="4">
        <f t="shared" si="355"/>
        <v>-596</v>
      </c>
      <c r="I211" s="36">
        <v>166</v>
      </c>
      <c r="J211" s="5">
        <f>121-I211</f>
        <v>-45</v>
      </c>
      <c r="K211" s="5">
        <f>162-J211-I211</f>
        <v>41</v>
      </c>
      <c r="L211" s="37">
        <f>275-K211-J211-I211</f>
        <v>113</v>
      </c>
      <c r="M211" s="4">
        <f t="shared" si="377"/>
        <v>275</v>
      </c>
      <c r="N211" s="36">
        <v>-460</v>
      </c>
      <c r="O211" s="5">
        <f>-326-N211</f>
        <v>134</v>
      </c>
      <c r="P211" s="5">
        <f>-346-O211-N211</f>
        <v>-20</v>
      </c>
      <c r="Q211" s="37">
        <f>-15-P211-O211-N211</f>
        <v>331</v>
      </c>
      <c r="R211" s="4">
        <f t="shared" si="378"/>
        <v>-15</v>
      </c>
      <c r="S211" s="36">
        <v>-664</v>
      </c>
      <c r="T211" s="5">
        <f>-454-S211</f>
        <v>210</v>
      </c>
      <c r="U211" s="5">
        <f>-906-T211-S211</f>
        <v>-452</v>
      </c>
      <c r="V211" s="37">
        <f>-973-U211-T211-S211</f>
        <v>-67</v>
      </c>
      <c r="W211" s="4">
        <f t="shared" si="379"/>
        <v>-973</v>
      </c>
      <c r="X211" s="36">
        <v>-358</v>
      </c>
      <c r="Y211" s="5">
        <f>-65-X211</f>
        <v>293</v>
      </c>
      <c r="Z211" s="5">
        <f>170-Y211-X211</f>
        <v>235</v>
      </c>
      <c r="AA211" s="37">
        <f>-76-Z211-Y211-X211</f>
        <v>-246</v>
      </c>
      <c r="AB211" s="4">
        <f t="shared" si="380"/>
        <v>-76</v>
      </c>
      <c r="AC211" s="36">
        <f>-(AC147-AB147)</f>
        <v>-172</v>
      </c>
      <c r="AD211" s="5">
        <f>-(AD147-AC147)</f>
        <v>-113</v>
      </c>
      <c r="AE211" s="5">
        <f>69-AD211-AC211</f>
        <v>354</v>
      </c>
      <c r="AF211" s="5">
        <f>-238-AE211-AD211-AC211</f>
        <v>-307</v>
      </c>
      <c r="AG211" s="4">
        <f t="shared" si="385"/>
        <v>-238</v>
      </c>
      <c r="AH211" s="36">
        <v>-102</v>
      </c>
      <c r="AI211" s="5">
        <f>68-AH211</f>
        <v>170</v>
      </c>
      <c r="AJ211" s="5">
        <f>518-AI211-AH211</f>
        <v>450</v>
      </c>
      <c r="AK211" s="5">
        <f>217-AJ211-AI211-AH211</f>
        <v>-301</v>
      </c>
      <c r="AL211" s="4">
        <f t="shared" si="381"/>
        <v>217</v>
      </c>
      <c r="AM211" s="36">
        <v>-580</v>
      </c>
      <c r="AN211" s="5">
        <f>-778-AM211</f>
        <v>-198</v>
      </c>
      <c r="AO211" s="5">
        <f t="shared" si="386"/>
        <v>914.31027172274571</v>
      </c>
      <c r="AP211" s="5">
        <f t="shared" si="386"/>
        <v>-820.72624157583414</v>
      </c>
      <c r="AQ211" s="4">
        <f t="shared" si="387"/>
        <v>-684.41596985308843</v>
      </c>
      <c r="AR211" s="36">
        <f t="shared" si="388"/>
        <v>-213.98537230543207</v>
      </c>
      <c r="AS211" s="5">
        <f t="shared" si="388"/>
        <v>-1161.6417752229654</v>
      </c>
      <c r="AT211" s="5">
        <f t="shared" si="388"/>
        <v>2015.1969920919919</v>
      </c>
      <c r="AU211" s="5">
        <f t="shared" si="388"/>
        <v>-1511.0642551290366</v>
      </c>
      <c r="AV211" s="4">
        <f t="shared" si="382"/>
        <v>-871.49441056544219</v>
      </c>
      <c r="AW211" s="36">
        <f t="shared" si="389"/>
        <v>614.36643304408608</v>
      </c>
      <c r="AX211" s="5">
        <f t="shared" si="389"/>
        <v>-1441.7483178322445</v>
      </c>
      <c r="AY211" s="5">
        <f t="shared" si="389"/>
        <v>2490.07452509411</v>
      </c>
      <c r="AZ211" s="5">
        <f t="shared" si="389"/>
        <v>-2630.4645349317743</v>
      </c>
      <c r="BA211" s="4">
        <f t="shared" si="383"/>
        <v>-967.77189462582282</v>
      </c>
      <c r="BB211" s="36">
        <f t="shared" si="390"/>
        <v>1713.9625947573331</v>
      </c>
      <c r="BC211" s="5">
        <f t="shared" si="390"/>
        <v>-1806.922388479079</v>
      </c>
      <c r="BD211" s="5">
        <f t="shared" si="390"/>
        <v>2584.8965491718081</v>
      </c>
      <c r="BE211" s="5">
        <f t="shared" si="390"/>
        <v>-3402.8140667531507</v>
      </c>
      <c r="BF211" s="4">
        <f t="shared" si="391"/>
        <v>-910.87731130308839</v>
      </c>
      <c r="BG211" s="36">
        <f t="shared" si="392"/>
        <v>2806.5276698112903</v>
      </c>
      <c r="BH211" s="5">
        <f t="shared" si="392"/>
        <v>-2657.0939391911652</v>
      </c>
      <c r="BI211" s="5">
        <f t="shared" si="392"/>
        <v>3388.1578068795552</v>
      </c>
      <c r="BJ211" s="5">
        <f t="shared" si="392"/>
        <v>-4508.9673145330944</v>
      </c>
      <c r="BK211" s="4">
        <f t="shared" si="393"/>
        <v>-971.37577703341412</v>
      </c>
    </row>
    <row r="212" spans="2:63" hidden="1" outlineLevel="1" x14ac:dyDescent="0.3">
      <c r="B212" s="714" t="s">
        <v>168</v>
      </c>
      <c r="C212" s="715"/>
      <c r="D212" s="1">
        <v>0</v>
      </c>
      <c r="E212" s="5">
        <v>-47</v>
      </c>
      <c r="F212" s="5">
        <f>-1256-E212-D212</f>
        <v>-1209</v>
      </c>
      <c r="G212" s="37">
        <f>-2718-F212-E212-D212</f>
        <v>-1462</v>
      </c>
      <c r="H212" s="4">
        <f t="shared" si="355"/>
        <v>-2718</v>
      </c>
      <c r="I212" s="36">
        <v>-433</v>
      </c>
      <c r="J212" s="5">
        <f>-883-I212</f>
        <v>-450</v>
      </c>
      <c r="K212" s="5">
        <f>-955-J212-I212</f>
        <v>-72</v>
      </c>
      <c r="L212" s="37">
        <f>-1934-K212-J212-I212</f>
        <v>-979</v>
      </c>
      <c r="M212" s="4">
        <f t="shared" si="377"/>
        <v>-1934</v>
      </c>
      <c r="N212" s="36">
        <v>-1206</v>
      </c>
      <c r="O212" s="5">
        <f>-379-N212</f>
        <v>827</v>
      </c>
      <c r="P212" s="5">
        <f>-293-O212-N212</f>
        <v>86</v>
      </c>
      <c r="Q212" s="37">
        <f>-1414-P212-O212-N212</f>
        <v>-1121</v>
      </c>
      <c r="R212" s="4">
        <f t="shared" si="378"/>
        <v>-1414</v>
      </c>
      <c r="S212" s="71">
        <v>-2174</v>
      </c>
      <c r="T212" s="72">
        <f>1510-S212</f>
        <v>3684</v>
      </c>
      <c r="U212" s="72">
        <f>3148-T212-S212</f>
        <v>1638</v>
      </c>
      <c r="V212" s="132">
        <f>223-U212-T212-S212</f>
        <v>-2925</v>
      </c>
      <c r="W212" s="133">
        <f t="shared" si="379"/>
        <v>223</v>
      </c>
      <c r="X212" s="71">
        <v>-3459</v>
      </c>
      <c r="Y212" s="72">
        <f>1419-X212</f>
        <v>4878</v>
      </c>
      <c r="Z212" s="72">
        <f>1486-Y212-X212</f>
        <v>67</v>
      </c>
      <c r="AA212" s="132">
        <f>-2220-Z212-Y212-X212</f>
        <v>-3706</v>
      </c>
      <c r="AB212" s="133">
        <f t="shared" si="380"/>
        <v>-2220</v>
      </c>
      <c r="AC212" s="71">
        <f>-(AC149-AB149)</f>
        <v>-3508</v>
      </c>
      <c r="AD212" s="72">
        <f>-(AD149-AC149)</f>
        <v>6008</v>
      </c>
      <c r="AE212" s="72">
        <f>222-AD212-AC212</f>
        <v>-2278</v>
      </c>
      <c r="AF212" s="72">
        <f>-3735-AE212-AD212-AC212</f>
        <v>-3957</v>
      </c>
      <c r="AG212" s="133">
        <f t="shared" si="385"/>
        <v>-3735</v>
      </c>
      <c r="AH212" s="71">
        <v>1826</v>
      </c>
      <c r="AI212" s="72">
        <f>5899-AH212</f>
        <v>4073</v>
      </c>
      <c r="AJ212" s="72">
        <f>6166-AI212-AH212</f>
        <v>267</v>
      </c>
      <c r="AK212" s="72">
        <f>-51-AJ212-AI212-AH212</f>
        <v>-6217</v>
      </c>
      <c r="AL212" s="133">
        <f t="shared" si="381"/>
        <v>-51</v>
      </c>
      <c r="AM212" s="71">
        <v>-375</v>
      </c>
      <c r="AN212" s="5">
        <f>4512-AM212</f>
        <v>4887</v>
      </c>
      <c r="AO212" s="72">
        <f>-(AO149-AN149)</f>
        <v>210.47860251393649</v>
      </c>
      <c r="AP212" s="72">
        <f>-(AP149-AO149)</f>
        <v>-7774.3624923999778</v>
      </c>
      <c r="AQ212" s="133">
        <f t="shared" si="387"/>
        <v>-3051.8838898860413</v>
      </c>
      <c r="AR212" s="71">
        <f>-(AR149-AQ149)</f>
        <v>-54.147545094834641</v>
      </c>
      <c r="AS212" s="72">
        <f>-(AS149-AR149)</f>
        <v>3728.5950800981191</v>
      </c>
      <c r="AT212" s="72">
        <f>-(AT149-AS149)</f>
        <v>2595.8028289272443</v>
      </c>
      <c r="AU212" s="72">
        <f>-(AU149-AT149)</f>
        <v>-10417.332947584571</v>
      </c>
      <c r="AV212" s="133">
        <f t="shared" si="382"/>
        <v>-4147.0825836540425</v>
      </c>
      <c r="AW212" s="71">
        <f>-(AW149-AV149)</f>
        <v>2926.3865959010582</v>
      </c>
      <c r="AX212" s="72">
        <f>-(AX149-AW149)</f>
        <v>4470.4814297981902</v>
      </c>
      <c r="AY212" s="72">
        <f>-(AY149-AX149)</f>
        <v>2748.7510570844643</v>
      </c>
      <c r="AZ212" s="72">
        <f>-(AZ149-AY149)</f>
        <v>-14301.318962568505</v>
      </c>
      <c r="BA212" s="4">
        <f t="shared" si="383"/>
        <v>-4155.6998797847918</v>
      </c>
      <c r="BB212" s="71">
        <f>-(BB149-BA149)</f>
        <v>6343.4222588333214</v>
      </c>
      <c r="BC212" s="72">
        <f>-(BC149-BB149)</f>
        <v>5438.4333145778728</v>
      </c>
      <c r="BD212" s="72">
        <f>-(BD149-BC149)</f>
        <v>854.61615123324736</v>
      </c>
      <c r="BE212" s="72">
        <f>-(BE149-BD149)</f>
        <v>-16667.722516103073</v>
      </c>
      <c r="BF212" s="4">
        <f t="shared" si="391"/>
        <v>-4031.2507914586313</v>
      </c>
      <c r="BG212" s="71">
        <f>-(BG149-BF149)</f>
        <v>10095.662658341498</v>
      </c>
      <c r="BH212" s="72">
        <f>-(BH149-BG149)</f>
        <v>3892.9158822134268</v>
      </c>
      <c r="BI212" s="72">
        <f>-(BI149-BH149)</f>
        <v>2463.9684802203556</v>
      </c>
      <c r="BJ212" s="72">
        <f>-(BJ149-BI149)</f>
        <v>-20829.164969926966</v>
      </c>
      <c r="BK212" s="4">
        <f t="shared" si="393"/>
        <v>-4376.617949151685</v>
      </c>
    </row>
    <row r="213" spans="2:63" hidden="1" outlineLevel="1" x14ac:dyDescent="0.3">
      <c r="B213" s="714" t="s">
        <v>193</v>
      </c>
      <c r="C213" s="715"/>
      <c r="D213" s="36">
        <f>-517+47</f>
        <v>-470</v>
      </c>
      <c r="E213" s="5">
        <f>-619-D213-47</f>
        <v>-196</v>
      </c>
      <c r="F213" s="5">
        <f>-1001-E213-D213</f>
        <v>-335</v>
      </c>
      <c r="G213" s="37">
        <f>-1610-F213-E213-D213</f>
        <v>-609</v>
      </c>
      <c r="H213" s="4">
        <f t="shared" si="355"/>
        <v>-1610</v>
      </c>
      <c r="I213" s="36">
        <v>-558</v>
      </c>
      <c r="J213" s="5">
        <f>-1886-I213</f>
        <v>-1328</v>
      </c>
      <c r="K213" s="5">
        <f>-1551-J213-I213</f>
        <v>335</v>
      </c>
      <c r="L213" s="37">
        <f>-1391-K213-J213-I213</f>
        <v>160</v>
      </c>
      <c r="M213" s="4">
        <f t="shared" si="377"/>
        <v>-1391</v>
      </c>
      <c r="N213" s="36">
        <v>-962</v>
      </c>
      <c r="O213" s="5">
        <f>-1510-N213</f>
        <v>-548</v>
      </c>
      <c r="P213" s="5">
        <f>-3238-O213-N213</f>
        <v>-1728</v>
      </c>
      <c r="Q213" s="37">
        <f>-3162-P213-O213-N213</f>
        <v>76</v>
      </c>
      <c r="R213" s="4">
        <f t="shared" si="378"/>
        <v>-3162</v>
      </c>
      <c r="S213" s="71">
        <v>413</v>
      </c>
      <c r="T213" s="72">
        <f>1269-S213</f>
        <v>856</v>
      </c>
      <c r="U213" s="72">
        <f>484-T213-S213</f>
        <v>-785</v>
      </c>
      <c r="V213" s="132">
        <f>1080-U213-T213-S213</f>
        <v>596</v>
      </c>
      <c r="W213" s="133">
        <f t="shared" si="379"/>
        <v>1080</v>
      </c>
      <c r="X213" s="71">
        <v>-319</v>
      </c>
      <c r="Y213" s="72">
        <f>14-X213</f>
        <v>333</v>
      </c>
      <c r="Z213" s="72">
        <f>931-Y213-X213</f>
        <v>917</v>
      </c>
      <c r="AA213" s="132">
        <f>167-Z213-Y213-X213</f>
        <v>-764</v>
      </c>
      <c r="AB213" s="133">
        <f t="shared" si="380"/>
        <v>167</v>
      </c>
      <c r="AC213" s="71">
        <v>-1648</v>
      </c>
      <c r="AD213" s="72">
        <f>2448-AC213</f>
        <v>4096</v>
      </c>
      <c r="AE213" s="72">
        <f>2286-AD213-AC213</f>
        <v>-162</v>
      </c>
      <c r="AF213" s="72">
        <f>-179-AE213-AD213-AC213</f>
        <v>-2465</v>
      </c>
      <c r="AG213" s="133">
        <f t="shared" si="385"/>
        <v>-179</v>
      </c>
      <c r="AH213" s="71">
        <v>-893</v>
      </c>
      <c r="AI213" s="72">
        <f>300-AH213</f>
        <v>1193</v>
      </c>
      <c r="AJ213" s="72">
        <f>1143-AI213-AH213</f>
        <v>843</v>
      </c>
      <c r="AK213" s="72">
        <f>1090-AJ213-AI213-AH213</f>
        <v>-53</v>
      </c>
      <c r="AL213" s="133">
        <f t="shared" si="381"/>
        <v>1090</v>
      </c>
      <c r="AM213" s="71">
        <v>-1446</v>
      </c>
      <c r="AN213" s="5">
        <f>-896-AM213</f>
        <v>550</v>
      </c>
      <c r="AO213" s="72">
        <f>-(AO148-AN148)-(AO150-AN150)-(AO156-AN156)</f>
        <v>-1147.8078401639477</v>
      </c>
      <c r="AP213" s="72">
        <f>-(AP148-AO148)-(AP150-AO150)-(AP156-AO156)</f>
        <v>2301.3639749750646</v>
      </c>
      <c r="AQ213" s="133">
        <f t="shared" si="387"/>
        <v>257.55613481111686</v>
      </c>
      <c r="AR213" s="71">
        <f>-(AR148-AQ148)-(AR150-AQ150)-(AR156-AQ156)</f>
        <v>-3021.0081451115148</v>
      </c>
      <c r="AS213" s="72">
        <f>-(AS148-AR148)-(AS150-AR150)-(AS156-AR156)</f>
        <v>762.93908458536862</v>
      </c>
      <c r="AT213" s="72">
        <f>-(AT148-AS148)-(AT150-AS150)-(AT156-AS156)</f>
        <v>-1262.7455905513934</v>
      </c>
      <c r="AU213" s="72">
        <f>-(AU148-AT148)-(AU150-AT150)-(AU156-AT156)</f>
        <v>2685.1640774273646</v>
      </c>
      <c r="AV213" s="133">
        <f t="shared" si="382"/>
        <v>-835.65057365017492</v>
      </c>
      <c r="AW213" s="71">
        <f>-(AW148-AV148)-(AW150-AV150)-(AW156-AV156)</f>
        <v>-3550.906843459531</v>
      </c>
      <c r="AX213" s="72">
        <f>-(AX148-AW148)-(AX150-AW150)-(AX156-AW156)</f>
        <v>871.48033250440949</v>
      </c>
      <c r="AY213" s="72">
        <f>-(AY148-AX148)-(AY150-AX150)-(AY156-AX156)</f>
        <v>-1391.185320256558</v>
      </c>
      <c r="AZ213" s="72">
        <f>-(AZ148-AY148)-(AZ150-AY150)-(AZ156-AY156)</f>
        <v>3109.6329454177139</v>
      </c>
      <c r="BA213" s="4">
        <f t="shared" si="383"/>
        <v>-960.97888579396567</v>
      </c>
      <c r="BB213" s="71">
        <f>-(BB148-BA148)-(BB150-BA150)-(BB156-BA156)</f>
        <v>-4136.5043023070411</v>
      </c>
      <c r="BC213" s="72">
        <f>-(BC148-BB148)-(BC150-BB150)-(BC156-BB156)</f>
        <v>991.84630712494436</v>
      </c>
      <c r="BD213" s="72">
        <f>-(BD148-BC148)-(BD150-BC150)-(BD156-BC156)</f>
        <v>-1534.6557439368125</v>
      </c>
      <c r="BE213" s="72">
        <f>-(BE148-BD148)-(BE150-BD150)-(BE156-BD156)</f>
        <v>3579.4836112345301</v>
      </c>
      <c r="BF213" s="4">
        <f t="shared" si="391"/>
        <v>-1099.8301278843792</v>
      </c>
      <c r="BG213" s="71">
        <f>-(BG148-BF148)-(BG150-BF150)-(BG156-BF156)</f>
        <v>-4784.2676330395134</v>
      </c>
      <c r="BH213" s="72">
        <f>-(BH148-BG148)-(BH150-BG150)-(BH156-BG156)</f>
        <v>1125.3985544492634</v>
      </c>
      <c r="BI213" s="72">
        <f>-(BI148-BH148)-(BI150-BH150)-(BI156-BH156)</f>
        <v>-1694.8600687931821</v>
      </c>
      <c r="BJ213" s="72">
        <f>-(BJ148-BI148)-(BJ150-BI150)-(BJ156-BI156)</f>
        <v>4099.9643054110966</v>
      </c>
      <c r="BK213" s="4">
        <f t="shared" si="393"/>
        <v>-1253.7648419723355</v>
      </c>
    </row>
    <row r="214" spans="2:63" hidden="1" outlineLevel="1" x14ac:dyDescent="0.3">
      <c r="B214" s="714" t="s">
        <v>157</v>
      </c>
      <c r="C214" s="715"/>
      <c r="D214" s="36">
        <v>956</v>
      </c>
      <c r="E214" s="5">
        <f>-18-D214</f>
        <v>-974</v>
      </c>
      <c r="F214" s="5">
        <f>2812-E214-D214</f>
        <v>2830</v>
      </c>
      <c r="G214" s="37">
        <f>6307-F214-E214-D214</f>
        <v>3495</v>
      </c>
      <c r="H214" s="4">
        <f t="shared" si="355"/>
        <v>6307</v>
      </c>
      <c r="I214" s="36">
        <v>2346</v>
      </c>
      <c r="J214" s="5">
        <f>1626-I214</f>
        <v>-720</v>
      </c>
      <c r="K214" s="5">
        <f>2480-J214-I214</f>
        <v>854</v>
      </c>
      <c r="L214" s="37">
        <f>2515-K214-J214-I214</f>
        <v>35</v>
      </c>
      <c r="M214" s="4">
        <f t="shared" si="377"/>
        <v>2515</v>
      </c>
      <c r="N214" s="36">
        <v>4314</v>
      </c>
      <c r="O214" s="5">
        <f>2809-N214</f>
        <v>-1505</v>
      </c>
      <c r="P214" s="5">
        <f>2450-O214-N214</f>
        <v>-359</v>
      </c>
      <c r="Q214" s="37">
        <f>4467-P214-O214-N214</f>
        <v>2017</v>
      </c>
      <c r="R214" s="4">
        <f t="shared" si="378"/>
        <v>4467</v>
      </c>
      <c r="S214" s="71">
        <v>6145</v>
      </c>
      <c r="T214" s="72">
        <f>-4422-S214</f>
        <v>-10567</v>
      </c>
      <c r="U214" s="72">
        <f>-4740-T214-S214</f>
        <v>-318</v>
      </c>
      <c r="V214" s="132">
        <f>2340-U214-T214-S214</f>
        <v>7080</v>
      </c>
      <c r="W214" s="133">
        <f t="shared" si="379"/>
        <v>2340</v>
      </c>
      <c r="X214" s="71">
        <v>8191</v>
      </c>
      <c r="Y214" s="72">
        <f>-2375-X214</f>
        <v>-10566</v>
      </c>
      <c r="Z214" s="72">
        <f>-2531-Y214-X214</f>
        <v>-156</v>
      </c>
      <c r="AA214" s="132">
        <f>5938-Z214-Y214-X214</f>
        <v>8469</v>
      </c>
      <c r="AB214" s="133">
        <f t="shared" si="380"/>
        <v>5938</v>
      </c>
      <c r="AC214" s="71">
        <v>9003</v>
      </c>
      <c r="AD214" s="72">
        <f>-5428-AC214</f>
        <v>-14431</v>
      </c>
      <c r="AE214" s="72">
        <f>-3263-AD214-AC214</f>
        <v>2165</v>
      </c>
      <c r="AF214" s="72">
        <f>5400-AE214-AD214-AC214</f>
        <v>8663</v>
      </c>
      <c r="AG214" s="133">
        <f t="shared" si="385"/>
        <v>5400</v>
      </c>
      <c r="AH214" s="71">
        <v>-852</v>
      </c>
      <c r="AI214" s="72">
        <f>-9475-AH214</f>
        <v>-8623</v>
      </c>
      <c r="AJ214" s="72">
        <f>-9622-AI214-AH214</f>
        <v>-147</v>
      </c>
      <c r="AK214" s="72">
        <f>1791-AJ214-AI214-AH214</f>
        <v>11413</v>
      </c>
      <c r="AL214" s="133">
        <f t="shared" si="381"/>
        <v>1791</v>
      </c>
      <c r="AM214" s="71">
        <v>2460</v>
      </c>
      <c r="AN214" s="5">
        <f>-6862-AM214</f>
        <v>-9322</v>
      </c>
      <c r="AO214" s="72">
        <f>AO160-AN160</f>
        <v>2149.8668559790458</v>
      </c>
      <c r="AP214" s="72">
        <f>AP160-AO160</f>
        <v>13221.369162631512</v>
      </c>
      <c r="AQ214" s="133">
        <f t="shared" si="387"/>
        <v>8509.2360186105579</v>
      </c>
      <c r="AR214" s="71">
        <f>AR160-AQ160</f>
        <v>559.25514788803412</v>
      </c>
      <c r="AS214" s="72">
        <f>AS160-AR160</f>
        <v>-5699.3079938608862</v>
      </c>
      <c r="AT214" s="72">
        <f>AT160-AS160</f>
        <v>-3192.2147512448573</v>
      </c>
      <c r="AU214" s="72">
        <f>AU160-AT160</f>
        <v>16743.774521504078</v>
      </c>
      <c r="AV214" s="133">
        <f t="shared" si="382"/>
        <v>8411.5069242863683</v>
      </c>
      <c r="AW214" s="71">
        <f>AW160-AV160</f>
        <v>-5836.4994715189387</v>
      </c>
      <c r="AX214" s="72">
        <f>AX160-AW160</f>
        <v>-8421.9700519261824</v>
      </c>
      <c r="AY214" s="72">
        <f>AY160-AX160</f>
        <v>-2320.0918981442519</v>
      </c>
      <c r="AZ214" s="72">
        <f>AZ160-AY160</f>
        <v>25315.223147937912</v>
      </c>
      <c r="BA214" s="4">
        <f t="shared" si="383"/>
        <v>8736.6617263485387</v>
      </c>
      <c r="BB214" s="71">
        <f>BB160-BA160</f>
        <v>-14788.195868478957</v>
      </c>
      <c r="BC214" s="72">
        <f>BC160-BB160</f>
        <v>-9717.7001649270824</v>
      </c>
      <c r="BD214" s="72">
        <f>BD160-BC160</f>
        <v>2299.6887739618687</v>
      </c>
      <c r="BE214" s="72">
        <f>BE160-BD160</f>
        <v>30577.444693127334</v>
      </c>
      <c r="BF214" s="4">
        <f t="shared" si="391"/>
        <v>8371.2374336831635</v>
      </c>
      <c r="BG214" s="71">
        <f>BG160-BF160</f>
        <v>-25145.718261521033</v>
      </c>
      <c r="BH214" s="72">
        <f>BH160-BG160</f>
        <v>-3435.636471578342</v>
      </c>
      <c r="BI214" s="72">
        <f>BI160-BH160</f>
        <v>-3174.1721150061639</v>
      </c>
      <c r="BJ214" s="72">
        <f>BJ160-BI160</f>
        <v>40657.695043351952</v>
      </c>
      <c r="BK214" s="4">
        <f t="shared" si="393"/>
        <v>8902.1681952464132</v>
      </c>
    </row>
    <row r="215" spans="2:63" hidden="1" outlineLevel="1" x14ac:dyDescent="0.3">
      <c r="B215" s="714" t="s">
        <v>159</v>
      </c>
      <c r="C215" s="715"/>
      <c r="D215" s="36">
        <v>606</v>
      </c>
      <c r="E215" s="5">
        <f>577-D215</f>
        <v>-29</v>
      </c>
      <c r="F215" s="5">
        <f>806-E215-D215</f>
        <v>229</v>
      </c>
      <c r="G215" s="37">
        <f>1217-F215-E215-D215</f>
        <v>411</v>
      </c>
      <c r="H215" s="4">
        <f t="shared" si="355"/>
        <v>1217</v>
      </c>
      <c r="I215" s="36">
        <v>634</v>
      </c>
      <c r="J215" s="5">
        <f>698-I215</f>
        <v>64</v>
      </c>
      <c r="K215" s="5">
        <f>1276-J215-I215</f>
        <v>578</v>
      </c>
      <c r="L215" s="37">
        <f>1654-K215-J215-I215</f>
        <v>378</v>
      </c>
      <c r="M215" s="4">
        <f t="shared" si="377"/>
        <v>1654</v>
      </c>
      <c r="N215" s="36">
        <v>1296</v>
      </c>
      <c r="O215" s="5">
        <f>1916-N215</f>
        <v>620</v>
      </c>
      <c r="P215" s="5">
        <f>2575-O215-N215</f>
        <v>659</v>
      </c>
      <c r="Q215" s="37">
        <f>2824-P215-O215-N215</f>
        <v>249</v>
      </c>
      <c r="R215" s="4">
        <f t="shared" si="378"/>
        <v>2824</v>
      </c>
      <c r="S215" s="71">
        <v>1611</v>
      </c>
      <c r="T215" s="72">
        <f>1541-S215</f>
        <v>-70</v>
      </c>
      <c r="U215" s="72">
        <f>1404-T215-S215</f>
        <v>-137</v>
      </c>
      <c r="V215" s="132">
        <f>1459-U215-T215-S215</f>
        <v>55</v>
      </c>
      <c r="W215" s="133">
        <f t="shared" si="379"/>
        <v>1459</v>
      </c>
      <c r="X215" s="71">
        <v>1368</v>
      </c>
      <c r="Y215" s="72">
        <f>1414-X215</f>
        <v>46</v>
      </c>
      <c r="Z215" s="72">
        <f>1394-Y215-X215</f>
        <v>-20</v>
      </c>
      <c r="AA215" s="132">
        <f>1460-Z215-Y215-X215</f>
        <v>66</v>
      </c>
      <c r="AB215" s="133">
        <f t="shared" si="380"/>
        <v>1460</v>
      </c>
      <c r="AC215" s="71">
        <v>945</v>
      </c>
      <c r="AD215" s="72">
        <f>993-AC215</f>
        <v>48</v>
      </c>
      <c r="AE215" s="72">
        <f>1040-AD215-AC215</f>
        <v>47</v>
      </c>
      <c r="AF215" s="72">
        <f>1042-AE215-AD215-AC215</f>
        <v>2</v>
      </c>
      <c r="AG215" s="133">
        <f t="shared" si="385"/>
        <v>1042</v>
      </c>
      <c r="AH215" s="71">
        <v>-29</v>
      </c>
      <c r="AI215" s="72">
        <f>219-AH215</f>
        <v>248</v>
      </c>
      <c r="AJ215" s="72">
        <f>-1148-AI215-AH215</f>
        <v>-1367</v>
      </c>
      <c r="AK215" s="72">
        <f>-1554-AJ215-AI215-AH215</f>
        <v>-406</v>
      </c>
      <c r="AL215" s="133">
        <f t="shared" si="381"/>
        <v>-1554</v>
      </c>
      <c r="AM215" s="71">
        <v>42</v>
      </c>
      <c r="AN215" s="5">
        <f>-221-AM215</f>
        <v>-263</v>
      </c>
      <c r="AO215" s="72">
        <f>AO162-AN162</f>
        <v>237.02050000000054</v>
      </c>
      <c r="AP215" s="72">
        <f>AP162-AO162</f>
        <v>138.27250000000004</v>
      </c>
      <c r="AQ215" s="133">
        <f t="shared" si="387"/>
        <v>154.29300000000057</v>
      </c>
      <c r="AR215" s="71">
        <f>AR162-AQ162</f>
        <v>198.58699999999862</v>
      </c>
      <c r="AS215" s="72">
        <f>AS162-AR162</f>
        <v>261.28000000000065</v>
      </c>
      <c r="AT215" s="72">
        <f>AT162-AS162</f>
        <v>237.46645247777815</v>
      </c>
      <c r="AU215" s="72">
        <f>AU162-AT162</f>
        <v>136.81004752222179</v>
      </c>
      <c r="AV215" s="133">
        <f t="shared" si="382"/>
        <v>834.14349999999922</v>
      </c>
      <c r="AW215" s="71">
        <f>AW162-AV162</f>
        <v>52.988252299333908</v>
      </c>
      <c r="AX215" s="72">
        <f>AX162-AW162</f>
        <v>-172.22592764480214</v>
      </c>
      <c r="AY215" s="72">
        <f>AY162-AX162</f>
        <v>-162.3726731518309</v>
      </c>
      <c r="AZ215" s="72">
        <f>AZ162-AY162</f>
        <v>21.436274738038264</v>
      </c>
      <c r="BA215" s="4">
        <f t="shared" si="383"/>
        <v>-260.17407375926086</v>
      </c>
      <c r="BB215" s="71">
        <f>BB162-BA162</f>
        <v>-8.253652688488728</v>
      </c>
      <c r="BC215" s="72">
        <f>BC162-BB162</f>
        <v>-204.92899741466681</v>
      </c>
      <c r="BD215" s="72">
        <f>BD162-BC162</f>
        <v>-116.16421790605818</v>
      </c>
      <c r="BE215" s="72">
        <f>BE162-BD162</f>
        <v>28.778969505536224</v>
      </c>
      <c r="BF215" s="4">
        <f t="shared" si="391"/>
        <v>-300.5678985036775</v>
      </c>
      <c r="BG215" s="71">
        <f>BG162-BF162</f>
        <v>-129.17943056146396</v>
      </c>
      <c r="BH215" s="72">
        <f>BH162-BG162</f>
        <v>-118.94125282530877</v>
      </c>
      <c r="BI215" s="72">
        <f>BI162-BH162</f>
        <v>-80.124841306596863</v>
      </c>
      <c r="BJ215" s="72">
        <f>BJ162-BI162</f>
        <v>-40.372431794924523</v>
      </c>
      <c r="BK215" s="4">
        <f t="shared" si="393"/>
        <v>-368.61795648829411</v>
      </c>
    </row>
    <row r="216" spans="2:63" ht="16.2" hidden="1" outlineLevel="1" x14ac:dyDescent="0.45">
      <c r="B216" s="714" t="s">
        <v>169</v>
      </c>
      <c r="C216" s="715"/>
      <c r="D216" s="34">
        <v>316</v>
      </c>
      <c r="E216" s="8">
        <f>-287-D216</f>
        <v>-603</v>
      </c>
      <c r="F216" s="8">
        <f>-239-E216-D216</f>
        <v>48</v>
      </c>
      <c r="G216" s="35">
        <f>778-F216-E216-D216</f>
        <v>1017</v>
      </c>
      <c r="H216" s="7">
        <f t="shared" si="355"/>
        <v>778</v>
      </c>
      <c r="I216" s="34">
        <v>653</v>
      </c>
      <c r="J216" s="8">
        <f>1674-I216</f>
        <v>1021</v>
      </c>
      <c r="K216" s="8">
        <f>2608-J216-I216</f>
        <v>934</v>
      </c>
      <c r="L216" s="35">
        <f>4495-K216-J216-I216</f>
        <v>1887</v>
      </c>
      <c r="M216" s="7">
        <f t="shared" si="377"/>
        <v>4495</v>
      </c>
      <c r="N216" s="34">
        <v>2472</v>
      </c>
      <c r="O216" s="8">
        <f>778-N216</f>
        <v>-1694</v>
      </c>
      <c r="P216" s="8">
        <f>1686-O216-N216</f>
        <v>908</v>
      </c>
      <c r="Q216" s="35">
        <f>2552-P216-O216-N216</f>
        <v>866</v>
      </c>
      <c r="R216" s="7">
        <f t="shared" si="378"/>
        <v>2552</v>
      </c>
      <c r="S216" s="247">
        <v>2373</v>
      </c>
      <c r="T216" s="248">
        <f>3658-S216</f>
        <v>1285</v>
      </c>
      <c r="U216" s="248">
        <f>3556-T216-S216</f>
        <v>-102</v>
      </c>
      <c r="V216" s="249">
        <f>4521-U216-T216-S216</f>
        <v>965</v>
      </c>
      <c r="W216" s="250">
        <f t="shared" si="379"/>
        <v>4521</v>
      </c>
      <c r="X216" s="247">
        <v>1195</v>
      </c>
      <c r="Y216" s="248">
        <f>1638-X216</f>
        <v>443</v>
      </c>
      <c r="Z216" s="248">
        <f>424-Y216-X216</f>
        <v>-1214</v>
      </c>
      <c r="AA216" s="249">
        <f>6010-Z216-Y216-X216</f>
        <v>5586</v>
      </c>
      <c r="AB216" s="250">
        <f t="shared" si="380"/>
        <v>6010</v>
      </c>
      <c r="AC216" s="247">
        <v>4667</v>
      </c>
      <c r="AD216" s="248">
        <f>5679-AC216</f>
        <v>1012</v>
      </c>
      <c r="AE216" s="248">
        <f>4448-AD216-AC216</f>
        <v>-1231</v>
      </c>
      <c r="AF216" s="248">
        <f>8746-AE216-AD216-AC216</f>
        <v>4298</v>
      </c>
      <c r="AG216" s="250">
        <f t="shared" si="385"/>
        <v>8746</v>
      </c>
      <c r="AH216" s="247">
        <v>-368</v>
      </c>
      <c r="AI216" s="248">
        <f>-2093-AH216</f>
        <v>-1725</v>
      </c>
      <c r="AJ216" s="248">
        <f>-5495-AI216-AH216</f>
        <v>-3402</v>
      </c>
      <c r="AK216" s="248">
        <f>-2104-AJ216-AI216-AH216</f>
        <v>3391</v>
      </c>
      <c r="AL216" s="250">
        <f t="shared" si="381"/>
        <v>-2104</v>
      </c>
      <c r="AM216" s="247">
        <v>1946</v>
      </c>
      <c r="AN216" s="8">
        <f>316-AM216</f>
        <v>-1630</v>
      </c>
      <c r="AO216" s="248">
        <f>(AO161-AN161)+(AO167-AN167)</f>
        <v>-379.60307923365326</v>
      </c>
      <c r="AP216" s="248">
        <f>(AP161-AO161)+(AP167-AO167)</f>
        <v>1786.3648695541888</v>
      </c>
      <c r="AQ216" s="250">
        <f t="shared" si="387"/>
        <v>1722.7617903205355</v>
      </c>
      <c r="AR216" s="247">
        <f>(AR161-AQ161)+(AR167-AQ167)</f>
        <v>3833.5023380971797</v>
      </c>
      <c r="AS216" s="248">
        <f>(AS161-AR161)+(AS167-AR167)</f>
        <v>1189.1124893317574</v>
      </c>
      <c r="AT216" s="248">
        <f>(AT161-AS161)+(AT167-AS167)</f>
        <v>-37.219354875196586</v>
      </c>
      <c r="AU216" s="248">
        <f>(AU161-AT161)+(AU167-AT167)</f>
        <v>1877.5437773664707</v>
      </c>
      <c r="AV216" s="250">
        <f t="shared" si="382"/>
        <v>6862.9392499202113</v>
      </c>
      <c r="AW216" s="247">
        <f>(AW161-AV161)+(AW167-AV167)</f>
        <v>4178.2176356987184</v>
      </c>
      <c r="AX216" s="248">
        <f>(AX161-AW161)+(AX167-AW167)</f>
        <v>1495.2978933843733</v>
      </c>
      <c r="AY216" s="248">
        <f>(AY161-AX161)+(AY167-AX167)</f>
        <v>359.94715347868987</v>
      </c>
      <c r="AZ216" s="248">
        <f>(AZ161-AY161)+(AZ167-AY167)</f>
        <v>1984.8211455292549</v>
      </c>
      <c r="BA216" s="7">
        <f t="shared" si="383"/>
        <v>8018.2838280910364</v>
      </c>
      <c r="BB216" s="247">
        <f>(BB161-BA161)+(BB167-BA167)</f>
        <v>4581.4602163463387</v>
      </c>
      <c r="BC216" s="248">
        <f>(BC161-BB161)+(BC167-BB167)</f>
        <v>1851.6966651274961</v>
      </c>
      <c r="BD216" s="248">
        <f>(BD161-BC161)+(BD167-BC167)</f>
        <v>820.98430420230579</v>
      </c>
      <c r="BE216" s="248">
        <f>(BE161-BD161)+(BE167-BD167)</f>
        <v>2110.859986043346</v>
      </c>
      <c r="BF216" s="7">
        <f t="shared" si="391"/>
        <v>9365.0011717194866</v>
      </c>
      <c r="BG216" s="247">
        <f>(BG161-BF161)+(BG167-BF167)</f>
        <v>5052.9222582286675</v>
      </c>
      <c r="BH216" s="248">
        <f>(BH161-BG161)+(BH167-BG167)</f>
        <v>2266.6325371403982</v>
      </c>
      <c r="BI216" s="248">
        <f>(BI161-BH161)+(BI167-BH167)</f>
        <v>1356.4859195494064</v>
      </c>
      <c r="BJ216" s="248">
        <f>(BJ161-BI161)+(BJ167-BI167)</f>
        <v>2258.7646393571013</v>
      </c>
      <c r="BK216" s="7">
        <f t="shared" si="393"/>
        <v>10934.805354275573</v>
      </c>
    </row>
    <row r="217" spans="2:63" hidden="1" outlineLevel="1" x14ac:dyDescent="0.3">
      <c r="B217" s="722" t="s">
        <v>31</v>
      </c>
      <c r="C217" s="723"/>
      <c r="D217" s="14">
        <f t="shared" ref="D217:AK217" si="394">D201+SUM(D204:D216)</f>
        <v>5781</v>
      </c>
      <c r="E217" s="10">
        <f t="shared" si="394"/>
        <v>2283</v>
      </c>
      <c r="F217" s="10">
        <f t="shared" si="394"/>
        <v>4848</v>
      </c>
      <c r="G217" s="15">
        <f t="shared" si="394"/>
        <v>5683</v>
      </c>
      <c r="H217" s="9">
        <f t="shared" si="394"/>
        <v>18595</v>
      </c>
      <c r="I217" s="14">
        <f t="shared" si="394"/>
        <v>9773</v>
      </c>
      <c r="J217" s="10">
        <f t="shared" si="394"/>
        <v>6219</v>
      </c>
      <c r="K217" s="10">
        <f t="shared" si="394"/>
        <v>11108</v>
      </c>
      <c r="L217" s="15">
        <f t="shared" si="394"/>
        <v>10429</v>
      </c>
      <c r="M217" s="9">
        <f t="shared" si="394"/>
        <v>37529</v>
      </c>
      <c r="N217" s="14">
        <f t="shared" si="394"/>
        <v>17554</v>
      </c>
      <c r="O217" s="10">
        <f t="shared" si="394"/>
        <v>13977</v>
      </c>
      <c r="P217" s="10">
        <f t="shared" si="394"/>
        <v>10189</v>
      </c>
      <c r="Q217" s="15">
        <f t="shared" si="394"/>
        <v>9136</v>
      </c>
      <c r="R217" s="9">
        <f t="shared" si="394"/>
        <v>50856</v>
      </c>
      <c r="S217" s="117">
        <f t="shared" si="394"/>
        <v>23426</v>
      </c>
      <c r="T217" s="115">
        <f t="shared" si="394"/>
        <v>12504</v>
      </c>
      <c r="U217" s="115">
        <f t="shared" si="394"/>
        <v>7828</v>
      </c>
      <c r="V217" s="134">
        <f t="shared" si="394"/>
        <v>9908</v>
      </c>
      <c r="W217" s="135">
        <f t="shared" si="394"/>
        <v>53666</v>
      </c>
      <c r="X217" s="117">
        <f t="shared" si="394"/>
        <v>22670</v>
      </c>
      <c r="Y217" s="115">
        <f t="shared" si="394"/>
        <v>13538</v>
      </c>
      <c r="Z217" s="115">
        <f t="shared" si="394"/>
        <v>10255</v>
      </c>
      <c r="AA217" s="134">
        <f t="shared" si="394"/>
        <v>13250</v>
      </c>
      <c r="AB217" s="135">
        <f t="shared" si="394"/>
        <v>59713</v>
      </c>
      <c r="AC217" s="117">
        <f t="shared" si="394"/>
        <v>33722</v>
      </c>
      <c r="AD217" s="115">
        <f t="shared" si="394"/>
        <v>19081</v>
      </c>
      <c r="AE217" s="115">
        <f t="shared" si="394"/>
        <v>14988</v>
      </c>
      <c r="AF217" s="115">
        <f t="shared" si="394"/>
        <v>13475</v>
      </c>
      <c r="AG217" s="135">
        <f t="shared" si="394"/>
        <v>81266</v>
      </c>
      <c r="AH217" s="117">
        <f t="shared" si="394"/>
        <v>27463</v>
      </c>
      <c r="AI217" s="115">
        <f t="shared" si="394"/>
        <v>11601</v>
      </c>
      <c r="AJ217" s="115">
        <f t="shared" si="394"/>
        <v>10634</v>
      </c>
      <c r="AK217" s="115">
        <f t="shared" si="394"/>
        <v>16126</v>
      </c>
      <c r="AL217" s="135">
        <f>AL201+SUM(AL204:AL216)</f>
        <v>65824</v>
      </c>
      <c r="AM217" s="117">
        <f t="shared" ref="AM217:BK217" si="395">AM201+SUM(AM204:AM216)</f>
        <v>27056</v>
      </c>
      <c r="AN217" s="115">
        <f t="shared" si="395"/>
        <v>12523</v>
      </c>
      <c r="AO217" s="115">
        <f t="shared" si="395"/>
        <v>12417.494292830794</v>
      </c>
      <c r="AP217" s="115">
        <f t="shared" si="395"/>
        <v>19678.560198990017</v>
      </c>
      <c r="AQ217" s="135">
        <f>AQ201+SUM(AQ204:AQ216)</f>
        <v>71675.054491820832</v>
      </c>
      <c r="AR217" s="117">
        <f t="shared" si="395"/>
        <v>24403.287826875319</v>
      </c>
      <c r="AS217" s="115">
        <f t="shared" si="395"/>
        <v>17295.820543437476</v>
      </c>
      <c r="AT217" s="115">
        <f t="shared" si="395"/>
        <v>12451.559320491007</v>
      </c>
      <c r="AU217" s="115">
        <f t="shared" si="395"/>
        <v>22172.486574782804</v>
      </c>
      <c r="AV217" s="135">
        <f t="shared" si="395"/>
        <v>76323.154265586578</v>
      </c>
      <c r="AW217" s="117">
        <f t="shared" si="395"/>
        <v>21772.071289467149</v>
      </c>
      <c r="AX217" s="115">
        <f t="shared" si="395"/>
        <v>16269.955961438613</v>
      </c>
      <c r="AY217" s="115">
        <f t="shared" si="395"/>
        <v>10773.414973190931</v>
      </c>
      <c r="AZ217" s="115">
        <f t="shared" si="395"/>
        <v>26037.504838423709</v>
      </c>
      <c r="BA217" s="9">
        <f t="shared" si="395"/>
        <v>74852.947062520368</v>
      </c>
      <c r="BB217" s="117">
        <f t="shared" si="395"/>
        <v>17978.223674674671</v>
      </c>
      <c r="BC217" s="115">
        <f t="shared" si="395"/>
        <v>16428.268204550564</v>
      </c>
      <c r="BD217" s="115">
        <f t="shared" si="395"/>
        <v>10799.479635664658</v>
      </c>
      <c r="BE217" s="115">
        <f t="shared" si="395"/>
        <v>29338.814500823966</v>
      </c>
      <c r="BF217" s="9">
        <f t="shared" si="395"/>
        <v>74544.786015713849</v>
      </c>
      <c r="BG217" s="117">
        <f t="shared" si="395"/>
        <v>12021.650282176068</v>
      </c>
      <c r="BH217" s="115">
        <f t="shared" si="395"/>
        <v>19075.047401415577</v>
      </c>
      <c r="BI217" s="115">
        <f t="shared" si="395"/>
        <v>8504.7683759941356</v>
      </c>
      <c r="BJ217" s="115">
        <f t="shared" si="395"/>
        <v>33531.388847308321</v>
      </c>
      <c r="BK217" s="9">
        <f t="shared" si="395"/>
        <v>73132.854906894092</v>
      </c>
    </row>
    <row r="218" spans="2:63" ht="12.75" hidden="1" customHeight="1" outlineLevel="1" x14ac:dyDescent="0.3">
      <c r="B218" s="739"/>
      <c r="C218" s="740"/>
      <c r="D218" s="36"/>
      <c r="E218" s="5"/>
      <c r="F218" s="5"/>
      <c r="G218" s="37"/>
      <c r="H218" s="4"/>
      <c r="I218" s="36"/>
      <c r="J218" s="5"/>
      <c r="K218" s="5"/>
      <c r="L218" s="37"/>
      <c r="M218" s="4"/>
      <c r="N218" s="36"/>
      <c r="O218" s="5"/>
      <c r="P218" s="5"/>
      <c r="Q218" s="37"/>
      <c r="R218" s="4"/>
      <c r="S218" s="71"/>
      <c r="T218" s="72"/>
      <c r="U218" s="72"/>
      <c r="V218" s="132"/>
      <c r="W218" s="133"/>
      <c r="X218" s="71"/>
      <c r="Y218" s="72"/>
      <c r="Z218" s="72"/>
      <c r="AA218" s="132"/>
      <c r="AB218" s="133"/>
      <c r="AC218" s="71"/>
      <c r="AD218" s="72"/>
      <c r="AE218" s="72"/>
      <c r="AF218" s="72"/>
      <c r="AG218" s="133"/>
      <c r="AH218" s="71"/>
      <c r="AI218" s="72"/>
      <c r="AJ218" s="72"/>
      <c r="AK218" s="72"/>
      <c r="AL218" s="133"/>
      <c r="AM218" s="71"/>
      <c r="AN218" s="72"/>
      <c r="AO218" s="72"/>
      <c r="AP218" s="72"/>
      <c r="AQ218" s="133"/>
      <c r="AR218" s="71"/>
      <c r="AS218" s="72"/>
      <c r="AT218" s="72"/>
      <c r="AU218" s="72"/>
      <c r="AV218" s="133"/>
      <c r="AW218" s="71"/>
      <c r="AX218" s="72"/>
      <c r="AY218" s="72"/>
      <c r="AZ218" s="72"/>
      <c r="BA218" s="4"/>
      <c r="BB218" s="71"/>
      <c r="BC218" s="72"/>
      <c r="BD218" s="72"/>
      <c r="BE218" s="72"/>
      <c r="BF218" s="4"/>
      <c r="BG218" s="71"/>
      <c r="BH218" s="72"/>
      <c r="BI218" s="72"/>
      <c r="BJ218" s="72"/>
      <c r="BK218" s="4"/>
    </row>
    <row r="219" spans="2:63" hidden="1" outlineLevel="1" x14ac:dyDescent="0.3">
      <c r="B219" s="729" t="s">
        <v>32</v>
      </c>
      <c r="C219" s="738"/>
      <c r="D219" s="36"/>
      <c r="E219" s="5"/>
      <c r="F219" s="5"/>
      <c r="G219" s="37"/>
      <c r="H219" s="4"/>
      <c r="I219" s="36"/>
      <c r="J219" s="5"/>
      <c r="K219" s="5"/>
      <c r="L219" s="37"/>
      <c r="M219" s="4"/>
      <c r="N219" s="36"/>
      <c r="O219" s="5"/>
      <c r="P219" s="5"/>
      <c r="Q219" s="37"/>
      <c r="R219" s="4"/>
      <c r="S219" s="71"/>
      <c r="T219" s="72"/>
      <c r="U219" s="72"/>
      <c r="V219" s="132"/>
      <c r="W219" s="133"/>
      <c r="X219" s="71"/>
      <c r="Y219" s="72"/>
      <c r="Z219" s="72"/>
      <c r="AA219" s="132"/>
      <c r="AB219" s="133"/>
      <c r="AC219" s="71"/>
      <c r="AD219" s="72"/>
      <c r="AE219" s="72"/>
      <c r="AF219" s="72"/>
      <c r="AG219" s="133"/>
      <c r="AH219" s="71"/>
      <c r="AI219" s="72"/>
      <c r="AJ219" s="72"/>
      <c r="AK219" s="72"/>
      <c r="AL219" s="133"/>
      <c r="AM219" s="71"/>
      <c r="AN219" s="72"/>
      <c r="AO219" s="72"/>
      <c r="AP219" s="72"/>
      <c r="AQ219" s="133"/>
      <c r="AR219" s="71"/>
      <c r="AS219" s="72"/>
      <c r="AT219" s="72"/>
      <c r="AU219" s="72"/>
      <c r="AV219" s="133"/>
      <c r="AW219" s="71"/>
      <c r="AX219" s="72"/>
      <c r="AY219" s="72"/>
      <c r="AZ219" s="72"/>
      <c r="BA219" s="4"/>
      <c r="BB219" s="71"/>
      <c r="BC219" s="72"/>
      <c r="BD219" s="72"/>
      <c r="BE219" s="72"/>
      <c r="BF219" s="4"/>
      <c r="BG219" s="71"/>
      <c r="BH219" s="72"/>
      <c r="BI219" s="72"/>
      <c r="BJ219" s="72"/>
      <c r="BK219" s="4"/>
    </row>
    <row r="220" spans="2:63" hidden="1" outlineLevel="1" x14ac:dyDescent="0.3">
      <c r="B220" s="726" t="s">
        <v>170</v>
      </c>
      <c r="C220" s="728"/>
      <c r="D220" s="36">
        <v>-12922</v>
      </c>
      <c r="E220" s="5">
        <f>-25061-D220</f>
        <v>-12139</v>
      </c>
      <c r="F220" s="5">
        <f>-41318-E220-D220</f>
        <v>-16257</v>
      </c>
      <c r="G220" s="37">
        <f>-57793-F220-E220-D220</f>
        <v>-16475</v>
      </c>
      <c r="H220" s="4">
        <f t="shared" ref="H220:H226" si="396">SUM(D220:G220)</f>
        <v>-57793</v>
      </c>
      <c r="I220" s="36">
        <v>-19575</v>
      </c>
      <c r="J220" s="5">
        <f>-42260-I220</f>
        <v>-22685</v>
      </c>
      <c r="K220" s="5">
        <f>-75133-J220-I220</f>
        <v>-32873</v>
      </c>
      <c r="L220" s="37">
        <f>-102317-K220-J220-I220</f>
        <v>-27184</v>
      </c>
      <c r="M220" s="4">
        <f t="shared" ref="M220:M226" si="397">SUM(I220:L220)</f>
        <v>-102317</v>
      </c>
      <c r="N220" s="36">
        <v>-40175</v>
      </c>
      <c r="O220" s="5">
        <f>-85022-N220</f>
        <v>-44847</v>
      </c>
      <c r="P220" s="5">
        <f>-121091-O220-N220</f>
        <v>-36069</v>
      </c>
      <c r="Q220" s="37">
        <f>-151232-P220-O220-N220</f>
        <v>-30141</v>
      </c>
      <c r="R220" s="4">
        <f t="shared" ref="R220:R226" si="398">SUM(N220:Q220)</f>
        <v>-151232</v>
      </c>
      <c r="S220" s="71">
        <v>-37192</v>
      </c>
      <c r="T220" s="72">
        <f>-81163-S220</f>
        <v>-43971</v>
      </c>
      <c r="U220" s="72">
        <f>-122681-T220-S220</f>
        <v>-41518</v>
      </c>
      <c r="V220" s="132">
        <f>-148489-U220-T220-S220</f>
        <v>-25808</v>
      </c>
      <c r="W220" s="133">
        <f t="shared" ref="W220:W226" si="399">SUM(S220:V220)</f>
        <v>-148489</v>
      </c>
      <c r="X220" s="71">
        <v>-48397</v>
      </c>
      <c r="Y220" s="72">
        <f>-90360-X220</f>
        <v>-41963</v>
      </c>
      <c r="Z220" s="72">
        <f>-160662-Y220-X220</f>
        <v>-70302</v>
      </c>
      <c r="AA220" s="132">
        <f>-217128-Z220-Y220-X220</f>
        <v>-56466</v>
      </c>
      <c r="AB220" s="133">
        <f t="shared" ref="AB220:AB226" si="400">SUM(X220:AA220)</f>
        <v>-217128</v>
      </c>
      <c r="AC220" s="71">
        <v>-44915</v>
      </c>
      <c r="AD220" s="72">
        <f>-92523-AC220</f>
        <v>-47608</v>
      </c>
      <c r="AE220" s="72">
        <f>-137524-AD220-AC220</f>
        <v>-45001</v>
      </c>
      <c r="AF220" s="72">
        <f>-166402-AE220-AD220-AC220</f>
        <v>-28878</v>
      </c>
      <c r="AG220" s="133">
        <f t="shared" ref="AG220:AG226" si="401">SUM(AC220:AF220)</f>
        <v>-166402</v>
      </c>
      <c r="AH220" s="71">
        <v>-47836</v>
      </c>
      <c r="AI220" s="72">
        <f>-86242-AH220</f>
        <v>-38406</v>
      </c>
      <c r="AJ220" s="72">
        <f>-112068-AI220-AH220</f>
        <v>-25826</v>
      </c>
      <c r="AK220" s="72">
        <f>-142428-AJ220-AI220-AH220</f>
        <v>-30360</v>
      </c>
      <c r="AL220" s="133">
        <f t="shared" ref="AL220:AL226" si="402">SUM(AH220:AK220)</f>
        <v>-142428</v>
      </c>
      <c r="AM220" s="71">
        <v>-54272</v>
      </c>
      <c r="AN220" s="5">
        <f>-99821-AM220</f>
        <v>-45549</v>
      </c>
      <c r="AO220" s="72">
        <f>-(AO145-AN145)-(AO152-AN152)</f>
        <v>-2416.839999999982</v>
      </c>
      <c r="AP220" s="72">
        <f>-(AP145-AO145)-(AP152-AO152)</f>
        <v>-2441.0083999999988</v>
      </c>
      <c r="AQ220" s="133">
        <f t="shared" ref="AQ220:AQ226" si="403">SUM(AM220:AP220)</f>
        <v>-104678.84839999999</v>
      </c>
      <c r="AR220" s="71">
        <f>-(AR145-AQ145)-(AR152-AQ152)</f>
        <v>-14792.510904000032</v>
      </c>
      <c r="AS220" s="72">
        <f>-(AS145-AR145)-(AS152-AR152)</f>
        <v>-7840.0307791200248</v>
      </c>
      <c r="AT220" s="72">
        <f>-(AT145-AS145)-(AT152-AS152)</f>
        <v>-2691.7439008312067</v>
      </c>
      <c r="AU220" s="72">
        <f>-(AU145-AT145)-(AU152-AT152)</f>
        <v>-2718.6613398394911</v>
      </c>
      <c r="AV220" s="133">
        <f t="shared" ref="AV220:AV226" si="404">SUM(AR220:AU220)</f>
        <v>-28042.946923790754</v>
      </c>
      <c r="AW220" s="71">
        <f>-(AW145-AV145)-(AW152-AV152)</f>
        <v>-16475.08771942748</v>
      </c>
      <c r="AX220" s="72">
        <f>-(AX145-AW145)-(AX152-AW152)</f>
        <v>-8731.7964912965617</v>
      </c>
      <c r="AY220" s="72">
        <f>-(AY145-AX145)-(AY152-AX152)</f>
        <v>-2997.9167953451179</v>
      </c>
      <c r="AZ220" s="72">
        <f>-(AZ145-AY145)-(AZ152-AY152)</f>
        <v>-3027.8959632986662</v>
      </c>
      <c r="BA220" s="4">
        <f t="shared" ref="BA220:BA226" si="405">SUM(AW220:AZ220)</f>
        <v>-31232.696969367826</v>
      </c>
      <c r="BB220" s="71">
        <f>-(BB145-BA145)-(BB152-BA152)</f>
        <v>-18349.049537589541</v>
      </c>
      <c r="BC220" s="72">
        <f>-(BC145-BB145)-(BC152-BB152)</f>
        <v>-9724.9962549224292</v>
      </c>
      <c r="BD220" s="72">
        <f>-(BD145-BC145)-(BD152-BC152)</f>
        <v>-3338.9153808567207</v>
      </c>
      <c r="BE220" s="72">
        <f>-(BE145-BD145)-(BE152-BD152)</f>
        <v>-3372.3045346652652</v>
      </c>
      <c r="BF220" s="4">
        <f t="shared" ref="BF220:BF226" si="406">SUM(BB220:BE220)</f>
        <v>-34785.265708033956</v>
      </c>
      <c r="BG220" s="71">
        <f>-(BG145-BF145)-(BG152-BF152)</f>
        <v>-20436.165480071606</v>
      </c>
      <c r="BH220" s="72">
        <f>-(BH145-BG145)-(BH152-BG152)</f>
        <v>-10831.167704437976</v>
      </c>
      <c r="BI220" s="72">
        <f>-(BI145-BH145)-(BI152-BH152)</f>
        <v>-3718.7009118570422</v>
      </c>
      <c r="BJ220" s="72">
        <f>-(BJ145-BI145)-(BJ152-BI152)</f>
        <v>-3755.8879209755687</v>
      </c>
      <c r="BK220" s="4">
        <f t="shared" ref="BK220:BK226" si="407">SUM(BG220:BJ220)</f>
        <v>-38741.922017342193</v>
      </c>
    </row>
    <row r="221" spans="2:63" hidden="1" outlineLevel="1" x14ac:dyDescent="0.3">
      <c r="B221" s="714" t="s">
        <v>171</v>
      </c>
      <c r="C221" s="715"/>
      <c r="D221" s="36">
        <v>6216</v>
      </c>
      <c r="E221" s="5">
        <f>13331-D221</f>
        <v>7115</v>
      </c>
      <c r="F221" s="5">
        <f>19758-E221-D221</f>
        <v>6427</v>
      </c>
      <c r="G221" s="37">
        <f>24930-F221-E221-D221</f>
        <v>5172</v>
      </c>
      <c r="H221" s="4">
        <f t="shared" si="396"/>
        <v>24930</v>
      </c>
      <c r="I221" s="36">
        <v>3279</v>
      </c>
      <c r="J221" s="5">
        <f>10211-I221</f>
        <v>6932</v>
      </c>
      <c r="K221" s="5">
        <f>16396-J221-I221</f>
        <v>6185</v>
      </c>
      <c r="L221" s="37">
        <f>20437-K221-J221-I221</f>
        <v>4041</v>
      </c>
      <c r="M221" s="4">
        <f t="shared" si="397"/>
        <v>20437</v>
      </c>
      <c r="N221" s="36">
        <v>3038</v>
      </c>
      <c r="O221" s="5">
        <f>7702-N221</f>
        <v>4664</v>
      </c>
      <c r="P221" s="5">
        <f>10344-O221-N221</f>
        <v>2642</v>
      </c>
      <c r="Q221" s="37">
        <f>13035-P221-O221-N221</f>
        <v>2691</v>
      </c>
      <c r="R221" s="4">
        <f t="shared" si="398"/>
        <v>13035</v>
      </c>
      <c r="S221" s="71">
        <v>3460</v>
      </c>
      <c r="T221" s="72">
        <f>9243-S221</f>
        <v>5783</v>
      </c>
      <c r="U221" s="72">
        <f>13963-T221-S221</f>
        <v>4720</v>
      </c>
      <c r="V221" s="132">
        <f>20317-U221-T221-S221</f>
        <v>6354</v>
      </c>
      <c r="W221" s="133">
        <f t="shared" si="399"/>
        <v>20317</v>
      </c>
      <c r="X221" s="71">
        <v>5556</v>
      </c>
      <c r="Y221" s="72">
        <f>10869-X221</f>
        <v>5313</v>
      </c>
      <c r="Z221" s="72">
        <f>15111-Y221-X221</f>
        <v>4242</v>
      </c>
      <c r="AA221" s="132">
        <f>18810-Z221-Y221-X221</f>
        <v>3699</v>
      </c>
      <c r="AB221" s="133">
        <f t="shared" si="400"/>
        <v>18810</v>
      </c>
      <c r="AC221" s="71">
        <v>2807</v>
      </c>
      <c r="AD221" s="72">
        <f>5871-AC221</f>
        <v>3064</v>
      </c>
      <c r="AE221" s="72">
        <f>9916-AD221-AC221</f>
        <v>4045</v>
      </c>
      <c r="AF221" s="72">
        <f>14538-AE221-AD221-AC221</f>
        <v>4622</v>
      </c>
      <c r="AG221" s="133">
        <f t="shared" si="401"/>
        <v>14538</v>
      </c>
      <c r="AH221" s="71">
        <v>3514</v>
      </c>
      <c r="AI221" s="72">
        <f>9148-AH221</f>
        <v>5634</v>
      </c>
      <c r="AJ221" s="72">
        <f>14915-AI221-AH221</f>
        <v>5767</v>
      </c>
      <c r="AK221" s="72">
        <f>21258-AJ221-AI221-AH221</f>
        <v>6343</v>
      </c>
      <c r="AL221" s="133">
        <f t="shared" si="402"/>
        <v>21258</v>
      </c>
      <c r="AM221" s="71">
        <v>6525</v>
      </c>
      <c r="AN221" s="5">
        <f>12429-AM221</f>
        <v>5904</v>
      </c>
      <c r="AO221" s="72"/>
      <c r="AP221" s="72"/>
      <c r="AQ221" s="133">
        <f t="shared" si="403"/>
        <v>12429</v>
      </c>
      <c r="AR221" s="71"/>
      <c r="AS221" s="72"/>
      <c r="AT221" s="72"/>
      <c r="AU221" s="72"/>
      <c r="AV221" s="133">
        <f t="shared" si="404"/>
        <v>0</v>
      </c>
      <c r="AW221" s="71"/>
      <c r="AX221" s="72"/>
      <c r="AY221" s="72"/>
      <c r="AZ221" s="72"/>
      <c r="BA221" s="4">
        <f t="shared" si="405"/>
        <v>0</v>
      </c>
      <c r="BB221" s="71"/>
      <c r="BC221" s="72"/>
      <c r="BD221" s="72"/>
      <c r="BE221" s="72"/>
      <c r="BF221" s="4">
        <f t="shared" si="406"/>
        <v>0</v>
      </c>
      <c r="BG221" s="71"/>
      <c r="BH221" s="72"/>
      <c r="BI221" s="72"/>
      <c r="BJ221" s="72"/>
      <c r="BK221" s="4">
        <f t="shared" si="407"/>
        <v>0</v>
      </c>
    </row>
    <row r="222" spans="2:63" hidden="1" outlineLevel="1" x14ac:dyDescent="0.3">
      <c r="B222" s="714" t="s">
        <v>172</v>
      </c>
      <c r="C222" s="715"/>
      <c r="D222" s="36">
        <v>3199</v>
      </c>
      <c r="E222" s="5">
        <f>8686-D222</f>
        <v>5487</v>
      </c>
      <c r="F222" s="5">
        <f>14048-E222-D222</f>
        <v>5362</v>
      </c>
      <c r="G222" s="37">
        <f>21788-F222-E222-D222</f>
        <v>7740</v>
      </c>
      <c r="H222" s="4">
        <f t="shared" si="396"/>
        <v>21788</v>
      </c>
      <c r="I222" s="36">
        <v>6853</v>
      </c>
      <c r="J222" s="5">
        <f>21705-I222</f>
        <v>14852</v>
      </c>
      <c r="K222" s="5">
        <f>34301-J222-I222</f>
        <v>12596</v>
      </c>
      <c r="L222" s="37">
        <f>49416-K222-J222-I222</f>
        <v>15115</v>
      </c>
      <c r="M222" s="4">
        <f t="shared" si="397"/>
        <v>49416</v>
      </c>
      <c r="N222" s="36">
        <v>21472</v>
      </c>
      <c r="O222" s="5">
        <f>49052-N222</f>
        <v>27580</v>
      </c>
      <c r="P222" s="5">
        <f>73140-O222-N222</f>
        <v>24088</v>
      </c>
      <c r="Q222" s="37">
        <f>99770-P222-O222-N222</f>
        <v>26630</v>
      </c>
      <c r="R222" s="4">
        <f t="shared" si="398"/>
        <v>99770</v>
      </c>
      <c r="S222" s="71">
        <v>23002</v>
      </c>
      <c r="T222" s="72">
        <f>49188-S222</f>
        <v>26186</v>
      </c>
      <c r="U222" s="72">
        <f>81734-T222-S222</f>
        <v>32546</v>
      </c>
      <c r="V222" s="132">
        <f>104130-U222-T222-S222</f>
        <v>22396</v>
      </c>
      <c r="W222" s="133">
        <f t="shared" si="399"/>
        <v>104130</v>
      </c>
      <c r="X222" s="71">
        <v>30302</v>
      </c>
      <c r="Y222" s="72">
        <f>80241-X222</f>
        <v>49939</v>
      </c>
      <c r="Z222" s="72">
        <f>126827-Y222-X222</f>
        <v>46586</v>
      </c>
      <c r="AA222" s="132">
        <f>189301-Z222-Y222-X222</f>
        <v>62474</v>
      </c>
      <c r="AB222" s="133">
        <f t="shared" si="400"/>
        <v>189301</v>
      </c>
      <c r="AC222" s="71">
        <v>24166</v>
      </c>
      <c r="AD222" s="72">
        <f>48924-AC222</f>
        <v>24758</v>
      </c>
      <c r="AE222" s="72">
        <f>80635-AD222-AC222</f>
        <v>31711</v>
      </c>
      <c r="AF222" s="72">
        <f>107447-AE222-AD222-AC222</f>
        <v>26812</v>
      </c>
      <c r="AG222" s="133">
        <f t="shared" si="401"/>
        <v>107447</v>
      </c>
      <c r="AH222" s="71">
        <v>28262</v>
      </c>
      <c r="AI222" s="72">
        <f>50051-AH222</f>
        <v>21789</v>
      </c>
      <c r="AJ222" s="72">
        <f>69926-AI222-AH222</f>
        <v>19875</v>
      </c>
      <c r="AK222" s="72">
        <f>90536-AJ222-AI222-AH222</f>
        <v>20610</v>
      </c>
      <c r="AL222" s="133">
        <f t="shared" si="402"/>
        <v>90536</v>
      </c>
      <c r="AM222" s="71">
        <v>32166</v>
      </c>
      <c r="AN222" s="5">
        <f>60454-AM222</f>
        <v>28288</v>
      </c>
      <c r="AO222" s="72"/>
      <c r="AP222" s="72"/>
      <c r="AQ222" s="133">
        <f t="shared" si="403"/>
        <v>60454</v>
      </c>
      <c r="AR222" s="71"/>
      <c r="AS222" s="72"/>
      <c r="AT222" s="72"/>
      <c r="AU222" s="72"/>
      <c r="AV222" s="133">
        <f t="shared" si="404"/>
        <v>0</v>
      </c>
      <c r="AW222" s="71"/>
      <c r="AX222" s="72"/>
      <c r="AY222" s="72"/>
      <c r="AZ222" s="72"/>
      <c r="BA222" s="4">
        <f t="shared" si="405"/>
        <v>0</v>
      </c>
      <c r="BB222" s="71"/>
      <c r="BC222" s="72"/>
      <c r="BD222" s="72"/>
      <c r="BE222" s="72"/>
      <c r="BF222" s="4">
        <f t="shared" si="406"/>
        <v>0</v>
      </c>
      <c r="BG222" s="71"/>
      <c r="BH222" s="72"/>
      <c r="BI222" s="72"/>
      <c r="BJ222" s="72"/>
      <c r="BK222" s="4">
        <f t="shared" si="407"/>
        <v>0</v>
      </c>
    </row>
    <row r="223" spans="2:63" hidden="1" outlineLevel="1" x14ac:dyDescent="0.3">
      <c r="B223" s="714" t="s">
        <v>173</v>
      </c>
      <c r="C223" s="715"/>
      <c r="D223" s="36">
        <v>0</v>
      </c>
      <c r="E223" s="5">
        <v>-325</v>
      </c>
      <c r="F223" s="5">
        <f>-615-E223</f>
        <v>-290</v>
      </c>
      <c r="G223" s="37">
        <f>-638-F223-E223-D223</f>
        <v>-23</v>
      </c>
      <c r="H223" s="4">
        <f t="shared" si="396"/>
        <v>-638</v>
      </c>
      <c r="I223" s="36">
        <v>0</v>
      </c>
      <c r="J223" s="5">
        <v>0</v>
      </c>
      <c r="K223" s="5">
        <v>0</v>
      </c>
      <c r="L223" s="37">
        <v>-244</v>
      </c>
      <c r="M223" s="4">
        <f t="shared" si="397"/>
        <v>-244</v>
      </c>
      <c r="N223" s="36">
        <v>0</v>
      </c>
      <c r="O223" s="5">
        <v>-350</v>
      </c>
      <c r="P223" s="5">
        <f>-350-O223</f>
        <v>0</v>
      </c>
      <c r="Q223" s="37">
        <f>-350-P223-O223-N223</f>
        <v>0</v>
      </c>
      <c r="R223" s="4">
        <f t="shared" si="398"/>
        <v>-350</v>
      </c>
      <c r="S223" s="71">
        <v>-284</v>
      </c>
      <c r="T223" s="72">
        <f>-299-S223</f>
        <v>-15</v>
      </c>
      <c r="U223" s="72">
        <f>-443-T223-S223</f>
        <v>-144</v>
      </c>
      <c r="V223" s="132">
        <f>-496-U223-T223-S223</f>
        <v>-53</v>
      </c>
      <c r="W223" s="133">
        <f t="shared" si="399"/>
        <v>-496</v>
      </c>
      <c r="X223" s="71">
        <v>-525</v>
      </c>
      <c r="Y223" s="72">
        <f>-559-X223</f>
        <v>-34</v>
      </c>
      <c r="Z223" s="72">
        <f>-898-Y223-X223</f>
        <v>-339</v>
      </c>
      <c r="AA223" s="132">
        <f>-3765-Z223-Y223-X223</f>
        <v>-2867</v>
      </c>
      <c r="AB223" s="133">
        <f t="shared" si="400"/>
        <v>-3765</v>
      </c>
      <c r="AC223" s="71">
        <v>-23</v>
      </c>
      <c r="AD223" s="72">
        <f>-115-AC223</f>
        <v>-92</v>
      </c>
      <c r="AE223" s="72">
        <f>-230-AD223-AC223</f>
        <v>-115</v>
      </c>
      <c r="AF223" s="72">
        <f>-343-AE223-AD223-AC223</f>
        <v>-113</v>
      </c>
      <c r="AG223" s="133">
        <f t="shared" si="401"/>
        <v>-343</v>
      </c>
      <c r="AH223" s="71">
        <v>-86</v>
      </c>
      <c r="AI223" s="72">
        <f>-140-AH223</f>
        <v>-54</v>
      </c>
      <c r="AJ223" s="72">
        <f>-146-AI223-AH223</f>
        <v>-6</v>
      </c>
      <c r="AK223" s="132">
        <f>-297-AJ223-AI223-AH223</f>
        <v>-151</v>
      </c>
      <c r="AL223" s="133">
        <f t="shared" si="402"/>
        <v>-297</v>
      </c>
      <c r="AM223" s="71">
        <v>-17</v>
      </c>
      <c r="AN223" s="5">
        <f>-67-AM223</f>
        <v>-50</v>
      </c>
      <c r="AO223" s="72"/>
      <c r="AP223" s="132"/>
      <c r="AQ223" s="133">
        <f t="shared" si="403"/>
        <v>-67</v>
      </c>
      <c r="AR223" s="71"/>
      <c r="AS223" s="72"/>
      <c r="AT223" s="72"/>
      <c r="AU223" s="132"/>
      <c r="AV223" s="133">
        <f t="shared" si="404"/>
        <v>0</v>
      </c>
      <c r="AW223" s="71"/>
      <c r="AX223" s="72"/>
      <c r="AY223" s="72"/>
      <c r="AZ223" s="132"/>
      <c r="BA223" s="4">
        <f t="shared" si="405"/>
        <v>0</v>
      </c>
      <c r="BB223" s="71"/>
      <c r="BC223" s="72"/>
      <c r="BD223" s="72"/>
      <c r="BE223" s="132"/>
      <c r="BF223" s="4">
        <f t="shared" si="406"/>
        <v>0</v>
      </c>
      <c r="BG223" s="71"/>
      <c r="BH223" s="72"/>
      <c r="BI223" s="72"/>
      <c r="BJ223" s="132"/>
      <c r="BK223" s="4">
        <f t="shared" si="407"/>
        <v>0</v>
      </c>
    </row>
    <row r="224" spans="2:63" hidden="1" outlineLevel="1" x14ac:dyDescent="0.3">
      <c r="B224" s="714" t="s">
        <v>604</v>
      </c>
      <c r="C224" s="715"/>
      <c r="D224" s="36">
        <v>-376</v>
      </c>
      <c r="E224" s="5">
        <f>-650-D224</f>
        <v>-274</v>
      </c>
      <c r="F224" s="5">
        <f>-1245-E224-D224</f>
        <v>-595</v>
      </c>
      <c r="G224" s="37">
        <f>-2005-F224-E224-D224</f>
        <v>-760</v>
      </c>
      <c r="H224" s="4">
        <f t="shared" si="396"/>
        <v>-2005</v>
      </c>
      <c r="I224" s="36">
        <v>-1214</v>
      </c>
      <c r="J224" s="5">
        <f>-1838-I224</f>
        <v>-624</v>
      </c>
      <c r="K224" s="5">
        <f>-2615-J224-I224</f>
        <v>-777</v>
      </c>
      <c r="L224" s="37">
        <f>-4260-K224-J224-I224</f>
        <v>-1645</v>
      </c>
      <c r="M224" s="4">
        <f t="shared" si="397"/>
        <v>-4260</v>
      </c>
      <c r="N224" s="36">
        <v>-1321</v>
      </c>
      <c r="O224" s="5">
        <f>-2778-N224</f>
        <v>-1457</v>
      </c>
      <c r="P224" s="5">
        <f>-4834-O224-N224</f>
        <v>-2056</v>
      </c>
      <c r="Q224" s="37">
        <f>-8295-P224-O224-N224</f>
        <v>-3461</v>
      </c>
      <c r="R224" s="4">
        <f t="shared" si="398"/>
        <v>-8295</v>
      </c>
      <c r="S224" s="71">
        <v>-2317</v>
      </c>
      <c r="T224" s="72">
        <f>-4325-S224</f>
        <v>-2008</v>
      </c>
      <c r="U224" s="72">
        <f>-6210-T224-S224</f>
        <v>-1885</v>
      </c>
      <c r="V224" s="132">
        <f>-8165-U224-T224-S224</f>
        <v>-1955</v>
      </c>
      <c r="W224" s="133">
        <f t="shared" si="399"/>
        <v>-8165</v>
      </c>
      <c r="X224" s="71">
        <v>-1985</v>
      </c>
      <c r="Y224" s="72">
        <f>-3367-X224</f>
        <v>-1382</v>
      </c>
      <c r="Z224" s="72">
        <f>-5745-Y224-X224</f>
        <v>-2378</v>
      </c>
      <c r="AA224" s="132">
        <f>-9571-Z224-Y224-X224</f>
        <v>-3826</v>
      </c>
      <c r="AB224" s="133">
        <f t="shared" si="400"/>
        <v>-9571</v>
      </c>
      <c r="AC224" s="71">
        <v>-3217</v>
      </c>
      <c r="AD224" s="72">
        <f>-5586-AC224</f>
        <v>-2369</v>
      </c>
      <c r="AE224" s="72">
        <f>-7629-AD224-AC224</f>
        <v>-2043</v>
      </c>
      <c r="AF224" s="72">
        <f>-11247-AE224-AD224-AC224</f>
        <v>-3618</v>
      </c>
      <c r="AG224" s="133">
        <f t="shared" si="401"/>
        <v>-11247</v>
      </c>
      <c r="AH224" s="71">
        <v>-3612</v>
      </c>
      <c r="AI224" s="72">
        <f>-5948-AH224</f>
        <v>-2336</v>
      </c>
      <c r="AJ224" s="72">
        <f>-8757-AI224-AH224</f>
        <v>-2809</v>
      </c>
      <c r="AK224" s="72">
        <f>-12734-AJ224-AI224-AH224</f>
        <v>-3977</v>
      </c>
      <c r="AL224" s="133">
        <f t="shared" si="402"/>
        <v>-12734</v>
      </c>
      <c r="AM224" s="71">
        <v>-3334</v>
      </c>
      <c r="AN224" s="5">
        <f>-6309-AM224</f>
        <v>-2975</v>
      </c>
      <c r="AO224" s="72">
        <f>AN224*(1+AO261)</f>
        <v>-2915.5</v>
      </c>
      <c r="AP224" s="72">
        <f>AO224*(1+AP261)</f>
        <v>-2857.19</v>
      </c>
      <c r="AQ224" s="133">
        <f t="shared" si="403"/>
        <v>-12081.69</v>
      </c>
      <c r="AR224" s="71">
        <f>AP224*(1+AR261)</f>
        <v>-2885.7619</v>
      </c>
      <c r="AS224" s="72">
        <f>AR224*(1+AS261)</f>
        <v>-2914.6195189999999</v>
      </c>
      <c r="AT224" s="72">
        <f>AS224*(1+AT261)</f>
        <v>-2943.7657141899999</v>
      </c>
      <c r="AU224" s="72">
        <f>AT224*(1+AU261)</f>
        <v>-2973.2033713319001</v>
      </c>
      <c r="AV224" s="133">
        <f t="shared" si="404"/>
        <v>-11717.350504521899</v>
      </c>
      <c r="AW224" s="71">
        <f>AU224*(1+AW261)</f>
        <v>-3002.9354050452193</v>
      </c>
      <c r="AX224" s="72">
        <f>AW224*(1+AX261)</f>
        <v>-3032.9647590956715</v>
      </c>
      <c r="AY224" s="72">
        <f>AX224*(1+AY261)</f>
        <v>-3063.2944066866285</v>
      </c>
      <c r="AZ224" s="72">
        <f>AY224*(1+AZ261)</f>
        <v>-3093.9273507534949</v>
      </c>
      <c r="BA224" s="4">
        <f t="shared" si="405"/>
        <v>-12193.121921581014</v>
      </c>
      <c r="BB224" s="71">
        <f>AZ224*(1+BB261)</f>
        <v>-3124.8666242610298</v>
      </c>
      <c r="BC224" s="72">
        <f>BB224*(1+BC261)</f>
        <v>-3156.1152905036402</v>
      </c>
      <c r="BD224" s="72">
        <f>BC224*(1+BD261)</f>
        <v>-3187.6764434086767</v>
      </c>
      <c r="BE224" s="72">
        <f>BD224*(1+BE261)</f>
        <v>-3219.5532078427636</v>
      </c>
      <c r="BF224" s="4">
        <f t="shared" si="406"/>
        <v>-12688.211566016111</v>
      </c>
      <c r="BG224" s="71">
        <f>BE224*(1+BG261)</f>
        <v>-3251.7487399211914</v>
      </c>
      <c r="BH224" s="72">
        <f>BG224*(1+BH261)</f>
        <v>-3284.2662273204032</v>
      </c>
      <c r="BI224" s="72">
        <f>BH224*(1+BI261)</f>
        <v>-3317.1088895936073</v>
      </c>
      <c r="BJ224" s="72">
        <f>BI224*(1+BJ261)</f>
        <v>-3350.2799784895433</v>
      </c>
      <c r="BK224" s="4">
        <f t="shared" si="407"/>
        <v>-13203.403835324745</v>
      </c>
    </row>
    <row r="225" spans="2:63" hidden="1" outlineLevel="1" x14ac:dyDescent="0.3">
      <c r="B225" s="714" t="s">
        <v>605</v>
      </c>
      <c r="C225" s="715"/>
      <c r="D225" s="36">
        <v>-5</v>
      </c>
      <c r="E225" s="5">
        <f>-32-D225</f>
        <v>-27</v>
      </c>
      <c r="F225" s="5">
        <f>-63-E225-D225</f>
        <v>-31</v>
      </c>
      <c r="G225" s="37">
        <f>-116-F225-E225-D225</f>
        <v>-53</v>
      </c>
      <c r="H225" s="4">
        <f t="shared" si="396"/>
        <v>-116</v>
      </c>
      <c r="I225" s="36">
        <v>-49</v>
      </c>
      <c r="J225" s="5">
        <f>-81-I225</f>
        <v>-32</v>
      </c>
      <c r="K225" s="5">
        <f>-266-J225-I225</f>
        <v>-185</v>
      </c>
      <c r="L225" s="37">
        <f>-3192-K225-J225-I225</f>
        <v>-2926</v>
      </c>
      <c r="M225" s="4">
        <f t="shared" si="397"/>
        <v>-3192</v>
      </c>
      <c r="N225" s="36">
        <v>-108</v>
      </c>
      <c r="O225" s="5">
        <f>-160-N225</f>
        <v>-52</v>
      </c>
      <c r="P225" s="5">
        <f>-1067-O225-N225</f>
        <v>-907</v>
      </c>
      <c r="Q225" s="37">
        <f>-1107-P225-O225-N225</f>
        <v>-40</v>
      </c>
      <c r="R225" s="4">
        <f t="shared" si="398"/>
        <v>-1107</v>
      </c>
      <c r="S225" s="71">
        <v>-138</v>
      </c>
      <c r="T225" s="72">
        <f>-429-S225</f>
        <v>-291</v>
      </c>
      <c r="U225" s="72">
        <f>-560-T225-S225</f>
        <v>-131</v>
      </c>
      <c r="V225" s="132">
        <f>-911-U225-T225-S225</f>
        <v>-351</v>
      </c>
      <c r="W225" s="133">
        <f t="shared" si="399"/>
        <v>-911</v>
      </c>
      <c r="X225" s="71">
        <v>-59</v>
      </c>
      <c r="Y225" s="72">
        <f>-163-X225</f>
        <v>-104</v>
      </c>
      <c r="Z225" s="72">
        <f>-216-Y225-X225</f>
        <v>-53</v>
      </c>
      <c r="AA225" s="132">
        <f>-242-Z225-Y225-X225</f>
        <v>-26</v>
      </c>
      <c r="AB225" s="133">
        <f t="shared" si="400"/>
        <v>-242</v>
      </c>
      <c r="AC225" s="71">
        <v>-48</v>
      </c>
      <c r="AD225" s="72">
        <f>-155-AC225</f>
        <v>-107</v>
      </c>
      <c r="AE225" s="72">
        <f>-201-AD225-AC225</f>
        <v>-46</v>
      </c>
      <c r="AF225" s="72">
        <f>-241-AE225-AD225-AC225</f>
        <v>-40</v>
      </c>
      <c r="AG225" s="133">
        <f t="shared" si="401"/>
        <v>-241</v>
      </c>
      <c r="AH225" s="71">
        <v>-394</v>
      </c>
      <c r="AI225" s="72">
        <f>-657-AH225</f>
        <v>-263</v>
      </c>
      <c r="AJ225" s="72">
        <f>-753-AI225-AH225</f>
        <v>-96</v>
      </c>
      <c r="AK225" s="72">
        <f>-814-AJ225-AI225-AH225</f>
        <v>-61</v>
      </c>
      <c r="AL225" s="133">
        <f t="shared" si="402"/>
        <v>-814</v>
      </c>
      <c r="AM225" s="71">
        <v>-86</v>
      </c>
      <c r="AN225" s="5">
        <f>-126-AM225</f>
        <v>-40</v>
      </c>
      <c r="AO225" s="220">
        <f>+AVERAGE(AN225,AM225,AK225,AJ225)</f>
        <v>-70.75</v>
      </c>
      <c r="AP225" s="220">
        <f>+AVERAGE(AO225,AN225,AM225,AK225)</f>
        <v>-64.4375</v>
      </c>
      <c r="AQ225" s="133">
        <f t="shared" si="403"/>
        <v>-261.1875</v>
      </c>
      <c r="AR225" s="220">
        <f>+AVERAGE(AP225,AO225,AN225,AM225)</f>
        <v>-65.296875</v>
      </c>
      <c r="AS225" s="220">
        <f>+AVERAGE(AR225,AP225,AO225,AN225)</f>
        <v>-60.12109375</v>
      </c>
      <c r="AT225" s="220">
        <f>+AVERAGE(AS225,AR225,AP225,AO225)</f>
        <v>-65.1513671875</v>
      </c>
      <c r="AU225" s="220">
        <f>+AVERAGE(AT225,AS225,AR225,AP225)</f>
        <v>-63.751708984375</v>
      </c>
      <c r="AV225" s="133">
        <f t="shared" si="404"/>
        <v>-254.321044921875</v>
      </c>
      <c r="AW225" s="220">
        <f>+AVERAGE(AU225,AT225,AS225,AR225)</f>
        <v>-63.58026123046875</v>
      </c>
      <c r="AX225" s="220">
        <f>+AVERAGE(AW225,AU225,AT225,AS225)</f>
        <v>-63.151107788085938</v>
      </c>
      <c r="AY225" s="220">
        <f>+AVERAGE(AX225,AW225,AU225,AT225)</f>
        <v>-63.908611297607422</v>
      </c>
      <c r="AZ225" s="220">
        <f>+AVERAGE(AY225,AX225,AW225,AU225)</f>
        <v>-63.597922325134277</v>
      </c>
      <c r="BA225" s="133">
        <f t="shared" si="405"/>
        <v>-254.23790264129639</v>
      </c>
      <c r="BB225" s="220">
        <f>+AVERAGE(AZ225,AY225,AX225,AW225)</f>
        <v>-63.559475660324097</v>
      </c>
      <c r="BC225" s="220">
        <f>+AVERAGE(BB225,AZ225,AY225,AX225)</f>
        <v>-63.554279267787933</v>
      </c>
      <c r="BD225" s="220">
        <f>+AVERAGE(BC225,BB225,AZ225,AY225)</f>
        <v>-63.655072137713432</v>
      </c>
      <c r="BE225" s="220">
        <f>+AVERAGE(BD225,BC225,BB225,AZ225)</f>
        <v>-63.591687347739935</v>
      </c>
      <c r="BF225" s="133">
        <f t="shared" si="406"/>
        <v>-254.3605144135654</v>
      </c>
      <c r="BG225" s="220">
        <f>+AVERAGE(BE225,BD225,BC225,BB225)</f>
        <v>-63.590128603391349</v>
      </c>
      <c r="BH225" s="220">
        <f>+AVERAGE(BG225,BE225,BD225,BC225)</f>
        <v>-63.597791839158162</v>
      </c>
      <c r="BI225" s="220">
        <f>+AVERAGE(BH225,BG225,BE225,BD225)</f>
        <v>-63.60866998200072</v>
      </c>
      <c r="BJ225" s="220">
        <f>+AVERAGE(BI225,BH225,BG225,BE225)</f>
        <v>-63.597069443072542</v>
      </c>
      <c r="BK225" s="133">
        <f t="shared" si="407"/>
        <v>-254.39365986762277</v>
      </c>
    </row>
    <row r="226" spans="2:63" ht="16.2" hidden="1" outlineLevel="1" x14ac:dyDescent="0.45">
      <c r="B226" s="714" t="s">
        <v>181</v>
      </c>
      <c r="C226" s="715"/>
      <c r="D226" s="34">
        <f>-6-64</f>
        <v>-70</v>
      </c>
      <c r="E226" s="8">
        <f>10-D226</f>
        <v>80</v>
      </c>
      <c r="F226" s="8">
        <f>-36-E226-D226</f>
        <v>-46</v>
      </c>
      <c r="G226" s="35">
        <f>-20-F226-E226-D226</f>
        <v>16</v>
      </c>
      <c r="H226" s="7">
        <f t="shared" si="396"/>
        <v>-20</v>
      </c>
      <c r="I226" s="34">
        <v>-23</v>
      </c>
      <c r="J226" s="8">
        <f>12-I226</f>
        <v>35</v>
      </c>
      <c r="K226" s="8">
        <f>34-J226-I226</f>
        <v>22</v>
      </c>
      <c r="L226" s="35">
        <f>-259-K226-J226-I226</f>
        <v>-293</v>
      </c>
      <c r="M226" s="7">
        <f t="shared" si="397"/>
        <v>-259</v>
      </c>
      <c r="N226" s="34">
        <v>-34</v>
      </c>
      <c r="O226" s="8">
        <f>-48-N226</f>
        <v>-14</v>
      </c>
      <c r="P226" s="8">
        <f>-56-O226-N226</f>
        <v>-8</v>
      </c>
      <c r="Q226" s="35">
        <f>-48-P226-O226-N226</f>
        <v>8</v>
      </c>
      <c r="R226" s="7">
        <f t="shared" si="398"/>
        <v>-48</v>
      </c>
      <c r="S226" s="247">
        <v>-52</v>
      </c>
      <c r="T226" s="248">
        <f>-93-S226</f>
        <v>-41</v>
      </c>
      <c r="U226" s="248">
        <f>-188-T226-S226</f>
        <v>-95</v>
      </c>
      <c r="V226" s="249">
        <f>-160-U226-T226-S226</f>
        <v>28</v>
      </c>
      <c r="W226" s="250">
        <f t="shared" si="399"/>
        <v>-160</v>
      </c>
      <c r="X226" s="247">
        <v>5</v>
      </c>
      <c r="Y226" s="248">
        <f>-23-X226</f>
        <v>-28</v>
      </c>
      <c r="Z226" s="248">
        <f>7-Y226-X226</f>
        <v>30</v>
      </c>
      <c r="AA226" s="249">
        <f>16-Z226-Y226-X226</f>
        <v>9</v>
      </c>
      <c r="AB226" s="250">
        <f t="shared" si="400"/>
        <v>16</v>
      </c>
      <c r="AC226" s="247">
        <v>65</v>
      </c>
      <c r="AD226" s="248">
        <f>88-AC226</f>
        <v>23</v>
      </c>
      <c r="AE226" s="248">
        <f>134-AD226-AC226</f>
        <v>46</v>
      </c>
      <c r="AF226" s="248">
        <f>-26-AE226-AD226-AC226</f>
        <v>-160</v>
      </c>
      <c r="AG226" s="250">
        <f t="shared" si="401"/>
        <v>-26</v>
      </c>
      <c r="AH226" s="247">
        <v>-298</v>
      </c>
      <c r="AI226" s="248">
        <f>-322-AH226</f>
        <v>-24</v>
      </c>
      <c r="AJ226" s="248">
        <f>-1376-321-AI226-AH226</f>
        <v>-1375</v>
      </c>
      <c r="AK226" s="248">
        <f>-1388-110-AJ226-AI226-AH226</f>
        <v>199</v>
      </c>
      <c r="AL226" s="250">
        <f t="shared" si="402"/>
        <v>-1498</v>
      </c>
      <c r="AM226" s="247">
        <v>-104</v>
      </c>
      <c r="AN226" s="8">
        <f>116-AM226</f>
        <v>220</v>
      </c>
      <c r="AO226" s="248">
        <f>-(AO154-AN154)</f>
        <v>-12.512097542388801</v>
      </c>
      <c r="AP226" s="248">
        <f>-(AP154-AO154)</f>
        <v>-159.52924366546085</v>
      </c>
      <c r="AQ226" s="250">
        <f t="shared" si="403"/>
        <v>-56.041341207849655</v>
      </c>
      <c r="AR226" s="247">
        <f>-(AR154-AQ154)</f>
        <v>-9.3840731567916009</v>
      </c>
      <c r="AS226" s="248">
        <f>-(AS154-AR154)</f>
        <v>-52.133739759953642</v>
      </c>
      <c r="AT226" s="248">
        <f>-(AT154-AS154)</f>
        <v>-13.046048742521634</v>
      </c>
      <c r="AU226" s="248">
        <f>-(AU154-AT154)</f>
        <v>-166.33712146714879</v>
      </c>
      <c r="AV226" s="250">
        <f t="shared" si="404"/>
        <v>-240.90098312641567</v>
      </c>
      <c r="AW226" s="247">
        <f>-(AW154-AV154)</f>
        <v>-9.7845365568909983</v>
      </c>
      <c r="AX226" s="248">
        <f>-(AX154-AW154)</f>
        <v>-54.358536427172112</v>
      </c>
      <c r="AY226" s="248">
        <f>-(AY154-AX154)</f>
        <v>-13.602786200765877</v>
      </c>
      <c r="AZ226" s="248">
        <f>-(AZ154-AY154)</f>
        <v>-173.43552405976516</v>
      </c>
      <c r="BA226" s="7">
        <f t="shared" si="405"/>
        <v>-251.18138324459414</v>
      </c>
      <c r="BB226" s="247">
        <f>-(BB154-BA154)</f>
        <v>-10.202089650574635</v>
      </c>
      <c r="BC226" s="248">
        <f>-(BC154-BB154)</f>
        <v>-56.678275836523426</v>
      </c>
      <c r="BD226" s="248">
        <f>-(BD154-BC154)</f>
        <v>-14.183282316020268</v>
      </c>
      <c r="BE226" s="248">
        <f>-(BE154-BD154)</f>
        <v>-180.8368495292616</v>
      </c>
      <c r="BF226" s="7">
        <f t="shared" si="406"/>
        <v>-261.90049733237993</v>
      </c>
      <c r="BG226" s="247">
        <f>-(BG154-BF154)</f>
        <v>-10.637461737015656</v>
      </c>
      <c r="BH226" s="248">
        <f>-(BH154-BG154)</f>
        <v>-59.097009650085056</v>
      </c>
      <c r="BI226" s="248">
        <f>-(BI154-BH154)</f>
        <v>-14.788550984107133</v>
      </c>
      <c r="BJ226" s="248">
        <f>-(BJ154-BI154)</f>
        <v>-188.55402504737049</v>
      </c>
      <c r="BK226" s="7">
        <f t="shared" si="407"/>
        <v>-273.07704741857833</v>
      </c>
    </row>
    <row r="227" spans="2:63" hidden="1" outlineLevel="1" x14ac:dyDescent="0.3">
      <c r="B227" s="722" t="s">
        <v>33</v>
      </c>
      <c r="C227" s="723"/>
      <c r="D227" s="14">
        <f t="shared" ref="D227:AB227" si="408">SUM(D220:D226)</f>
        <v>-3958</v>
      </c>
      <c r="E227" s="10">
        <f t="shared" si="408"/>
        <v>-83</v>
      </c>
      <c r="F227" s="10">
        <f t="shared" si="408"/>
        <v>-5430</v>
      </c>
      <c r="G227" s="15">
        <f t="shared" si="408"/>
        <v>-4383</v>
      </c>
      <c r="H227" s="9">
        <f t="shared" si="408"/>
        <v>-13854</v>
      </c>
      <c r="I227" s="14">
        <f t="shared" si="408"/>
        <v>-10729</v>
      </c>
      <c r="J227" s="10">
        <f t="shared" si="408"/>
        <v>-1522</v>
      </c>
      <c r="K227" s="10">
        <f t="shared" si="408"/>
        <v>-15032</v>
      </c>
      <c r="L227" s="15">
        <f t="shared" si="408"/>
        <v>-13136</v>
      </c>
      <c r="M227" s="9">
        <f t="shared" si="408"/>
        <v>-40419</v>
      </c>
      <c r="N227" s="14">
        <f t="shared" si="408"/>
        <v>-17128</v>
      </c>
      <c r="O227" s="10">
        <f t="shared" si="408"/>
        <v>-14476</v>
      </c>
      <c r="P227" s="10">
        <f t="shared" si="408"/>
        <v>-12310</v>
      </c>
      <c r="Q227" s="15">
        <f t="shared" si="408"/>
        <v>-4313</v>
      </c>
      <c r="R227" s="9">
        <f t="shared" si="408"/>
        <v>-48227</v>
      </c>
      <c r="S227" s="117">
        <f t="shared" si="408"/>
        <v>-13521</v>
      </c>
      <c r="T227" s="115">
        <f t="shared" si="408"/>
        <v>-14357</v>
      </c>
      <c r="U227" s="115">
        <f t="shared" si="408"/>
        <v>-6507</v>
      </c>
      <c r="V227" s="134">
        <f t="shared" si="408"/>
        <v>611</v>
      </c>
      <c r="W227" s="135">
        <f t="shared" si="408"/>
        <v>-33774</v>
      </c>
      <c r="X227" s="117">
        <f t="shared" si="408"/>
        <v>-15103</v>
      </c>
      <c r="Y227" s="115">
        <f t="shared" si="408"/>
        <v>11741</v>
      </c>
      <c r="Z227" s="115">
        <f t="shared" si="408"/>
        <v>-22214</v>
      </c>
      <c r="AA227" s="134">
        <f t="shared" si="408"/>
        <v>2997</v>
      </c>
      <c r="AB227" s="135">
        <f t="shared" si="408"/>
        <v>-22579</v>
      </c>
      <c r="AC227" s="117">
        <f>SUM(AC219:AC226)</f>
        <v>-21165</v>
      </c>
      <c r="AD227" s="115">
        <f>SUM(AD219:AD226)</f>
        <v>-22331</v>
      </c>
      <c r="AE227" s="115">
        <f>SUM(AE219:AE226)</f>
        <v>-11403</v>
      </c>
      <c r="AF227" s="115">
        <f>SUM(AF219:AF226)</f>
        <v>-1375</v>
      </c>
      <c r="AG227" s="135">
        <f>SUM(AG220:AG226)</f>
        <v>-56274</v>
      </c>
      <c r="AH227" s="117">
        <f>SUM(AH219:AH226)</f>
        <v>-20450</v>
      </c>
      <c r="AI227" s="115">
        <f>SUM(AI219:AI226)</f>
        <v>-13660</v>
      </c>
      <c r="AJ227" s="115">
        <f>SUM(AJ219:AJ226)</f>
        <v>-4470</v>
      </c>
      <c r="AK227" s="115">
        <f>SUM(AK219:AK226)</f>
        <v>-7397</v>
      </c>
      <c r="AL227" s="135">
        <f>SUM(AL220:AL226)</f>
        <v>-45977</v>
      </c>
      <c r="AM227" s="117">
        <f>SUM(AM219:AM226)</f>
        <v>-19122</v>
      </c>
      <c r="AN227" s="115">
        <f>SUM(AN219:AN226)</f>
        <v>-14202</v>
      </c>
      <c r="AO227" s="115">
        <f>SUM(AO219:AO226)</f>
        <v>-5415.6020975423708</v>
      </c>
      <c r="AP227" s="115">
        <f>SUM(AP219:AP226)</f>
        <v>-5522.1651436654602</v>
      </c>
      <c r="AQ227" s="135">
        <f>SUM(AQ220:AQ226)</f>
        <v>-44261.767241207839</v>
      </c>
      <c r="AR227" s="117">
        <f>SUM(AR219:AR226)</f>
        <v>-17752.953752156824</v>
      </c>
      <c r="AS227" s="115">
        <f>SUM(AS219:AS226)</f>
        <v>-10866.905131629977</v>
      </c>
      <c r="AT227" s="115">
        <f>SUM(AT219:AT226)</f>
        <v>-5713.7070309512283</v>
      </c>
      <c r="AU227" s="115">
        <f>SUM(AU219:AU226)</f>
        <v>-5921.9535416229146</v>
      </c>
      <c r="AV227" s="135">
        <f>SUM(AV220:AV226)</f>
        <v>-40255.51945636094</v>
      </c>
      <c r="AW227" s="117">
        <f>SUM(AW219:AW226)</f>
        <v>-19551.387922260059</v>
      </c>
      <c r="AX227" s="115">
        <f>SUM(AX219:AX226)</f>
        <v>-11882.270894607493</v>
      </c>
      <c r="AY227" s="115">
        <f>SUM(AY219:AY226)</f>
        <v>-6138.7225995301196</v>
      </c>
      <c r="AZ227" s="115">
        <f>SUM(AZ219:AZ226)</f>
        <v>-6358.8567604370601</v>
      </c>
      <c r="BA227" s="9">
        <f>SUM(BA220:BA226)</f>
        <v>-43931.238176834726</v>
      </c>
      <c r="BB227" s="117">
        <f>SUM(BB219:BB226)</f>
        <v>-21547.67772716147</v>
      </c>
      <c r="BC227" s="115">
        <f>SUM(BC219:BC226)</f>
        <v>-13001.344100530379</v>
      </c>
      <c r="BD227" s="115">
        <f>SUM(BD219:BD226)</f>
        <v>-6604.4301787191307</v>
      </c>
      <c r="BE227" s="115">
        <f>SUM(BE219:BE226)</f>
        <v>-6836.2862793850309</v>
      </c>
      <c r="BF227" s="9">
        <f>SUM(BF220:BF226)</f>
        <v>-47989.738285796011</v>
      </c>
      <c r="BG227" s="117">
        <f>SUM(BG219:BG226)</f>
        <v>-23762.141810333203</v>
      </c>
      <c r="BH227" s="115">
        <f>SUM(BH219:BH226)</f>
        <v>-14238.128733247624</v>
      </c>
      <c r="BI227" s="115">
        <f>SUM(BI219:BI226)</f>
        <v>-7114.2070224167574</v>
      </c>
      <c r="BJ227" s="115">
        <f>SUM(BJ219:BJ226)</f>
        <v>-7358.318993955555</v>
      </c>
      <c r="BK227" s="9">
        <f>SUM(BK220:BK226)</f>
        <v>-52472.796559953138</v>
      </c>
    </row>
    <row r="228" spans="2:63" ht="18" hidden="1" customHeight="1" outlineLevel="1" x14ac:dyDescent="0.3">
      <c r="B228" s="739"/>
      <c r="C228" s="740"/>
      <c r="D228" s="36"/>
      <c r="E228" s="5"/>
      <c r="F228" s="5"/>
      <c r="G228" s="37"/>
      <c r="H228" s="4"/>
      <c r="I228" s="36"/>
      <c r="J228" s="5"/>
      <c r="K228" s="5"/>
      <c r="L228" s="37"/>
      <c r="M228" s="4"/>
      <c r="N228" s="36"/>
      <c r="O228" s="5"/>
      <c r="P228" s="5"/>
      <c r="Q228" s="37"/>
      <c r="R228" s="4"/>
      <c r="S228" s="71"/>
      <c r="T228" s="72"/>
      <c r="U228" s="72"/>
      <c r="V228" s="132"/>
      <c r="W228" s="133"/>
      <c r="X228" s="71"/>
      <c r="Y228" s="72"/>
      <c r="Z228" s="72"/>
      <c r="AA228" s="132"/>
      <c r="AB228" s="133"/>
      <c r="AC228" s="71"/>
      <c r="AD228" s="72"/>
      <c r="AE228" s="72"/>
      <c r="AF228" s="72"/>
      <c r="AG228" s="133"/>
      <c r="AH228" s="71"/>
      <c r="AI228" s="72"/>
      <c r="AJ228" s="72"/>
      <c r="AK228" s="72"/>
      <c r="AL228" s="133"/>
      <c r="AM228" s="71"/>
      <c r="AN228" s="72"/>
      <c r="AO228" s="72"/>
      <c r="AP228" s="72"/>
      <c r="AQ228" s="133"/>
      <c r="AR228" s="71"/>
      <c r="AS228" s="72"/>
      <c r="AT228" s="72"/>
      <c r="AU228" s="72"/>
      <c r="AV228" s="133"/>
      <c r="AW228" s="71"/>
      <c r="AX228" s="72"/>
      <c r="AY228" s="72"/>
      <c r="AZ228" s="72"/>
      <c r="BA228" s="4"/>
      <c r="BB228" s="71"/>
      <c r="BC228" s="72"/>
      <c r="BD228" s="72"/>
      <c r="BE228" s="72"/>
      <c r="BF228" s="4"/>
      <c r="BG228" s="71"/>
      <c r="BH228" s="72"/>
      <c r="BI228" s="72"/>
      <c r="BJ228" s="72"/>
      <c r="BK228" s="4"/>
    </row>
    <row r="229" spans="2:63" hidden="1" outlineLevel="1" x14ac:dyDescent="0.3">
      <c r="B229" s="729" t="s">
        <v>34</v>
      </c>
      <c r="C229" s="738"/>
      <c r="D229" s="36"/>
      <c r="E229" s="5"/>
      <c r="F229" s="5"/>
      <c r="G229" s="37"/>
      <c r="H229" s="4"/>
      <c r="I229" s="36"/>
      <c r="J229" s="5"/>
      <c r="K229" s="5"/>
      <c r="L229" s="37"/>
      <c r="M229" s="4"/>
      <c r="N229" s="36"/>
      <c r="O229" s="5"/>
      <c r="P229" s="5"/>
      <c r="Q229" s="37"/>
      <c r="R229" s="4"/>
      <c r="S229" s="71"/>
      <c r="T229" s="72"/>
      <c r="U229" s="72"/>
      <c r="V229" s="132"/>
      <c r="W229" s="133"/>
      <c r="X229" s="71"/>
      <c r="Y229" s="72"/>
      <c r="Z229" s="72"/>
      <c r="AA229" s="132"/>
      <c r="AB229" s="133"/>
      <c r="AC229" s="71"/>
      <c r="AD229" s="72"/>
      <c r="AE229" s="72"/>
      <c r="AF229" s="72"/>
      <c r="AG229" s="133"/>
      <c r="AH229" s="71"/>
      <c r="AI229" s="72"/>
      <c r="AJ229" s="72"/>
      <c r="AK229" s="72"/>
      <c r="AL229" s="133"/>
      <c r="AM229" s="71"/>
      <c r="AN229" s="72"/>
      <c r="AO229" s="72"/>
      <c r="AP229" s="72"/>
      <c r="AQ229" s="133"/>
      <c r="AR229" s="71"/>
      <c r="AS229" s="72"/>
      <c r="AT229" s="72"/>
      <c r="AU229" s="72"/>
      <c r="AV229" s="133"/>
      <c r="AW229" s="71"/>
      <c r="AX229" s="72"/>
      <c r="AY229" s="72"/>
      <c r="AZ229" s="72"/>
      <c r="BA229" s="4"/>
      <c r="BB229" s="71"/>
      <c r="BC229" s="72"/>
      <c r="BD229" s="72"/>
      <c r="BE229" s="72"/>
      <c r="BF229" s="4"/>
      <c r="BG229" s="71"/>
      <c r="BH229" s="72"/>
      <c r="BI229" s="72"/>
      <c r="BJ229" s="72"/>
      <c r="BK229" s="4"/>
    </row>
    <row r="230" spans="2:63" hidden="1" outlineLevel="1" x14ac:dyDescent="0.3">
      <c r="B230" s="714" t="s">
        <v>174</v>
      </c>
      <c r="C230" s="715"/>
      <c r="D230" s="36">
        <v>374</v>
      </c>
      <c r="E230" s="5">
        <f>534-D230</f>
        <v>160</v>
      </c>
      <c r="F230" s="5">
        <f>733-E230-D230</f>
        <v>199</v>
      </c>
      <c r="G230" s="37">
        <f>912-F230-E230-D230</f>
        <v>179</v>
      </c>
      <c r="H230" s="4">
        <f t="shared" ref="H230:H238" si="409">SUM(D230:G230)</f>
        <v>912</v>
      </c>
      <c r="I230" s="36">
        <v>208</v>
      </c>
      <c r="J230" s="5">
        <f>494-I230</f>
        <v>286</v>
      </c>
      <c r="K230" s="5">
        <f>577-J230-I230</f>
        <v>83</v>
      </c>
      <c r="L230" s="37">
        <f>831-K230-J230-I230</f>
        <v>254</v>
      </c>
      <c r="M230" s="4">
        <f t="shared" ref="M230:M238" si="410">SUM(I230:L230)</f>
        <v>831</v>
      </c>
      <c r="N230" s="36">
        <v>91</v>
      </c>
      <c r="O230" s="5">
        <f>377-N230</f>
        <v>286</v>
      </c>
      <c r="P230" s="5">
        <f>433-O230-N230</f>
        <v>56</v>
      </c>
      <c r="Q230" s="37">
        <f>665-P230-O230-N230</f>
        <v>232</v>
      </c>
      <c r="R230" s="4">
        <f t="shared" ref="R230:R238" si="411">SUM(N230:Q230)</f>
        <v>665</v>
      </c>
      <c r="S230" s="71">
        <v>76</v>
      </c>
      <c r="T230" s="72">
        <f>275-S230</f>
        <v>199</v>
      </c>
      <c r="U230" s="72">
        <f>335-T230-S230</f>
        <v>60</v>
      </c>
      <c r="V230" s="132">
        <f>530-U230-T230-S230</f>
        <v>195</v>
      </c>
      <c r="W230" s="133">
        <f t="shared" ref="W230:W238" si="412">SUM(S230:V230)</f>
        <v>530</v>
      </c>
      <c r="X230" s="71">
        <v>134</v>
      </c>
      <c r="Y230" s="72">
        <f>341-X230</f>
        <v>207</v>
      </c>
      <c r="Z230" s="72">
        <f>435-Y230-X230</f>
        <v>94</v>
      </c>
      <c r="AA230" s="132">
        <f>730-Z230-Y230-X230</f>
        <v>295</v>
      </c>
      <c r="AB230" s="133">
        <f t="shared" ref="AB230:AB238" si="413">SUM(X230:AA230)</f>
        <v>730</v>
      </c>
      <c r="AC230" s="71">
        <v>80</v>
      </c>
      <c r="AD230" s="72">
        <f>309-AC230</f>
        <v>229</v>
      </c>
      <c r="AE230" s="72">
        <f>324-AD230-AC230</f>
        <v>15</v>
      </c>
      <c r="AF230" s="72">
        <f>543-AE230-AD230-AC230</f>
        <v>219</v>
      </c>
      <c r="AG230" s="133">
        <f t="shared" ref="AG230:AG237" si="414">SUM(AC230:AF230)</f>
        <v>543</v>
      </c>
      <c r="AH230" s="71">
        <v>1</v>
      </c>
      <c r="AI230" s="72">
        <f>247-AH230</f>
        <v>246</v>
      </c>
      <c r="AJ230" s="72">
        <f>247-AI230-AH230</f>
        <v>0</v>
      </c>
      <c r="AK230" s="72">
        <f>495-AJ230-AI230-AH230</f>
        <v>248</v>
      </c>
      <c r="AL230" s="133">
        <f t="shared" ref="AL230:AL238" si="415">SUM(AH230:AK230)</f>
        <v>495</v>
      </c>
      <c r="AM230" s="71">
        <v>0</v>
      </c>
      <c r="AN230" s="5">
        <f>273-AM230</f>
        <v>273</v>
      </c>
      <c r="AO230" s="72"/>
      <c r="AP230" s="72"/>
      <c r="AQ230" s="133">
        <f t="shared" ref="AQ230:AQ238" si="416">SUM(AM230:AP230)</f>
        <v>273</v>
      </c>
      <c r="AR230" s="71"/>
      <c r="AS230" s="72"/>
      <c r="AT230" s="72"/>
      <c r="AU230" s="72"/>
      <c r="AV230" s="133">
        <f t="shared" ref="AV230:AV238" si="417">SUM(AR230:AU230)</f>
        <v>0</v>
      </c>
      <c r="AW230" s="71"/>
      <c r="AX230" s="72"/>
      <c r="AY230" s="72"/>
      <c r="AZ230" s="72"/>
      <c r="BA230" s="4">
        <f t="shared" ref="BA230:BA238" si="418">SUM(AW230:AZ230)</f>
        <v>0</v>
      </c>
      <c r="BB230" s="71"/>
      <c r="BC230" s="72"/>
      <c r="BD230" s="72"/>
      <c r="BE230" s="72"/>
      <c r="BF230" s="4">
        <f t="shared" ref="BF230:BF238" si="419">SUM(BB230:BE230)</f>
        <v>0</v>
      </c>
      <c r="BG230" s="71"/>
      <c r="BH230" s="72"/>
      <c r="BI230" s="72"/>
      <c r="BJ230" s="72"/>
      <c r="BK230" s="4">
        <f t="shared" ref="BK230:BK238" si="420">SUM(BG230:BJ230)</f>
        <v>0</v>
      </c>
    </row>
    <row r="231" spans="2:63" hidden="1" outlineLevel="1" x14ac:dyDescent="0.3">
      <c r="B231" s="714" t="s">
        <v>175</v>
      </c>
      <c r="C231" s="715"/>
      <c r="D231" s="36">
        <v>252</v>
      </c>
      <c r="E231" s="5">
        <f>413-D231</f>
        <v>161</v>
      </c>
      <c r="F231" s="5">
        <f>652-E231-D231</f>
        <v>239</v>
      </c>
      <c r="G231" s="37">
        <f>751-F231-E231-D231</f>
        <v>99</v>
      </c>
      <c r="H231" s="4">
        <f t="shared" si="409"/>
        <v>751</v>
      </c>
      <c r="I231" s="36">
        <v>454</v>
      </c>
      <c r="J231" s="5">
        <f>740-I231</f>
        <v>286</v>
      </c>
      <c r="K231" s="5">
        <f>915-J231-I231</f>
        <v>175</v>
      </c>
      <c r="L231" s="37">
        <f>1133-K231-J231-I231</f>
        <v>218</v>
      </c>
      <c r="M231" s="4">
        <f t="shared" si="410"/>
        <v>1133</v>
      </c>
      <c r="N231" s="36">
        <v>333</v>
      </c>
      <c r="O231" s="5">
        <f>636-N231</f>
        <v>303</v>
      </c>
      <c r="P231" s="5">
        <f>1036-O231-N231</f>
        <v>400</v>
      </c>
      <c r="Q231" s="37">
        <f>1351-P231-O231-N231</f>
        <v>315</v>
      </c>
      <c r="R231" s="4">
        <f t="shared" si="411"/>
        <v>1351</v>
      </c>
      <c r="S231" s="71">
        <v>404</v>
      </c>
      <c r="T231" s="72">
        <f>502-S231</f>
        <v>98</v>
      </c>
      <c r="U231" s="72">
        <f>644-T231-S231</f>
        <v>142</v>
      </c>
      <c r="V231" s="132">
        <f>701-U231-T231-S231</f>
        <v>57</v>
      </c>
      <c r="W231" s="133">
        <f t="shared" si="412"/>
        <v>701</v>
      </c>
      <c r="X231" s="71">
        <v>280</v>
      </c>
      <c r="Y231" s="72">
        <f>363-X231</f>
        <v>83</v>
      </c>
      <c r="Z231" s="72">
        <f>562-Y231-X231</f>
        <v>199</v>
      </c>
      <c r="AA231" s="132">
        <f>739-Z231-Y231-X231</f>
        <v>177</v>
      </c>
      <c r="AB231" s="133">
        <f t="shared" si="413"/>
        <v>739</v>
      </c>
      <c r="AC231" s="71">
        <v>264</v>
      </c>
      <c r="AD231" s="72">
        <f>357-AC231</f>
        <v>93</v>
      </c>
      <c r="AE231" s="72">
        <f>684-AD231-AC231</f>
        <v>327</v>
      </c>
      <c r="AF231" s="72">
        <f>749-AE231-AD231-AC231</f>
        <v>65</v>
      </c>
      <c r="AG231" s="133">
        <f t="shared" si="414"/>
        <v>749</v>
      </c>
      <c r="AH231" s="71">
        <v>224</v>
      </c>
      <c r="AI231" s="72">
        <f>264-AH231</f>
        <v>40</v>
      </c>
      <c r="AJ231" s="72">
        <f>391-AI231-AH231</f>
        <v>127</v>
      </c>
      <c r="AK231" s="72">
        <f>407-AJ231-AI231-AH231</f>
        <v>16</v>
      </c>
      <c r="AL231" s="133">
        <f t="shared" si="415"/>
        <v>407</v>
      </c>
      <c r="AM231" s="71">
        <v>178</v>
      </c>
      <c r="AN231" s="5">
        <f>225-AM231</f>
        <v>47</v>
      </c>
      <c r="AO231" s="72">
        <f t="shared" ref="AO231:AP231" si="421">AO205*AO257</f>
        <v>147.18332478476893</v>
      </c>
      <c r="AP231" s="72">
        <f t="shared" si="421"/>
        <v>19.126162293389605</v>
      </c>
      <c r="AQ231" s="133">
        <f t="shared" si="416"/>
        <v>391.30948707815855</v>
      </c>
      <c r="AR231" s="71">
        <f>AR205*AR257</f>
        <v>190.34662420382168</v>
      </c>
      <c r="AS231" s="72">
        <f t="shared" ref="AS231:AT231" si="422">AS205*AS257</f>
        <v>52.358849630238296</v>
      </c>
      <c r="AT231" s="72">
        <f t="shared" si="422"/>
        <v>164.95802145586129</v>
      </c>
      <c r="AU231" s="72">
        <f t="shared" ref="AU231" si="423">AU205*AU257</f>
        <v>19.931944041251345</v>
      </c>
      <c r="AV231" s="133">
        <f t="shared" si="417"/>
        <v>427.5954393311726</v>
      </c>
      <c r="AW231" s="71">
        <f>AW205*AW257</f>
        <v>193.73117929820808</v>
      </c>
      <c r="AX231" s="72">
        <f t="shared" ref="AX231:AZ231" si="424">AX205*AX257</f>
        <v>48.143243985223933</v>
      </c>
      <c r="AY231" s="72">
        <f t="shared" si="424"/>
        <v>150.3532901440916</v>
      </c>
      <c r="AZ231" s="72">
        <f t="shared" si="424"/>
        <v>20.152374488441357</v>
      </c>
      <c r="BA231" s="4">
        <f t="shared" si="418"/>
        <v>412.38008791596496</v>
      </c>
      <c r="BB231" s="71">
        <f>BB205*BB257</f>
        <v>193.20398806162385</v>
      </c>
      <c r="BC231" s="72">
        <f t="shared" ref="BC231:BE231" si="425">BC205*BC257</f>
        <v>43.127159298427493</v>
      </c>
      <c r="BD231" s="72">
        <f t="shared" si="425"/>
        <v>139.90481283797834</v>
      </c>
      <c r="BE231" s="72">
        <f t="shared" si="425"/>
        <v>20.448310288635017</v>
      </c>
      <c r="BF231" s="4">
        <f t="shared" si="419"/>
        <v>396.68427048666473</v>
      </c>
      <c r="BG231" s="71">
        <f>BG205*BG257</f>
        <v>184.95282141949937</v>
      </c>
      <c r="BH231" s="72">
        <f t="shared" ref="BH231:BJ231" si="426">BH205*BH257</f>
        <v>40.215812419985554</v>
      </c>
      <c r="BI231" s="72">
        <f t="shared" si="426"/>
        <v>132.69792416658981</v>
      </c>
      <c r="BJ231" s="72">
        <f t="shared" si="426"/>
        <v>20.033158248298847</v>
      </c>
      <c r="BK231" s="4">
        <f t="shared" si="420"/>
        <v>377.89971625437357</v>
      </c>
    </row>
    <row r="232" spans="2:63" hidden="1" outlineLevel="1" x14ac:dyDescent="0.3">
      <c r="B232" s="714" t="s">
        <v>176</v>
      </c>
      <c r="C232" s="715"/>
      <c r="D232" s="36">
        <v>0</v>
      </c>
      <c r="E232" s="5">
        <v>0</v>
      </c>
      <c r="F232" s="5">
        <v>-384</v>
      </c>
      <c r="G232" s="37">
        <f>-406-F232</f>
        <v>-22</v>
      </c>
      <c r="H232" s="4">
        <f t="shared" si="409"/>
        <v>-406</v>
      </c>
      <c r="I232" s="36">
        <v>-233</v>
      </c>
      <c r="J232" s="5">
        <f>-258-I232</f>
        <v>-25</v>
      </c>
      <c r="K232" s="5">
        <f>-479-J232-I232</f>
        <v>-221</v>
      </c>
      <c r="L232" s="37">
        <f>-520-K232-J232-I232</f>
        <v>-41</v>
      </c>
      <c r="M232" s="4">
        <f t="shared" si="410"/>
        <v>-520</v>
      </c>
      <c r="N232" s="36">
        <v>-355</v>
      </c>
      <c r="O232" s="5">
        <f>-634-N232</f>
        <v>-279</v>
      </c>
      <c r="P232" s="5">
        <f>-1145-O232-N232</f>
        <v>-511</v>
      </c>
      <c r="Q232" s="37">
        <f>-1226-P232-O232-N232</f>
        <v>-81</v>
      </c>
      <c r="R232" s="4">
        <f t="shared" si="411"/>
        <v>-1226</v>
      </c>
      <c r="S232" s="71">
        <v>0</v>
      </c>
      <c r="T232" s="72">
        <v>0</v>
      </c>
      <c r="U232" s="72">
        <v>-1001</v>
      </c>
      <c r="V232" s="132">
        <f>-1082-U232-T232-S232</f>
        <v>-81</v>
      </c>
      <c r="W232" s="133">
        <f t="shared" si="412"/>
        <v>-1082</v>
      </c>
      <c r="X232" s="71">
        <v>-365</v>
      </c>
      <c r="Y232" s="72">
        <f>-430-X232</f>
        <v>-65</v>
      </c>
      <c r="Z232" s="72">
        <f>-839-Y232-X232</f>
        <v>-409</v>
      </c>
      <c r="AA232" s="132">
        <f>-1158-Z232-Y232-X232</f>
        <v>-319</v>
      </c>
      <c r="AB232" s="133">
        <f t="shared" si="413"/>
        <v>-1158</v>
      </c>
      <c r="AC232" s="71">
        <v>-512</v>
      </c>
      <c r="AD232" s="72">
        <f>-608-AC232</f>
        <v>-96</v>
      </c>
      <c r="AE232" s="72">
        <f>-1332-AD232-AC232</f>
        <v>-724</v>
      </c>
      <c r="AF232" s="72">
        <f>-1499-AE232-AD232-AC232</f>
        <v>-167</v>
      </c>
      <c r="AG232" s="133">
        <f t="shared" si="414"/>
        <v>-1499</v>
      </c>
      <c r="AH232" s="71">
        <v>-597</v>
      </c>
      <c r="AI232" s="72">
        <f>-751-AH232</f>
        <v>-154</v>
      </c>
      <c r="AJ232" s="72">
        <f>-1361-AI232-AH232</f>
        <v>-610</v>
      </c>
      <c r="AK232" s="72">
        <f>-1570-AJ232-AI232-AH232</f>
        <v>-209</v>
      </c>
      <c r="AL232" s="133">
        <f t="shared" si="415"/>
        <v>-1570</v>
      </c>
      <c r="AM232" s="71">
        <v>-629</v>
      </c>
      <c r="AN232" s="5">
        <f>-788-AM232</f>
        <v>-159</v>
      </c>
      <c r="AO232" s="72">
        <f t="shared" ref="AO232:AP232" si="427">+AO205*AO258</f>
        <v>-706.94352849377196</v>
      </c>
      <c r="AP232" s="72">
        <f t="shared" si="427"/>
        <v>-249.83549495740172</v>
      </c>
      <c r="AQ232" s="133">
        <f t="shared" si="416"/>
        <v>-1744.7790234511738</v>
      </c>
      <c r="AR232" s="71">
        <f>+AR205*AR258</f>
        <v>-672.62936305732489</v>
      </c>
      <c r="AS232" s="72">
        <f t="shared" ref="AS232:AT232" si="428">+AS205*AS258</f>
        <v>-177.12887428101891</v>
      </c>
      <c r="AT232" s="72">
        <f t="shared" si="428"/>
        <v>-792.31805581161711</v>
      </c>
      <c r="AU232" s="72">
        <f t="shared" ref="AU232" si="429">+AU205*AU258</f>
        <v>-260.36101903884571</v>
      </c>
      <c r="AV232" s="133">
        <f t="shared" si="417"/>
        <v>-1902.4373121888066</v>
      </c>
      <c r="AW232" s="71">
        <f>+AW205*AW258</f>
        <v>-684.58939201445446</v>
      </c>
      <c r="AX232" s="72">
        <f t="shared" ref="AX232:AZ232" si="430">+AX205*AX258</f>
        <v>-162.86757007767244</v>
      </c>
      <c r="AY232" s="72">
        <f t="shared" si="430"/>
        <v>-722.1693463613849</v>
      </c>
      <c r="AZ232" s="72">
        <f t="shared" si="430"/>
        <v>-263.24039175526525</v>
      </c>
      <c r="BA232" s="4">
        <f t="shared" si="418"/>
        <v>-1832.8667002087768</v>
      </c>
      <c r="BB232" s="71">
        <f>+BB205*BB258</f>
        <v>-682.72645219528874</v>
      </c>
      <c r="BC232" s="72">
        <f t="shared" ref="BC232:BE232" si="431">+BC205*BC258</f>
        <v>-145.89826230744617</v>
      </c>
      <c r="BD232" s="72">
        <f t="shared" si="431"/>
        <v>-671.98374670210069</v>
      </c>
      <c r="BE232" s="72">
        <f t="shared" si="431"/>
        <v>-267.10605314529494</v>
      </c>
      <c r="BF232" s="4">
        <f t="shared" si="419"/>
        <v>-1767.7145143501307</v>
      </c>
      <c r="BG232" s="71">
        <f>+BG205*BG258</f>
        <v>-653.56923973519736</v>
      </c>
      <c r="BH232" s="72">
        <f t="shared" ref="BH232:BJ232" si="432">+BH205*BH258</f>
        <v>-136.04923776122772</v>
      </c>
      <c r="BI232" s="72">
        <f t="shared" si="432"/>
        <v>-637.3679822174787</v>
      </c>
      <c r="BJ232" s="72">
        <f t="shared" si="432"/>
        <v>-261.68312961840371</v>
      </c>
      <c r="BK232" s="4">
        <f t="shared" si="420"/>
        <v>-1688.6695893323074</v>
      </c>
    </row>
    <row r="233" spans="2:63" hidden="1" outlineLevel="1" x14ac:dyDescent="0.3">
      <c r="B233" s="714" t="s">
        <v>177</v>
      </c>
      <c r="C233" s="715"/>
      <c r="D233" s="36">
        <v>0</v>
      </c>
      <c r="E233" s="5">
        <v>0</v>
      </c>
      <c r="F233" s="5">
        <v>0</v>
      </c>
      <c r="G233" s="37">
        <v>0</v>
      </c>
      <c r="H233" s="4">
        <f t="shared" si="409"/>
        <v>0</v>
      </c>
      <c r="I233" s="36">
        <v>0</v>
      </c>
      <c r="J233" s="5">
        <v>0</v>
      </c>
      <c r="K233" s="5">
        <v>0</v>
      </c>
      <c r="L233" s="37">
        <v>0</v>
      </c>
      <c r="M233" s="4">
        <f t="shared" si="410"/>
        <v>0</v>
      </c>
      <c r="N233" s="36">
        <v>0</v>
      </c>
      <c r="O233" s="5">
        <v>0</v>
      </c>
      <c r="P233" s="5">
        <v>0</v>
      </c>
      <c r="Q233" s="37">
        <v>-2488</v>
      </c>
      <c r="R233" s="4">
        <f t="shared" si="411"/>
        <v>-2488</v>
      </c>
      <c r="S233" s="71">
        <v>-2493</v>
      </c>
      <c r="T233" s="72">
        <f>-4984-S233</f>
        <v>-2491</v>
      </c>
      <c r="U233" s="72">
        <f>-7795-T233-S233</f>
        <v>-2811</v>
      </c>
      <c r="V233" s="132">
        <f>-10564-U233-T233-S233</f>
        <v>-2769</v>
      </c>
      <c r="W233" s="133">
        <f t="shared" si="412"/>
        <v>-10564</v>
      </c>
      <c r="X233" s="71">
        <v>-2769</v>
      </c>
      <c r="Y233" s="72">
        <f>-5430-X233</f>
        <v>-2661</v>
      </c>
      <c r="Z233" s="72">
        <f>-8297-Y233-X233</f>
        <v>-2867</v>
      </c>
      <c r="AA233" s="132">
        <f>-11126-Z233-Y233-X233</f>
        <v>-2829</v>
      </c>
      <c r="AB233" s="133">
        <f t="shared" si="413"/>
        <v>-11126</v>
      </c>
      <c r="AC233" s="71">
        <v>-2801</v>
      </c>
      <c r="AD233" s="72">
        <f>-5544-AC233</f>
        <v>-2743</v>
      </c>
      <c r="AE233" s="72">
        <f>-8597-AD233-AC233</f>
        <v>-3053</v>
      </c>
      <c r="AF233" s="72">
        <f>-11561-AE233-AD233-AC233</f>
        <v>-2964</v>
      </c>
      <c r="AG233" s="133">
        <f t="shared" si="414"/>
        <v>-11561</v>
      </c>
      <c r="AH233" s="71">
        <v>-2969</v>
      </c>
      <c r="AI233" s="72">
        <f>-5871-AH233</f>
        <v>-2902</v>
      </c>
      <c r="AJ233" s="72">
        <f>-9058-AI233-AH233</f>
        <v>-3187</v>
      </c>
      <c r="AK233" s="72">
        <f>-12150-AJ233-AI233-AH233</f>
        <v>-3092</v>
      </c>
      <c r="AL233" s="133">
        <f t="shared" si="415"/>
        <v>-12150</v>
      </c>
      <c r="AM233" s="71">
        <v>-3130</v>
      </c>
      <c r="AN233" s="5">
        <f>-6134-AM233</f>
        <v>-3004</v>
      </c>
      <c r="AO233" s="72">
        <f>-AO32*AO28</f>
        <v>-3207.8860585385364</v>
      </c>
      <c r="AP233" s="72">
        <f>-AP32*AP28</f>
        <v>-3132.3231539203807</v>
      </c>
      <c r="AQ233" s="133">
        <f t="shared" si="416"/>
        <v>-12474.209212458918</v>
      </c>
      <c r="AR233" s="71">
        <f>-AR32*AR28</f>
        <v>-3375.4801372727325</v>
      </c>
      <c r="AS233" s="72">
        <f>-AS32*AS28</f>
        <v>-3005.8690320124006</v>
      </c>
      <c r="AT233" s="72">
        <f>-AT32*AT28</f>
        <v>-3238.4670961854358</v>
      </c>
      <c r="AU233" s="72">
        <f>-AU32*AU28</f>
        <v>-3171.4980897426544</v>
      </c>
      <c r="AV233" s="133">
        <f t="shared" si="417"/>
        <v>-12791.314355213222</v>
      </c>
      <c r="AW233" s="71">
        <f>-AW32*AW28</f>
        <v>-3416.0869802361663</v>
      </c>
      <c r="AX233" s="72">
        <f>-AX32*AX28</f>
        <v>-3040.5586141205667</v>
      </c>
      <c r="AY233" s="72">
        <f>-AY32*AY28</f>
        <v>-3274.2140583996338</v>
      </c>
      <c r="AZ233" s="72">
        <f>-AZ32*AZ28</f>
        <v>-3204.8696475236388</v>
      </c>
      <c r="BA233" s="4">
        <f t="shared" si="418"/>
        <v>-12935.729300280005</v>
      </c>
      <c r="BB233" s="71">
        <f>-BB32*BB28</f>
        <v>-3450.2219430918631</v>
      </c>
      <c r="BC233" s="72">
        <f>-BC32*BC28</f>
        <v>-3069.2857217686224</v>
      </c>
      <c r="BD233" s="72">
        <f>-BD32*BD28</f>
        <v>-3303.3167595363029</v>
      </c>
      <c r="BE233" s="72">
        <f>-BE32*BE28</f>
        <v>-3231.5126881432584</v>
      </c>
      <c r="BF233" s="4">
        <f t="shared" si="419"/>
        <v>-13054.337112540048</v>
      </c>
      <c r="BG233" s="71">
        <f>-BG32*BG28</f>
        <v>-3476.8642456032208</v>
      </c>
      <c r="BH233" s="72">
        <f>-BH32*BH28</f>
        <v>-3091.1195726537931</v>
      </c>
      <c r="BI233" s="72">
        <f>-BI32*BI28</f>
        <v>-3324.7483049703851</v>
      </c>
      <c r="BJ233" s="72">
        <f>-BJ32*BJ28</f>
        <v>-3250.3973283958294</v>
      </c>
      <c r="BK233" s="4">
        <f t="shared" si="420"/>
        <v>-13143.129451623228</v>
      </c>
    </row>
    <row r="234" spans="2:63" hidden="1" outlineLevel="1" x14ac:dyDescent="0.3">
      <c r="B234" s="714" t="s">
        <v>178</v>
      </c>
      <c r="C234" s="715"/>
      <c r="D234" s="36">
        <v>0</v>
      </c>
      <c r="E234" s="5">
        <v>0</v>
      </c>
      <c r="F234" s="5">
        <v>0</v>
      </c>
      <c r="G234" s="37">
        <v>0</v>
      </c>
      <c r="H234" s="4">
        <f t="shared" si="409"/>
        <v>0</v>
      </c>
      <c r="I234" s="36">
        <v>0</v>
      </c>
      <c r="J234" s="5">
        <v>0</v>
      </c>
      <c r="K234" s="5">
        <v>0</v>
      </c>
      <c r="L234" s="37">
        <v>0</v>
      </c>
      <c r="M234" s="4">
        <f t="shared" si="410"/>
        <v>0</v>
      </c>
      <c r="N234" s="36">
        <v>0</v>
      </c>
      <c r="O234" s="5">
        <v>0</v>
      </c>
      <c r="P234" s="5">
        <v>0</v>
      </c>
      <c r="Q234" s="37">
        <v>0</v>
      </c>
      <c r="R234" s="4">
        <f t="shared" si="411"/>
        <v>0</v>
      </c>
      <c r="S234" s="71">
        <v>-1950</v>
      </c>
      <c r="T234" s="72">
        <f>-1950-S234</f>
        <v>0</v>
      </c>
      <c r="U234" s="72">
        <f>-17950-T234-S234</f>
        <v>-16000</v>
      </c>
      <c r="V234" s="132">
        <f>-22860-U234-T234-S234</f>
        <v>-4910</v>
      </c>
      <c r="W234" s="133">
        <f t="shared" si="412"/>
        <v>-22860</v>
      </c>
      <c r="X234" s="71">
        <v>-5029</v>
      </c>
      <c r="Y234" s="72">
        <f>-23000-X234</f>
        <v>-17971</v>
      </c>
      <c r="Z234" s="72">
        <f>-28000-Y234-X234</f>
        <v>-5000</v>
      </c>
      <c r="AA234" s="132">
        <f>-45000-Z234-Y234-X234</f>
        <v>-17000</v>
      </c>
      <c r="AB234" s="133">
        <f t="shared" si="413"/>
        <v>-45000</v>
      </c>
      <c r="AC234" s="71">
        <v>-5030</v>
      </c>
      <c r="AD234" s="72">
        <f>-12000-AC234</f>
        <v>-6970</v>
      </c>
      <c r="AE234" s="72">
        <f>-22000-AD234-AC234</f>
        <v>-10000</v>
      </c>
      <c r="AF234" s="72">
        <f>-35253-AE234-AD234-AC234</f>
        <v>-13253</v>
      </c>
      <c r="AG234" s="133">
        <f t="shared" si="414"/>
        <v>-35253</v>
      </c>
      <c r="AH234" s="71">
        <v>-6863</v>
      </c>
      <c r="AI234" s="72">
        <f>-13530-AH234</f>
        <v>-6667</v>
      </c>
      <c r="AJ234" s="72">
        <f>-23696-AI234-AH234</f>
        <v>-10166</v>
      </c>
      <c r="AK234" s="72">
        <f>-29722-AJ234-AI234-AH234</f>
        <v>-6026</v>
      </c>
      <c r="AL234" s="133">
        <f t="shared" si="415"/>
        <v>-29722</v>
      </c>
      <c r="AM234" s="71">
        <v>-10851</v>
      </c>
      <c r="AN234" s="5">
        <f>-18012-AM234</f>
        <v>-7161</v>
      </c>
      <c r="AO234" s="72">
        <f>-AO137</f>
        <v>-5000</v>
      </c>
      <c r="AP234" s="72">
        <f>-AP137</f>
        <v>-5000</v>
      </c>
      <c r="AQ234" s="133">
        <f t="shared" si="416"/>
        <v>-28012</v>
      </c>
      <c r="AR234" s="71">
        <f>-AR137</f>
        <v>-4000</v>
      </c>
      <c r="AS234" s="72">
        <f>-AS137</f>
        <v>-4000</v>
      </c>
      <c r="AT234" s="72">
        <f>-AT137</f>
        <v>-4000</v>
      </c>
      <c r="AU234" s="72">
        <f>-AU137</f>
        <v>-4000</v>
      </c>
      <c r="AV234" s="133">
        <f t="shared" si="417"/>
        <v>-16000</v>
      </c>
      <c r="AW234" s="71">
        <f>-AW137</f>
        <v>-4000</v>
      </c>
      <c r="AX234" s="72">
        <f>-AX137</f>
        <v>-4000</v>
      </c>
      <c r="AY234" s="72">
        <f>-AY137</f>
        <v>-4000</v>
      </c>
      <c r="AZ234" s="72">
        <f>-AZ137</f>
        <v>-4000</v>
      </c>
      <c r="BA234" s="4">
        <f t="shared" si="418"/>
        <v>-16000</v>
      </c>
      <c r="BB234" s="71">
        <f>-BB137</f>
        <v>-4000</v>
      </c>
      <c r="BC234" s="72">
        <f>-BC137</f>
        <v>-4000</v>
      </c>
      <c r="BD234" s="72">
        <f>-BD137</f>
        <v>-4000</v>
      </c>
      <c r="BE234" s="72">
        <f>-BE137</f>
        <v>-4000</v>
      </c>
      <c r="BF234" s="4">
        <f t="shared" si="419"/>
        <v>-16000</v>
      </c>
      <c r="BG234" s="71">
        <f>-BG137</f>
        <v>-4000</v>
      </c>
      <c r="BH234" s="72">
        <f>-BH137</f>
        <v>-4000</v>
      </c>
      <c r="BI234" s="72">
        <f>-BI137</f>
        <v>-4000</v>
      </c>
      <c r="BJ234" s="72">
        <f>-BJ137</f>
        <v>-4000</v>
      </c>
      <c r="BK234" s="4">
        <f t="shared" si="420"/>
        <v>-16000</v>
      </c>
    </row>
    <row r="235" spans="2:63" hidden="1" outlineLevel="1" x14ac:dyDescent="0.3">
      <c r="B235" s="714" t="s">
        <v>179</v>
      </c>
      <c r="C235" s="715"/>
      <c r="D235" s="36">
        <v>0</v>
      </c>
      <c r="E235" s="5">
        <v>0</v>
      </c>
      <c r="F235" s="5">
        <v>0</v>
      </c>
      <c r="G235" s="37">
        <v>0</v>
      </c>
      <c r="H235" s="4">
        <f t="shared" si="409"/>
        <v>0</v>
      </c>
      <c r="I235" s="36">
        <v>0</v>
      </c>
      <c r="J235" s="5">
        <v>0</v>
      </c>
      <c r="K235" s="5">
        <v>0</v>
      </c>
      <c r="L235" s="37">
        <v>0</v>
      </c>
      <c r="M235" s="4">
        <f t="shared" si="410"/>
        <v>0</v>
      </c>
      <c r="N235" s="36">
        <v>0</v>
      </c>
      <c r="O235" s="5">
        <v>0</v>
      </c>
      <c r="P235" s="5">
        <v>0</v>
      </c>
      <c r="Q235" s="37">
        <v>0</v>
      </c>
      <c r="R235" s="4">
        <f t="shared" si="411"/>
        <v>0</v>
      </c>
      <c r="S235" s="71">
        <v>0</v>
      </c>
      <c r="T235" s="72">
        <v>0</v>
      </c>
      <c r="U235" s="72">
        <f>16896</f>
        <v>16896</v>
      </c>
      <c r="V235" s="132">
        <f>16896-U235-T235-S235</f>
        <v>0</v>
      </c>
      <c r="W235" s="133">
        <f t="shared" si="412"/>
        <v>16896</v>
      </c>
      <c r="X235" s="71">
        <v>0</v>
      </c>
      <c r="Y235" s="72">
        <v>0</v>
      </c>
      <c r="Z235" s="72">
        <v>11960</v>
      </c>
      <c r="AA235" s="132">
        <f>11930-Z235-Y235-X235</f>
        <v>-30</v>
      </c>
      <c r="AB235" s="133">
        <f t="shared" si="413"/>
        <v>11930</v>
      </c>
      <c r="AC235" s="71">
        <v>3485</v>
      </c>
      <c r="AD235" s="72">
        <f>11332-AC235</f>
        <v>7847</v>
      </c>
      <c r="AE235" s="72">
        <f>21312-AD235-AC235</f>
        <v>9980</v>
      </c>
      <c r="AF235" s="72">
        <f>27114-AE235-AD235-AC235</f>
        <v>5802</v>
      </c>
      <c r="AG235" s="133">
        <f t="shared" si="414"/>
        <v>27114</v>
      </c>
      <c r="AH235" s="71">
        <v>0</v>
      </c>
      <c r="AI235" s="72">
        <f>15584-AH235</f>
        <v>15584</v>
      </c>
      <c r="AJ235" s="72">
        <f>-2500+17984-AI235-AH235</f>
        <v>-100</v>
      </c>
      <c r="AK235" s="72">
        <f>24954-AJ235-AI235-AH235</f>
        <v>9470</v>
      </c>
      <c r="AL235" s="133">
        <f t="shared" si="415"/>
        <v>24954</v>
      </c>
      <c r="AM235" s="71">
        <v>0</v>
      </c>
      <c r="AN235" s="5">
        <f>10975-AM235</f>
        <v>10975</v>
      </c>
      <c r="AO235" s="72">
        <f>AO166-AN166</f>
        <v>1793.2225152336032</v>
      </c>
      <c r="AP235" s="72">
        <f>AP166-AO166</f>
        <v>-462.73196756307152</v>
      </c>
      <c r="AQ235" s="133">
        <f t="shared" si="416"/>
        <v>12305.490547670532</v>
      </c>
      <c r="AR235" s="71">
        <f>AR166-AQ166</f>
        <v>4811.1140619652579</v>
      </c>
      <c r="AS235" s="72">
        <f>AS166-AR166</f>
        <v>5879.3687663187011</v>
      </c>
      <c r="AT235" s="72">
        <f>AT166-AS166</f>
        <v>1428.3398865262716</v>
      </c>
      <c r="AU235" s="72">
        <f>AU166-AT166</f>
        <v>2277.4414040541014</v>
      </c>
      <c r="AV235" s="133">
        <f t="shared" si="417"/>
        <v>14396.264118864332</v>
      </c>
      <c r="AW235" s="71">
        <f>AW166-AV166</f>
        <v>7032.4698157726525</v>
      </c>
      <c r="AX235" s="72">
        <f>AX166-AW166</f>
        <v>3457.1887657441694</v>
      </c>
      <c r="AY235" s="72">
        <f>AY166-AX166</f>
        <v>1145.533073617029</v>
      </c>
      <c r="AZ235" s="72">
        <f>AZ166-AY166</f>
        <v>2373.2732076787797</v>
      </c>
      <c r="BA235" s="4">
        <f t="shared" si="418"/>
        <v>14008.464862812631</v>
      </c>
      <c r="BB235" s="71">
        <f>BB166-BA166</f>
        <v>7305.3558300007135</v>
      </c>
      <c r="BC235" s="72">
        <f>BC166-BB166</f>
        <v>2347.7090234450588</v>
      </c>
      <c r="BD235" s="72">
        <f>BD166-BC166</f>
        <v>757.39513036253629</v>
      </c>
      <c r="BE235" s="72">
        <f>BE166-BD166</f>
        <v>2321.2911922720959</v>
      </c>
      <c r="BF235" s="4">
        <f t="shared" si="419"/>
        <v>12731.751176080405</v>
      </c>
      <c r="BG235" s="71">
        <f>BG166-BF166</f>
        <v>6482.8404623959796</v>
      </c>
      <c r="BH235" s="72">
        <f>BH166-BG166</f>
        <v>1735.9098092608328</v>
      </c>
      <c r="BI235" s="72">
        <f>BI166-BH166</f>
        <v>461.64896105107618</v>
      </c>
      <c r="BJ235" s="72">
        <f>BJ166-BI166</f>
        <v>2170.5013822886976</v>
      </c>
      <c r="BK235" s="4">
        <f t="shared" si="420"/>
        <v>10850.900614996586</v>
      </c>
    </row>
    <row r="236" spans="2:63" hidden="1" outlineLevel="1" x14ac:dyDescent="0.3">
      <c r="B236" s="714" t="s">
        <v>180</v>
      </c>
      <c r="C236" s="715"/>
      <c r="D236" s="36">
        <v>0</v>
      </c>
      <c r="E236" s="5">
        <v>0</v>
      </c>
      <c r="F236" s="5">
        <v>0</v>
      </c>
      <c r="G236" s="37">
        <v>0</v>
      </c>
      <c r="H236" s="4">
        <f t="shared" si="409"/>
        <v>0</v>
      </c>
      <c r="I236" s="36">
        <v>0</v>
      </c>
      <c r="J236" s="5">
        <v>0</v>
      </c>
      <c r="K236" s="5">
        <v>0</v>
      </c>
      <c r="L236" s="37">
        <v>0</v>
      </c>
      <c r="M236" s="4">
        <f t="shared" si="410"/>
        <v>0</v>
      </c>
      <c r="N236" s="36">
        <v>0</v>
      </c>
      <c r="O236" s="5">
        <v>0</v>
      </c>
      <c r="P236" s="5">
        <v>0</v>
      </c>
      <c r="Q236" s="37">
        <v>0</v>
      </c>
      <c r="R236" s="4">
        <f t="shared" si="411"/>
        <v>0</v>
      </c>
      <c r="S236" s="71">
        <v>0</v>
      </c>
      <c r="T236" s="72">
        <v>0</v>
      </c>
      <c r="U236" s="72">
        <v>0</v>
      </c>
      <c r="V236" s="132">
        <v>0</v>
      </c>
      <c r="W236" s="133">
        <f t="shared" si="412"/>
        <v>0</v>
      </c>
      <c r="X236" s="71">
        <v>0</v>
      </c>
      <c r="Y236" s="72">
        <v>0</v>
      </c>
      <c r="Z236" s="72">
        <v>2010</v>
      </c>
      <c r="AA236" s="132">
        <f>6306-Z236-Y236-X236</f>
        <v>4296</v>
      </c>
      <c r="AB236" s="133">
        <f t="shared" si="413"/>
        <v>6306</v>
      </c>
      <c r="AC236" s="71">
        <f>AC163-AB163</f>
        <v>-2409</v>
      </c>
      <c r="AD236" s="72">
        <f>-2508-AC236</f>
        <v>-99</v>
      </c>
      <c r="AE236" s="72">
        <f>-1808-AD236-AC236</f>
        <v>700</v>
      </c>
      <c r="AF236" s="72">
        <f>2191-AE236-AD236-AC236</f>
        <v>3999</v>
      </c>
      <c r="AG236" s="133">
        <f t="shared" si="414"/>
        <v>2191</v>
      </c>
      <c r="AH236" s="71">
        <v>-1240</v>
      </c>
      <c r="AI236" s="72">
        <f>-503-AH236</f>
        <v>737</v>
      </c>
      <c r="AJ236" s="72">
        <f>3992-AI236-AH236</f>
        <v>4495</v>
      </c>
      <c r="AK236" s="72">
        <f>-2500-AJ236-AI236-AH236</f>
        <v>-6492</v>
      </c>
      <c r="AL236" s="133">
        <f t="shared" si="415"/>
        <v>-2500</v>
      </c>
      <c r="AM236" s="71">
        <v>2385</v>
      </c>
      <c r="AN236" s="5">
        <f>1879-AM236</f>
        <v>-506</v>
      </c>
      <c r="AO236" s="72">
        <f>AO163-AN163</f>
        <v>1434.3764075244981</v>
      </c>
      <c r="AP236" s="72">
        <f>AP163-AO163</f>
        <v>-538.6951121774182</v>
      </c>
      <c r="AQ236" s="133">
        <f t="shared" si="416"/>
        <v>2774.6812953470799</v>
      </c>
      <c r="AR236" s="71">
        <f>AR163-AQ163</f>
        <v>1286.0973714934462</v>
      </c>
      <c r="AS236" s="72">
        <f>AS163-AR163</f>
        <v>766.06250144326441</v>
      </c>
      <c r="AT236" s="72">
        <f>AT163-AS163</f>
        <v>496.27394713873946</v>
      </c>
      <c r="AU236" s="72">
        <f>AU163-AT163</f>
        <v>238.1604321924242</v>
      </c>
      <c r="AV236" s="133">
        <f t="shared" si="417"/>
        <v>2786.5942522678743</v>
      </c>
      <c r="AW236" s="71">
        <f>AW163-AV163</f>
        <v>1317.6498148594001</v>
      </c>
      <c r="AX236" s="72">
        <f>AX163-AW163</f>
        <v>574.35775385150555</v>
      </c>
      <c r="AY236" s="72">
        <f>AY163-AX163</f>
        <v>236.7804023181634</v>
      </c>
      <c r="AZ236" s="72">
        <f>AZ163-AY163</f>
        <v>392.27395876586888</v>
      </c>
      <c r="BA236" s="4">
        <f t="shared" si="418"/>
        <v>2521.0619297949379</v>
      </c>
      <c r="BB236" s="71">
        <f>BB163-BA163</f>
        <v>1304.8304842778307</v>
      </c>
      <c r="BC236" s="72">
        <f>BC163-BB163</f>
        <v>410.17603372976737</v>
      </c>
      <c r="BD236" s="72">
        <f>BD163-BC163</f>
        <v>138.19700798955455</v>
      </c>
      <c r="BE236" s="72">
        <f>BE163-BD163</f>
        <v>406.18833445470591</v>
      </c>
      <c r="BF236" s="4">
        <f t="shared" si="419"/>
        <v>2259.3918604518585</v>
      </c>
      <c r="BG236" s="71">
        <f>BG163-BF163</f>
        <v>1148.6354687535677</v>
      </c>
      <c r="BH236" s="72">
        <f>BH163-BG163</f>
        <v>306.21884078010044</v>
      </c>
      <c r="BI236" s="72">
        <f>BI163-BH163</f>
        <v>82.082601080641325</v>
      </c>
      <c r="BJ236" s="72">
        <f>BJ163-BI163</f>
        <v>383.18160313924818</v>
      </c>
      <c r="BK236" s="4">
        <f t="shared" si="420"/>
        <v>1920.1185137535576</v>
      </c>
    </row>
    <row r="237" spans="2:63" ht="16.2" hidden="1" outlineLevel="1" x14ac:dyDescent="0.45">
      <c r="B237" s="714" t="s">
        <v>182</v>
      </c>
      <c r="C237" s="715"/>
      <c r="D237" s="34">
        <v>-103</v>
      </c>
      <c r="E237" s="8">
        <f>-262-D237</f>
        <v>-159</v>
      </c>
      <c r="F237" s="8">
        <f>0-E237-D237</f>
        <v>262</v>
      </c>
      <c r="G237" s="35">
        <f>0-F237-E237-D237</f>
        <v>0</v>
      </c>
      <c r="H237" s="7">
        <f t="shared" si="409"/>
        <v>0</v>
      </c>
      <c r="I237" s="34">
        <v>0</v>
      </c>
      <c r="J237" s="8">
        <v>0</v>
      </c>
      <c r="K237" s="8">
        <v>0</v>
      </c>
      <c r="L237" s="35">
        <v>0</v>
      </c>
      <c r="M237" s="7">
        <f t="shared" si="410"/>
        <v>0</v>
      </c>
      <c r="N237" s="34">
        <v>0</v>
      </c>
      <c r="O237" s="8">
        <v>0</v>
      </c>
      <c r="P237" s="8">
        <v>0</v>
      </c>
      <c r="Q237" s="35">
        <v>0</v>
      </c>
      <c r="R237" s="7">
        <f t="shared" si="411"/>
        <v>0</v>
      </c>
      <c r="S237" s="247">
        <v>-534</v>
      </c>
      <c r="T237" s="248">
        <f>-588-S237</f>
        <v>-54</v>
      </c>
      <c r="U237" s="248">
        <f>0-T237-S237</f>
        <v>588</v>
      </c>
      <c r="V237" s="249">
        <f>0-U237-T237-S237</f>
        <v>0</v>
      </c>
      <c r="W237" s="250">
        <f t="shared" si="412"/>
        <v>0</v>
      </c>
      <c r="X237" s="247">
        <v>0</v>
      </c>
      <c r="Y237" s="248">
        <v>0</v>
      </c>
      <c r="Z237" s="248">
        <v>0</v>
      </c>
      <c r="AA237" s="249">
        <v>0</v>
      </c>
      <c r="AB237" s="250">
        <f t="shared" si="413"/>
        <v>0</v>
      </c>
      <c r="AC237" s="247">
        <v>0</v>
      </c>
      <c r="AD237" s="248">
        <v>0</v>
      </c>
      <c r="AE237" s="248">
        <v>0</v>
      </c>
      <c r="AF237" s="248">
        <f>0-AE237-AD237-AC237</f>
        <v>0</v>
      </c>
      <c r="AG237" s="250">
        <f t="shared" si="414"/>
        <v>0</v>
      </c>
      <c r="AH237" s="247">
        <v>0</v>
      </c>
      <c r="AI237" s="248">
        <f>0-AH237</f>
        <v>0</v>
      </c>
      <c r="AJ237" s="248">
        <f>-AI237-AH237</f>
        <v>0</v>
      </c>
      <c r="AK237" s="248">
        <f>-397-AJ237-AI237-AH237</f>
        <v>-397</v>
      </c>
      <c r="AL237" s="250">
        <f t="shared" si="415"/>
        <v>-397</v>
      </c>
      <c r="AM237" s="247">
        <v>0</v>
      </c>
      <c r="AN237" s="8">
        <f>0-AM237</f>
        <v>0</v>
      </c>
      <c r="AO237" s="248">
        <f>AO165-AN165</f>
        <v>127.52950000000055</v>
      </c>
      <c r="AP237" s="248">
        <f>AP165-AO165</f>
        <v>56.477499999999964</v>
      </c>
      <c r="AQ237" s="250">
        <f t="shared" si="416"/>
        <v>184.00700000000052</v>
      </c>
      <c r="AR237" s="247">
        <f>AR165-AQ165</f>
        <v>81.112999999999829</v>
      </c>
      <c r="AS237" s="248">
        <f>AS165-AR165</f>
        <v>106.72000000000025</v>
      </c>
      <c r="AT237" s="248">
        <f>AT165-AS165</f>
        <v>96.993339744444711</v>
      </c>
      <c r="AU237" s="248">
        <f>AU165-AT165</f>
        <v>55.880160255555438</v>
      </c>
      <c r="AV237" s="250">
        <f t="shared" si="417"/>
        <v>340.70650000000023</v>
      </c>
      <c r="AW237" s="247">
        <f>AW165-AV165</f>
        <v>21.64308896733337</v>
      </c>
      <c r="AX237" s="248">
        <f>AX165-AW165</f>
        <v>-70.345801432383723</v>
      </c>
      <c r="AY237" s="248">
        <f>AY165-AX165</f>
        <v>-66.321232695818253</v>
      </c>
      <c r="AZ237" s="248">
        <f>AZ165-AY165</f>
        <v>8.755661512720053</v>
      </c>
      <c r="BA237" s="7">
        <f t="shared" si="418"/>
        <v>-106.26828364814855</v>
      </c>
      <c r="BB237" s="247">
        <f>BB165-BA165</f>
        <v>-3.3712102530448647</v>
      </c>
      <c r="BC237" s="248">
        <f>BC165-BB165</f>
        <v>-83.703393310216597</v>
      </c>
      <c r="BD237" s="248">
        <f>BD165-BC165</f>
        <v>-47.447356609516646</v>
      </c>
      <c r="BE237" s="248">
        <f>BE165-BD165</f>
        <v>11.754790361416326</v>
      </c>
      <c r="BF237" s="7">
        <f t="shared" si="419"/>
        <v>-122.76716981136178</v>
      </c>
      <c r="BG237" s="247">
        <f>BG165-BF165</f>
        <v>-52.76342938425978</v>
      </c>
      <c r="BH237" s="248">
        <f>BH165-BG165</f>
        <v>-48.581638477943216</v>
      </c>
      <c r="BI237" s="248">
        <f>BI165-BH165</f>
        <v>-32.727047857623802</v>
      </c>
      <c r="BJ237" s="248">
        <f>BJ165-BI165</f>
        <v>-16.490148197927283</v>
      </c>
      <c r="BK237" s="7">
        <f t="shared" si="420"/>
        <v>-150.56226391775408</v>
      </c>
    </row>
    <row r="238" spans="2:63" hidden="1" outlineLevel="1" x14ac:dyDescent="0.3">
      <c r="B238" s="722" t="s">
        <v>35</v>
      </c>
      <c r="C238" s="723"/>
      <c r="D238" s="14">
        <f t="shared" ref="D238:AD238" si="433">SUM(D230:D237)</f>
        <v>523</v>
      </c>
      <c r="E238" s="10">
        <f t="shared" si="433"/>
        <v>162</v>
      </c>
      <c r="F238" s="10">
        <f t="shared" si="433"/>
        <v>316</v>
      </c>
      <c r="G238" s="15">
        <f t="shared" si="433"/>
        <v>256</v>
      </c>
      <c r="H238" s="4">
        <f t="shared" si="409"/>
        <v>1257</v>
      </c>
      <c r="I238" s="14">
        <f t="shared" si="433"/>
        <v>429</v>
      </c>
      <c r="J238" s="10">
        <f t="shared" si="433"/>
        <v>547</v>
      </c>
      <c r="K238" s="10">
        <f>SUM(K230:K237)</f>
        <v>37</v>
      </c>
      <c r="L238" s="15">
        <f>SUM(L230:L237)</f>
        <v>431</v>
      </c>
      <c r="M238" s="4">
        <f t="shared" si="410"/>
        <v>1444</v>
      </c>
      <c r="N238" s="14">
        <f t="shared" si="433"/>
        <v>69</v>
      </c>
      <c r="O238" s="10">
        <f t="shared" si="433"/>
        <v>310</v>
      </c>
      <c r="P238" s="10">
        <f t="shared" si="433"/>
        <v>-55</v>
      </c>
      <c r="Q238" s="15">
        <f t="shared" si="433"/>
        <v>-2022</v>
      </c>
      <c r="R238" s="4">
        <f t="shared" si="411"/>
        <v>-1698</v>
      </c>
      <c r="S238" s="117">
        <f t="shared" si="433"/>
        <v>-4497</v>
      </c>
      <c r="T238" s="115">
        <f t="shared" si="433"/>
        <v>-2248</v>
      </c>
      <c r="U238" s="115">
        <f t="shared" si="433"/>
        <v>-2126</v>
      </c>
      <c r="V238" s="134">
        <f t="shared" si="433"/>
        <v>-7508</v>
      </c>
      <c r="W238" s="133">
        <f t="shared" si="412"/>
        <v>-16379</v>
      </c>
      <c r="X238" s="117">
        <f t="shared" si="433"/>
        <v>-7749</v>
      </c>
      <c r="Y238" s="115">
        <f t="shared" si="433"/>
        <v>-20407</v>
      </c>
      <c r="Z238" s="115">
        <f t="shared" si="433"/>
        <v>5987</v>
      </c>
      <c r="AA238" s="134">
        <f>SUM(AA230:AA237)</f>
        <v>-15410</v>
      </c>
      <c r="AB238" s="133">
        <f t="shared" si="413"/>
        <v>-37579</v>
      </c>
      <c r="AC238" s="117">
        <f>SUM(AC230:AC237)</f>
        <v>-6923</v>
      </c>
      <c r="AD238" s="115">
        <f t="shared" si="433"/>
        <v>-1739</v>
      </c>
      <c r="AE238" s="115">
        <f t="shared" ref="AE238:AK238" si="434">SUM(AE230:AE237)</f>
        <v>-2755</v>
      </c>
      <c r="AF238" s="115">
        <f t="shared" si="434"/>
        <v>-6299</v>
      </c>
      <c r="AG238" s="135">
        <f t="shared" si="434"/>
        <v>-17716</v>
      </c>
      <c r="AH238" s="117">
        <f t="shared" si="434"/>
        <v>-11444</v>
      </c>
      <c r="AI238" s="115">
        <f t="shared" si="434"/>
        <v>6884</v>
      </c>
      <c r="AJ238" s="115">
        <f t="shared" si="434"/>
        <v>-9441</v>
      </c>
      <c r="AK238" s="115">
        <f t="shared" si="434"/>
        <v>-6482</v>
      </c>
      <c r="AL238" s="135">
        <f t="shared" si="415"/>
        <v>-20483</v>
      </c>
      <c r="AM238" s="117">
        <f>SUM(AM230:AM237)</f>
        <v>-12047</v>
      </c>
      <c r="AN238" s="115">
        <f>SUM(AN230:AN237)</f>
        <v>465</v>
      </c>
      <c r="AO238" s="115">
        <f>SUM(AO230:AO237)</f>
        <v>-5412.5178394894374</v>
      </c>
      <c r="AP238" s="115">
        <f>SUM(AP230:AP237)</f>
        <v>-9307.9820663248829</v>
      </c>
      <c r="AQ238" s="135">
        <f t="shared" si="416"/>
        <v>-26302.499905814322</v>
      </c>
      <c r="AR238" s="117">
        <f>SUM(AR230:AR237)</f>
        <v>-1679.4384426675319</v>
      </c>
      <c r="AS238" s="115">
        <f>SUM(AS230:AS237)</f>
        <v>-378.48778890121594</v>
      </c>
      <c r="AT238" s="115">
        <f>SUM(AT230:AT237)</f>
        <v>-5844.219957131736</v>
      </c>
      <c r="AU238" s="115">
        <f>SUM(AU230:AU237)</f>
        <v>-4840.4451682381678</v>
      </c>
      <c r="AV238" s="133">
        <f t="shared" si="417"/>
        <v>-12742.591356938652</v>
      </c>
      <c r="AW238" s="117">
        <f>SUM(AW230:AW237)</f>
        <v>464.81752664697296</v>
      </c>
      <c r="AX238" s="115">
        <f>SUM(AX230:AX237)</f>
        <v>-3194.0822220497244</v>
      </c>
      <c r="AY238" s="115">
        <f>SUM(AY230:AY237)</f>
        <v>-6530.0378713775535</v>
      </c>
      <c r="AZ238" s="115">
        <f>SUM(AZ230:AZ237)</f>
        <v>-4673.654836833095</v>
      </c>
      <c r="BA238" s="4">
        <f t="shared" si="418"/>
        <v>-13932.9574036134</v>
      </c>
      <c r="BB238" s="117">
        <f>SUM(BB230:BB237)</f>
        <v>667.07069679997176</v>
      </c>
      <c r="BC238" s="115">
        <f>SUM(BC230:BC237)</f>
        <v>-4497.8751609130313</v>
      </c>
      <c r="BD238" s="115">
        <f>SUM(BD230:BD237)</f>
        <v>-6987.2509116578512</v>
      </c>
      <c r="BE238" s="115">
        <f>SUM(BE230:BE237)</f>
        <v>-4738.9361139117009</v>
      </c>
      <c r="BF238" s="4">
        <f t="shared" si="419"/>
        <v>-15556.991489682612</v>
      </c>
      <c r="BG238" s="117">
        <f>SUM(BG230:BG237)</f>
        <v>-366.76816215363169</v>
      </c>
      <c r="BH238" s="115">
        <f>SUM(BH230:BH237)</f>
        <v>-5193.4059864320443</v>
      </c>
      <c r="BI238" s="115">
        <f>SUM(BI230:BI237)</f>
        <v>-7318.4138487471801</v>
      </c>
      <c r="BJ238" s="115">
        <f>SUM(BJ230:BJ237)</f>
        <v>-4954.8544625359154</v>
      </c>
      <c r="BK238" s="4">
        <f t="shared" si="420"/>
        <v>-17833.442459868769</v>
      </c>
    </row>
    <row r="239" spans="2:63" s="62" customFormat="1" hidden="1" outlineLevel="1" x14ac:dyDescent="0.3">
      <c r="B239" s="714" t="s">
        <v>36</v>
      </c>
      <c r="C239" s="715"/>
      <c r="D239" s="38">
        <f t="shared" ref="D239:BA239" si="435">D238+D227+D217</f>
        <v>2346</v>
      </c>
      <c r="E239" s="186">
        <f t="shared" si="435"/>
        <v>2362</v>
      </c>
      <c r="F239" s="186">
        <f t="shared" si="435"/>
        <v>-266</v>
      </c>
      <c r="G239" s="39">
        <f t="shared" si="435"/>
        <v>1556</v>
      </c>
      <c r="H239" s="12">
        <f t="shared" si="435"/>
        <v>5998</v>
      </c>
      <c r="I239" s="38">
        <f t="shared" si="435"/>
        <v>-527</v>
      </c>
      <c r="J239" s="186">
        <f t="shared" si="435"/>
        <v>5244</v>
      </c>
      <c r="K239" s="186">
        <f t="shared" si="435"/>
        <v>-3887</v>
      </c>
      <c r="L239" s="39">
        <f t="shared" si="435"/>
        <v>-2276</v>
      </c>
      <c r="M239" s="12">
        <f>M238+M227+M217</f>
        <v>-1446</v>
      </c>
      <c r="N239" s="38">
        <f t="shared" si="435"/>
        <v>495</v>
      </c>
      <c r="O239" s="186">
        <f t="shared" si="435"/>
        <v>-189</v>
      </c>
      <c r="P239" s="186">
        <f t="shared" si="435"/>
        <v>-2176</v>
      </c>
      <c r="Q239" s="39">
        <f t="shared" si="435"/>
        <v>2801</v>
      </c>
      <c r="R239" s="12">
        <f t="shared" si="435"/>
        <v>931</v>
      </c>
      <c r="S239" s="38">
        <f t="shared" si="435"/>
        <v>5408</v>
      </c>
      <c r="T239" s="186">
        <f t="shared" si="435"/>
        <v>-4101</v>
      </c>
      <c r="U239" s="186">
        <f t="shared" si="435"/>
        <v>-805</v>
      </c>
      <c r="V239" s="39">
        <f t="shared" si="435"/>
        <v>3011</v>
      </c>
      <c r="W239" s="12">
        <f t="shared" si="435"/>
        <v>3513</v>
      </c>
      <c r="X239" s="38">
        <f t="shared" si="435"/>
        <v>-182</v>
      </c>
      <c r="Y239" s="186">
        <f t="shared" si="435"/>
        <v>4872</v>
      </c>
      <c r="Z239" s="186">
        <f t="shared" si="435"/>
        <v>-5972</v>
      </c>
      <c r="AA239" s="39">
        <f t="shared" si="435"/>
        <v>837</v>
      </c>
      <c r="AB239" s="12">
        <f t="shared" si="435"/>
        <v>-445</v>
      </c>
      <c r="AC239" s="38">
        <f>AC238+AC227+AC217</f>
        <v>5634</v>
      </c>
      <c r="AD239" s="186">
        <f t="shared" si="435"/>
        <v>-4989</v>
      </c>
      <c r="AE239" s="186">
        <f t="shared" si="435"/>
        <v>830</v>
      </c>
      <c r="AF239" s="186">
        <f>AF238+AF227+AF217</f>
        <v>5801</v>
      </c>
      <c r="AG239" s="12">
        <f>AG238+AG227+AG217</f>
        <v>7276</v>
      </c>
      <c r="AH239" s="38">
        <f t="shared" si="435"/>
        <v>-4431</v>
      </c>
      <c r="AI239" s="186">
        <f t="shared" si="435"/>
        <v>4825</v>
      </c>
      <c r="AJ239" s="186">
        <f t="shared" si="435"/>
        <v>-3277</v>
      </c>
      <c r="AK239" s="186">
        <f t="shared" si="435"/>
        <v>2247</v>
      </c>
      <c r="AL239" s="12">
        <f t="shared" si="435"/>
        <v>-636</v>
      </c>
      <c r="AM239" s="38">
        <f t="shared" si="435"/>
        <v>-4113</v>
      </c>
      <c r="AN239" s="186">
        <f t="shared" si="435"/>
        <v>-1214</v>
      </c>
      <c r="AO239" s="186">
        <f t="shared" si="435"/>
        <v>1589.3743557989856</v>
      </c>
      <c r="AP239" s="186">
        <f t="shared" si="435"/>
        <v>4848.412988999673</v>
      </c>
      <c r="AQ239" s="12">
        <f>AQ238+AQ227+AQ217</f>
        <v>1110.7873447986785</v>
      </c>
      <c r="AR239" s="38">
        <f t="shared" si="435"/>
        <v>4970.8956320509642</v>
      </c>
      <c r="AS239" s="186">
        <f t="shared" si="435"/>
        <v>6050.4276229062816</v>
      </c>
      <c r="AT239" s="186">
        <f t="shared" si="435"/>
        <v>893.63233240804402</v>
      </c>
      <c r="AU239" s="186">
        <f t="shared" si="435"/>
        <v>11410.087864921723</v>
      </c>
      <c r="AV239" s="12">
        <f t="shared" si="435"/>
        <v>23325.043452286984</v>
      </c>
      <c r="AW239" s="38">
        <f t="shared" si="435"/>
        <v>2685.5008938540632</v>
      </c>
      <c r="AX239" s="186">
        <f t="shared" si="435"/>
        <v>1193.6028447813951</v>
      </c>
      <c r="AY239" s="186">
        <f t="shared" si="435"/>
        <v>-1895.3454977167421</v>
      </c>
      <c r="AZ239" s="186">
        <f t="shared" si="435"/>
        <v>15004.993241153554</v>
      </c>
      <c r="BA239" s="12">
        <f t="shared" si="435"/>
        <v>16988.751482072243</v>
      </c>
      <c r="BB239" s="38">
        <f t="shared" ref="BB239:BK239" si="436">BB238+BB227+BB217</f>
        <v>-2902.3833556868267</v>
      </c>
      <c r="BC239" s="186">
        <f t="shared" si="436"/>
        <v>-1070.9510568928454</v>
      </c>
      <c r="BD239" s="186">
        <f t="shared" si="436"/>
        <v>-2792.2014547123235</v>
      </c>
      <c r="BE239" s="186">
        <f t="shared" si="436"/>
        <v>17763.592107527234</v>
      </c>
      <c r="BF239" s="12">
        <f t="shared" si="436"/>
        <v>10998.056240235223</v>
      </c>
      <c r="BG239" s="38">
        <f t="shared" si="436"/>
        <v>-12107.259690310768</v>
      </c>
      <c r="BH239" s="186">
        <f t="shared" si="436"/>
        <v>-356.4873182640913</v>
      </c>
      <c r="BI239" s="186">
        <f t="shared" si="436"/>
        <v>-5927.8524951698018</v>
      </c>
      <c r="BJ239" s="186">
        <f t="shared" si="436"/>
        <v>21218.215390816851</v>
      </c>
      <c r="BK239" s="12">
        <f t="shared" si="436"/>
        <v>2826.6158870721847</v>
      </c>
    </row>
    <row r="240" spans="2:63" s="62" customFormat="1" ht="16.2" hidden="1" outlineLevel="1" x14ac:dyDescent="0.45">
      <c r="B240" s="714" t="s">
        <v>37</v>
      </c>
      <c r="C240" s="715"/>
      <c r="D240" s="34">
        <v>5263</v>
      </c>
      <c r="E240" s="8">
        <f t="shared" ref="E240:AZ240" si="437">D241</f>
        <v>7609</v>
      </c>
      <c r="F240" s="8">
        <f t="shared" si="437"/>
        <v>9971</v>
      </c>
      <c r="G240" s="35">
        <f t="shared" si="437"/>
        <v>9705</v>
      </c>
      <c r="H240" s="7">
        <f>D240</f>
        <v>5263</v>
      </c>
      <c r="I240" s="34">
        <f>H241</f>
        <v>11261</v>
      </c>
      <c r="J240" s="8">
        <f t="shared" si="437"/>
        <v>10734</v>
      </c>
      <c r="K240" s="8">
        <f t="shared" si="437"/>
        <v>15978</v>
      </c>
      <c r="L240" s="35">
        <f t="shared" si="437"/>
        <v>12091</v>
      </c>
      <c r="M240" s="7">
        <f>H241</f>
        <v>11261</v>
      </c>
      <c r="N240" s="34">
        <f>M241</f>
        <v>9815</v>
      </c>
      <c r="O240" s="8">
        <f t="shared" si="437"/>
        <v>10310</v>
      </c>
      <c r="P240" s="8">
        <f t="shared" si="437"/>
        <v>10121</v>
      </c>
      <c r="Q240" s="35">
        <f t="shared" si="437"/>
        <v>7945</v>
      </c>
      <c r="R240" s="7">
        <f>M241</f>
        <v>9815</v>
      </c>
      <c r="S240" s="34">
        <f t="shared" si="437"/>
        <v>10746</v>
      </c>
      <c r="T240" s="8">
        <f t="shared" si="437"/>
        <v>16154</v>
      </c>
      <c r="U240" s="8">
        <f t="shared" si="437"/>
        <v>12053</v>
      </c>
      <c r="V240" s="35">
        <f t="shared" si="437"/>
        <v>11248</v>
      </c>
      <c r="W240" s="7">
        <f>R241</f>
        <v>10746</v>
      </c>
      <c r="X240" s="34">
        <f t="shared" si="437"/>
        <v>14259</v>
      </c>
      <c r="Y240" s="8">
        <f t="shared" si="437"/>
        <v>14077</v>
      </c>
      <c r="Z240" s="8">
        <f t="shared" si="437"/>
        <v>18949</v>
      </c>
      <c r="AA240" s="35">
        <f t="shared" si="437"/>
        <v>12977</v>
      </c>
      <c r="AB240" s="7">
        <f>W241</f>
        <v>14259</v>
      </c>
      <c r="AC240" s="34">
        <v>13844</v>
      </c>
      <c r="AD240" s="8">
        <f>AC241</f>
        <v>19478</v>
      </c>
      <c r="AE240" s="8">
        <f>AD241</f>
        <v>14489</v>
      </c>
      <c r="AF240" s="8">
        <f>AE241</f>
        <v>15319</v>
      </c>
      <c r="AG240" s="7">
        <f>AB241</f>
        <v>13814</v>
      </c>
      <c r="AH240" s="34">
        <f>AG241</f>
        <v>21120</v>
      </c>
      <c r="AI240" s="8">
        <f t="shared" si="437"/>
        <v>16689</v>
      </c>
      <c r="AJ240" s="8">
        <f t="shared" si="437"/>
        <v>21514</v>
      </c>
      <c r="AK240" s="8">
        <f t="shared" si="437"/>
        <v>18237</v>
      </c>
      <c r="AL240" s="7">
        <f>AG241</f>
        <v>21120</v>
      </c>
      <c r="AM240" s="34">
        <f t="shared" si="437"/>
        <v>20484</v>
      </c>
      <c r="AN240" s="8">
        <f t="shared" si="437"/>
        <v>16371</v>
      </c>
      <c r="AO240" s="8">
        <f t="shared" si="437"/>
        <v>15157</v>
      </c>
      <c r="AP240" s="8">
        <f t="shared" si="437"/>
        <v>16746.374355798987</v>
      </c>
      <c r="AQ240" s="7">
        <f>AL241</f>
        <v>20484</v>
      </c>
      <c r="AR240" s="34">
        <f t="shared" si="437"/>
        <v>21594.787344798679</v>
      </c>
      <c r="AS240" s="8">
        <f t="shared" si="437"/>
        <v>26565.682976849643</v>
      </c>
      <c r="AT240" s="8">
        <f t="shared" si="437"/>
        <v>32616.110599755924</v>
      </c>
      <c r="AU240" s="8">
        <f t="shared" si="437"/>
        <v>33509.742932163965</v>
      </c>
      <c r="AV240" s="7">
        <f>AQ241</f>
        <v>21594.787344798679</v>
      </c>
      <c r="AW240" s="34">
        <f t="shared" si="437"/>
        <v>44919.830797085662</v>
      </c>
      <c r="AX240" s="8">
        <f t="shared" si="437"/>
        <v>47605.331690939725</v>
      </c>
      <c r="AY240" s="8">
        <f t="shared" si="437"/>
        <v>48798.93453572112</v>
      </c>
      <c r="AZ240" s="8">
        <f t="shared" si="437"/>
        <v>46903.589038004378</v>
      </c>
      <c r="BA240" s="7">
        <f>AV241</f>
        <v>44919.830797085662</v>
      </c>
      <c r="BB240" s="34">
        <f>BA241</f>
        <v>61908.582279157905</v>
      </c>
      <c r="BC240" s="8">
        <f>BB241</f>
        <v>59006.198923471078</v>
      </c>
      <c r="BD240" s="8">
        <f>BC241</f>
        <v>57935.247866578233</v>
      </c>
      <c r="BE240" s="8">
        <f>BD241</f>
        <v>55143.046411865907</v>
      </c>
      <c r="BF240" s="7">
        <f>BA241</f>
        <v>61908.582279157905</v>
      </c>
      <c r="BG240" s="34">
        <f>BF241</f>
        <v>72906.638519393135</v>
      </c>
      <c r="BH240" s="8">
        <f>BG241</f>
        <v>60799.378829082365</v>
      </c>
      <c r="BI240" s="8">
        <f>BH241</f>
        <v>60442.89151081827</v>
      </c>
      <c r="BJ240" s="8">
        <f>BI241</f>
        <v>54515.039015648465</v>
      </c>
      <c r="BK240" s="7">
        <f>BF241</f>
        <v>72906.638519393135</v>
      </c>
    </row>
    <row r="241" spans="2:63" hidden="1" outlineLevel="1" x14ac:dyDescent="0.3">
      <c r="B241" s="722" t="s">
        <v>38</v>
      </c>
      <c r="C241" s="723"/>
      <c r="D241" s="14">
        <f t="shared" ref="D241:AF241" si="438">D240+D239</f>
        <v>7609</v>
      </c>
      <c r="E241" s="10">
        <f t="shared" si="438"/>
        <v>9971</v>
      </c>
      <c r="F241" s="10">
        <f t="shared" si="438"/>
        <v>9705</v>
      </c>
      <c r="G241" s="15">
        <f t="shared" si="438"/>
        <v>11261</v>
      </c>
      <c r="H241" s="9">
        <f t="shared" si="438"/>
        <v>11261</v>
      </c>
      <c r="I241" s="14">
        <f t="shared" si="438"/>
        <v>10734</v>
      </c>
      <c r="J241" s="10">
        <f t="shared" si="438"/>
        <v>15978</v>
      </c>
      <c r="K241" s="10">
        <f t="shared" si="438"/>
        <v>12091</v>
      </c>
      <c r="L241" s="15">
        <f t="shared" si="438"/>
        <v>9815</v>
      </c>
      <c r="M241" s="9">
        <f t="shared" si="438"/>
        <v>9815</v>
      </c>
      <c r="N241" s="14">
        <f t="shared" si="438"/>
        <v>10310</v>
      </c>
      <c r="O241" s="10">
        <f t="shared" si="438"/>
        <v>10121</v>
      </c>
      <c r="P241" s="10">
        <f t="shared" si="438"/>
        <v>7945</v>
      </c>
      <c r="Q241" s="15">
        <f t="shared" si="438"/>
        <v>10746</v>
      </c>
      <c r="R241" s="9">
        <f t="shared" si="438"/>
        <v>10746</v>
      </c>
      <c r="S241" s="14">
        <f t="shared" si="438"/>
        <v>16154</v>
      </c>
      <c r="T241" s="10">
        <f t="shared" si="438"/>
        <v>12053</v>
      </c>
      <c r="U241" s="10">
        <f t="shared" si="438"/>
        <v>11248</v>
      </c>
      <c r="V241" s="15">
        <f t="shared" si="438"/>
        <v>14259</v>
      </c>
      <c r="W241" s="9">
        <f t="shared" si="438"/>
        <v>14259</v>
      </c>
      <c r="X241" s="14">
        <f t="shared" si="438"/>
        <v>14077</v>
      </c>
      <c r="Y241" s="10">
        <f t="shared" si="438"/>
        <v>18949</v>
      </c>
      <c r="Z241" s="10">
        <f t="shared" si="438"/>
        <v>12977</v>
      </c>
      <c r="AA241" s="15">
        <f t="shared" si="438"/>
        <v>13814</v>
      </c>
      <c r="AB241" s="9">
        <f t="shared" si="438"/>
        <v>13814</v>
      </c>
      <c r="AC241" s="14">
        <f t="shared" si="438"/>
        <v>19478</v>
      </c>
      <c r="AD241" s="10">
        <f t="shared" si="438"/>
        <v>14489</v>
      </c>
      <c r="AE241" s="10">
        <f t="shared" si="438"/>
        <v>15319</v>
      </c>
      <c r="AF241" s="10">
        <f t="shared" si="438"/>
        <v>21120</v>
      </c>
      <c r="AG241" s="9">
        <f>AF241</f>
        <v>21120</v>
      </c>
      <c r="AH241" s="14">
        <f t="shared" ref="AH241:BK241" si="439">AH240+AH239</f>
        <v>16689</v>
      </c>
      <c r="AI241" s="10">
        <f t="shared" si="439"/>
        <v>21514</v>
      </c>
      <c r="AJ241" s="10">
        <f t="shared" si="439"/>
        <v>18237</v>
      </c>
      <c r="AK241" s="10">
        <f t="shared" si="439"/>
        <v>20484</v>
      </c>
      <c r="AL241" s="9">
        <f t="shared" si="439"/>
        <v>20484</v>
      </c>
      <c r="AM241" s="14">
        <f t="shared" si="439"/>
        <v>16371</v>
      </c>
      <c r="AN241" s="10">
        <f t="shared" si="439"/>
        <v>15157</v>
      </c>
      <c r="AO241" s="10">
        <f t="shared" si="439"/>
        <v>16746.374355798987</v>
      </c>
      <c r="AP241" s="10">
        <f t="shared" si="439"/>
        <v>21594.78734479866</v>
      </c>
      <c r="AQ241" s="9">
        <f>AQ240+AQ239</f>
        <v>21594.787344798679</v>
      </c>
      <c r="AR241" s="14">
        <f t="shared" si="439"/>
        <v>26565.682976849643</v>
      </c>
      <c r="AS241" s="10">
        <f t="shared" si="439"/>
        <v>32616.110599755924</v>
      </c>
      <c r="AT241" s="10">
        <f t="shared" si="439"/>
        <v>33509.742932163965</v>
      </c>
      <c r="AU241" s="10">
        <f t="shared" si="439"/>
        <v>44919.830797085684</v>
      </c>
      <c r="AV241" s="9">
        <f t="shared" si="439"/>
        <v>44919.830797085662</v>
      </c>
      <c r="AW241" s="14">
        <f t="shared" si="439"/>
        <v>47605.331690939725</v>
      </c>
      <c r="AX241" s="10">
        <f t="shared" si="439"/>
        <v>48798.93453572112</v>
      </c>
      <c r="AY241" s="10">
        <f t="shared" si="439"/>
        <v>46903.589038004378</v>
      </c>
      <c r="AZ241" s="10">
        <f t="shared" si="439"/>
        <v>61908.582279157934</v>
      </c>
      <c r="BA241" s="9">
        <f t="shared" si="439"/>
        <v>61908.582279157905</v>
      </c>
      <c r="BB241" s="14">
        <f t="shared" si="439"/>
        <v>59006.198923471078</v>
      </c>
      <c r="BC241" s="10">
        <f t="shared" si="439"/>
        <v>57935.247866578233</v>
      </c>
      <c r="BD241" s="10">
        <f t="shared" si="439"/>
        <v>55143.046411865907</v>
      </c>
      <c r="BE241" s="10">
        <f t="shared" si="439"/>
        <v>72906.638519393135</v>
      </c>
      <c r="BF241" s="9">
        <f t="shared" si="439"/>
        <v>72906.638519393135</v>
      </c>
      <c r="BG241" s="14">
        <f t="shared" si="439"/>
        <v>60799.378829082365</v>
      </c>
      <c r="BH241" s="10">
        <f t="shared" si="439"/>
        <v>60442.89151081827</v>
      </c>
      <c r="BI241" s="10">
        <f t="shared" si="439"/>
        <v>54515.039015648465</v>
      </c>
      <c r="BJ241" s="10">
        <f t="shared" si="439"/>
        <v>75733.254406465319</v>
      </c>
      <c r="BK241" s="9">
        <f t="shared" si="439"/>
        <v>75733.254406465319</v>
      </c>
    </row>
    <row r="242" spans="2:63" hidden="1" outlineLevel="1" x14ac:dyDescent="0.3">
      <c r="B242" s="726" t="s">
        <v>71</v>
      </c>
      <c r="C242" s="728"/>
      <c r="D242" s="38"/>
      <c r="E242" s="13"/>
      <c r="F242" s="13"/>
      <c r="G242" s="39"/>
      <c r="H242" s="18">
        <f>H217-(-H224)+(-H24*(1-H128))</f>
        <v>16472.847087378639</v>
      </c>
      <c r="I242" s="38"/>
      <c r="J242" s="13"/>
      <c r="K242" s="13"/>
      <c r="L242" s="39"/>
      <c r="M242" s="18">
        <f>M217-(-M224)+(-M24*(1-M128))</f>
        <v>32954.495395410027</v>
      </c>
      <c r="N242" s="38"/>
      <c r="O242" s="13"/>
      <c r="P242" s="13"/>
      <c r="Q242" s="39"/>
      <c r="R242" s="18">
        <f>R217-(-R224)+(-R24*(1-R128))</f>
        <v>42170.335473342537</v>
      </c>
      <c r="S242" s="38"/>
      <c r="T242" s="13"/>
      <c r="U242" s="13"/>
      <c r="V242" s="39"/>
      <c r="W242" s="18">
        <f>W217-(-W224)+(-W24*(1-W128))</f>
        <v>44647.35087229588</v>
      </c>
      <c r="X242" s="38"/>
      <c r="Y242" s="13"/>
      <c r="Z242" s="13"/>
      <c r="AA242" s="39"/>
      <c r="AB242" s="18">
        <f>AB217-(-AB224)+(-AB24*(1-AB128))</f>
        <v>49418.035375726868</v>
      </c>
      <c r="AC242" s="38"/>
      <c r="AD242" s="13"/>
      <c r="AE242" s="13"/>
      <c r="AF242" s="13"/>
      <c r="AG242" s="18">
        <f>AG217-(-AG224)+($C$287*AG166*(1-$C$288))</f>
        <v>70611.948988843113</v>
      </c>
      <c r="AH242" s="38"/>
      <c r="AI242" s="13"/>
      <c r="AJ242" s="13"/>
      <c r="AK242" s="13"/>
      <c r="AL242" s="184">
        <f>AL217-(-AL224)+($C$287*AL166*(1-$C$288))</f>
        <v>53926.547956184084</v>
      </c>
      <c r="AM242" s="38"/>
      <c r="AN242" s="13"/>
      <c r="AO242" s="13"/>
      <c r="AP242" s="13"/>
      <c r="AQ242" s="184">
        <f>AQ217-(-AQ224)+($C$287*AQ166*(1-$C$288))</f>
        <v>60545.639597984045</v>
      </c>
      <c r="AR242" s="38"/>
      <c r="AS242" s="13"/>
      <c r="AT242" s="13"/>
      <c r="AU242" s="13"/>
      <c r="AV242" s="184">
        <f>AV217-(-AV224)+($C$287*AV166*(1-$C$288))</f>
        <v>65717.745370274846</v>
      </c>
      <c r="AW242" s="38"/>
      <c r="AX242" s="13"/>
      <c r="AY242" s="13"/>
      <c r="AZ242" s="13"/>
      <c r="BA242" s="184">
        <f>BA217-(-BA224)+($C$287*BA166*(1-$C$288))</f>
        <v>63927.13223797566</v>
      </c>
      <c r="BB242" s="38"/>
      <c r="BC242" s="186"/>
      <c r="BD242" s="186"/>
      <c r="BE242" s="186"/>
      <c r="BF242" s="184">
        <f>BF217-(-BF224)+($C$287*BF166*(1-$C$288))</f>
        <v>63265.08722142606</v>
      </c>
      <c r="BG242" s="38"/>
      <c r="BH242" s="186"/>
      <c r="BI242" s="186"/>
      <c r="BJ242" s="186"/>
      <c r="BK242" s="184">
        <f>BK217-(-BK224)+($C$287*BK166*(1-$C$288))</f>
        <v>61458.309326111936</v>
      </c>
    </row>
    <row r="243" spans="2:63" s="160" customFormat="1" hidden="1" outlineLevel="1" x14ac:dyDescent="0.3">
      <c r="B243" s="183" t="s">
        <v>212</v>
      </c>
      <c r="C243" s="181"/>
      <c r="D243" s="38"/>
      <c r="E243" s="13"/>
      <c r="F243" s="13"/>
      <c r="G243" s="13"/>
      <c r="H243" s="18"/>
      <c r="I243" s="13"/>
      <c r="J243" s="13"/>
      <c r="K243" s="13"/>
      <c r="L243" s="13"/>
      <c r="M243" s="18"/>
      <c r="N243" s="13"/>
      <c r="O243" s="13"/>
      <c r="P243" s="13"/>
      <c r="Q243" s="13"/>
      <c r="R243" s="18"/>
      <c r="S243" s="13"/>
      <c r="T243" s="13"/>
      <c r="U243" s="13"/>
      <c r="V243" s="13"/>
      <c r="W243" s="18"/>
      <c r="X243" s="13"/>
      <c r="Y243" s="13"/>
      <c r="Z243" s="13"/>
      <c r="AA243" s="13"/>
      <c r="AB243" s="18"/>
      <c r="AC243" s="13"/>
      <c r="AD243" s="13"/>
      <c r="AE243" s="13"/>
      <c r="AF243" s="13"/>
      <c r="AG243" s="18">
        <v>0</v>
      </c>
      <c r="AH243" s="13"/>
      <c r="AI243" s="13"/>
      <c r="AJ243" s="13"/>
      <c r="AK243" s="13"/>
      <c r="AL243" s="18">
        <v>0</v>
      </c>
      <c r="AM243" s="13"/>
      <c r="AN243" s="13"/>
      <c r="AO243" s="13"/>
      <c r="AP243" s="13"/>
      <c r="AQ243" s="184">
        <f>AL243+1</f>
        <v>1</v>
      </c>
      <c r="AR243" s="13"/>
      <c r="AS243" s="13"/>
      <c r="AT243" s="13"/>
      <c r="AU243" s="13"/>
      <c r="AV243" s="184">
        <f>AQ243+1</f>
        <v>2</v>
      </c>
      <c r="AW243" s="13"/>
      <c r="AX243" s="13"/>
      <c r="AY243" s="13"/>
      <c r="AZ243" s="13"/>
      <c r="BA243" s="184">
        <f>AV243+1</f>
        <v>3</v>
      </c>
      <c r="BB243" s="186"/>
      <c r="BC243" s="186"/>
      <c r="BD243" s="186"/>
      <c r="BE243" s="186"/>
      <c r="BF243" s="184">
        <f>BA243+1</f>
        <v>4</v>
      </c>
      <c r="BG243" s="186"/>
      <c r="BH243" s="186"/>
      <c r="BI243" s="186"/>
      <c r="BJ243" s="186"/>
      <c r="BK243" s="184">
        <f>BF243+1</f>
        <v>5</v>
      </c>
    </row>
    <row r="244" spans="2:63" hidden="1" outlineLevel="1" x14ac:dyDescent="0.3">
      <c r="B244" s="726" t="s">
        <v>72</v>
      </c>
      <c r="C244" s="727"/>
      <c r="D244" s="38"/>
      <c r="E244" s="186"/>
      <c r="F244" s="186"/>
      <c r="G244" s="186"/>
      <c r="H244" s="12"/>
      <c r="I244" s="186"/>
      <c r="J244" s="186"/>
      <c r="K244" s="186"/>
      <c r="L244" s="186"/>
      <c r="M244" s="12"/>
      <c r="N244" s="186"/>
      <c r="O244" s="186"/>
      <c r="P244" s="186"/>
      <c r="Q244" s="186"/>
      <c r="R244" s="12"/>
      <c r="S244" s="186"/>
      <c r="T244" s="186"/>
      <c r="U244" s="186"/>
      <c r="V244" s="186"/>
      <c r="W244" s="12"/>
      <c r="X244" s="186"/>
      <c r="Y244" s="186"/>
      <c r="Z244" s="186"/>
      <c r="AA244" s="186"/>
      <c r="AB244" s="12"/>
      <c r="AC244" s="186"/>
      <c r="AD244" s="186"/>
      <c r="AE244" s="186"/>
      <c r="AF244" s="186"/>
      <c r="AG244" s="12">
        <f>AG242/(1+$C$290)^AG243</f>
        <v>70611.948988843113</v>
      </c>
      <c r="AH244" s="186"/>
      <c r="AI244" s="186"/>
      <c r="AJ244" s="186"/>
      <c r="AK244" s="186"/>
      <c r="AL244" s="12">
        <f>AL242/(1+$C$290)^AL243</f>
        <v>53926.547956184084</v>
      </c>
      <c r="AM244" s="186"/>
      <c r="AN244" s="186"/>
      <c r="AO244" s="186"/>
      <c r="AP244" s="186"/>
      <c r="AQ244" s="12">
        <f>AQ242/(1+$C$290)^AQ243</f>
        <v>57141.484956255445</v>
      </c>
      <c r="AR244" s="186"/>
      <c r="AS244" s="186"/>
      <c r="AT244" s="186"/>
      <c r="AU244" s="186"/>
      <c r="AV244" s="12">
        <f>AV242/(1+$C$290)^AV243</f>
        <v>58535.584224710248</v>
      </c>
      <c r="AW244" s="186"/>
      <c r="AX244" s="186"/>
      <c r="AY244" s="186"/>
      <c r="AZ244" s="186"/>
      <c r="BA244" s="12">
        <f>BA242/(1+$C$290)^BA243</f>
        <v>53739.197332197473</v>
      </c>
      <c r="BB244" s="186"/>
      <c r="BC244" s="186"/>
      <c r="BD244" s="186"/>
      <c r="BE244" s="186"/>
      <c r="BF244" s="12">
        <f>BF242/(1+$C$290)^BF243</f>
        <v>50192.486975842738</v>
      </c>
      <c r="BG244" s="186"/>
      <c r="BH244" s="186"/>
      <c r="BI244" s="186"/>
      <c r="BJ244" s="186"/>
      <c r="BK244" s="12">
        <f>BK242/(1+$C$290)^BK243</f>
        <v>46017.589300115884</v>
      </c>
    </row>
    <row r="245" spans="2:63" s="199" customFormat="1" hidden="1" outlineLevel="1" x14ac:dyDescent="0.3">
      <c r="B245" s="397" t="s">
        <v>399</v>
      </c>
      <c r="C245" s="409"/>
      <c r="D245" s="398"/>
      <c r="E245" s="399"/>
      <c r="F245" s="399"/>
      <c r="G245" s="399"/>
      <c r="H245" s="400"/>
      <c r="I245" s="399"/>
      <c r="J245" s="399"/>
      <c r="K245" s="399"/>
      <c r="L245" s="399"/>
      <c r="M245" s="400"/>
      <c r="N245" s="399"/>
      <c r="O245" s="399"/>
      <c r="P245" s="399"/>
      <c r="Q245" s="399"/>
      <c r="R245" s="400"/>
      <c r="S245" s="399"/>
      <c r="T245" s="399"/>
      <c r="U245" s="399"/>
      <c r="V245" s="399"/>
      <c r="W245" s="400"/>
      <c r="X245" s="399"/>
      <c r="Y245" s="399"/>
      <c r="Z245" s="399"/>
      <c r="AA245" s="399"/>
      <c r="AB245" s="400"/>
      <c r="AC245" s="399"/>
      <c r="AD245" s="399"/>
      <c r="AE245" s="399"/>
      <c r="AF245" s="399"/>
      <c r="AG245" s="400"/>
      <c r="AH245" s="399"/>
      <c r="AI245" s="399"/>
      <c r="AJ245" s="399"/>
      <c r="AK245" s="399"/>
      <c r="AL245" s="400"/>
      <c r="AM245" s="399"/>
      <c r="AN245" s="399"/>
      <c r="AO245" s="399"/>
      <c r="AP245" s="399"/>
      <c r="AQ245" s="400"/>
      <c r="AR245" s="399"/>
      <c r="AS245" s="399"/>
      <c r="AT245" s="399"/>
      <c r="AU245" s="399"/>
      <c r="AV245" s="400"/>
      <c r="AW245" s="399"/>
      <c r="AX245" s="399"/>
      <c r="AY245" s="399"/>
      <c r="AZ245" s="399"/>
      <c r="BA245" s="400"/>
      <c r="BB245" s="399"/>
      <c r="BC245" s="399"/>
      <c r="BD245" s="399"/>
      <c r="BE245" s="399"/>
      <c r="BF245" s="400"/>
      <c r="BG245" s="399"/>
      <c r="BH245" s="399"/>
      <c r="BI245" s="399"/>
      <c r="BJ245" s="399"/>
      <c r="BK245" s="400"/>
    </row>
    <row r="246" spans="2:63" s="62" customFormat="1" hidden="1" outlineLevel="1" x14ac:dyDescent="0.3">
      <c r="B246" s="395" t="s">
        <v>396</v>
      </c>
      <c r="C246" s="396"/>
      <c r="D246" s="38"/>
      <c r="E246" s="186"/>
      <c r="F246" s="186"/>
      <c r="G246" s="39"/>
      <c r="H246" s="12"/>
      <c r="I246" s="38"/>
      <c r="J246" s="186"/>
      <c r="K246" s="186"/>
      <c r="L246" s="39"/>
      <c r="M246" s="12"/>
      <c r="N246" s="38"/>
      <c r="O246" s="186"/>
      <c r="P246" s="186"/>
      <c r="Q246" s="39"/>
      <c r="R246" s="12"/>
      <c r="S246" s="38"/>
      <c r="T246" s="186"/>
      <c r="U246" s="186"/>
      <c r="V246" s="39"/>
      <c r="W246" s="12"/>
      <c r="X246" s="38"/>
      <c r="Y246" s="186"/>
      <c r="Z246" s="186"/>
      <c r="AA246" s="39"/>
      <c r="AB246" s="12">
        <v>137100</v>
      </c>
      <c r="AC246" s="38">
        <v>157800</v>
      </c>
      <c r="AD246" s="186">
        <v>171300</v>
      </c>
      <c r="AE246" s="186">
        <v>181100</v>
      </c>
      <c r="AF246" s="186">
        <v>186900</v>
      </c>
      <c r="AG246" s="12">
        <f>AF246</f>
        <v>186900</v>
      </c>
      <c r="AH246" s="38">
        <v>200100</v>
      </c>
      <c r="AI246" s="186">
        <v>208900</v>
      </c>
      <c r="AJ246" s="186">
        <v>214900</v>
      </c>
      <c r="AK246" s="186">
        <v>216000</v>
      </c>
      <c r="AL246" s="12">
        <f>AK246</f>
        <v>216000</v>
      </c>
      <c r="AM246" s="38">
        <v>230200</v>
      </c>
      <c r="AN246" s="186">
        <v>239600</v>
      </c>
      <c r="AO246" s="186">
        <f>(AO144+AO145+AO152)*AO247</f>
        <v>243337.2886713937</v>
      </c>
      <c r="AP246" s="186">
        <f>(AP144+AP145+AP152)*AP247</f>
        <v>250137.39210038021</v>
      </c>
      <c r="AQ246" s="12">
        <f>AP246</f>
        <v>250137.39210038021</v>
      </c>
      <c r="AR246" s="38">
        <f>(AR144+AR145+AR152)*AR247</f>
        <v>268574.13781480206</v>
      </c>
      <c r="AS246" s="186">
        <f t="shared" ref="AS246" si="440">(AS144+AS145+AS152)*AS247</f>
        <v>281532.16956645192</v>
      </c>
      <c r="AT246" s="186">
        <f>(AT144+AT145+AT152)*AT247</f>
        <v>284876.86977196473</v>
      </c>
      <c r="AU246" s="186">
        <f>(AU144+AU145+AU152)*AU247</f>
        <v>298057.19654791092</v>
      </c>
      <c r="AV246" s="12">
        <f>AU246</f>
        <v>298057.19654791092</v>
      </c>
      <c r="AW246" s="38">
        <f>(AW144+AW145+AW152)*AW247</f>
        <v>315931.58977851761</v>
      </c>
      <c r="AX246" s="186">
        <f t="shared" ref="AX246" si="441">(AX144+AX145+AX152)*AX247</f>
        <v>325190.72551200358</v>
      </c>
      <c r="AY246" s="186">
        <f>(AY144+AY145+AY152)*AY247</f>
        <v>326219.28435935179</v>
      </c>
      <c r="AZ246" s="186">
        <f>(AZ144+AZ145+AZ152)*AZ247</f>
        <v>343041.67740947526</v>
      </c>
      <c r="BA246" s="12">
        <f>AZ246</f>
        <v>343041.67740947526</v>
      </c>
      <c r="BB246" s="38">
        <f>(BB144+BB145+BB152)*BB247</f>
        <v>357451.45317418524</v>
      </c>
      <c r="BC246" s="186">
        <f t="shared" ref="BC246" si="442">(BC144+BC145+BC152)*BC247</f>
        <v>365524.57712810178</v>
      </c>
      <c r="BD246" s="186">
        <f>(BD144+BD145+BD152)*BD247</f>
        <v>366034.59171574243</v>
      </c>
      <c r="BE246" s="186">
        <f>(BE144+BE145+BE152)*BE247</f>
        <v>385751.69621023245</v>
      </c>
      <c r="BF246" s="12">
        <f>BE246</f>
        <v>385751.69621023245</v>
      </c>
      <c r="BG246" s="38">
        <f>(BG144+BG145+BG152)*BG247</f>
        <v>393521.50643222471</v>
      </c>
      <c r="BH246" s="186">
        <f t="shared" ref="BH246" si="443">(BH144+BH145+BH152)*BH247</f>
        <v>403293.05155363155</v>
      </c>
      <c r="BI246" s="186">
        <f>(BI144+BI145+BI152)*BI247</f>
        <v>401232.19398275408</v>
      </c>
      <c r="BJ246" s="186">
        <f>(BJ144+BJ145+BJ152)*BJ247</f>
        <v>424529.85733675701</v>
      </c>
      <c r="BK246" s="12">
        <f>BJ246</f>
        <v>424529.85733675701</v>
      </c>
    </row>
    <row r="247" spans="2:63" s="62" customFormat="1" hidden="1" outlineLevel="1" x14ac:dyDescent="0.3">
      <c r="B247" s="395" t="s">
        <v>580</v>
      </c>
      <c r="C247" s="396"/>
      <c r="D247" s="38"/>
      <c r="E247" s="186"/>
      <c r="F247" s="186"/>
      <c r="G247" s="39"/>
      <c r="H247" s="12"/>
      <c r="I247" s="38"/>
      <c r="J247" s="186"/>
      <c r="K247" s="186"/>
      <c r="L247" s="39"/>
      <c r="M247" s="12"/>
      <c r="N247" s="38"/>
      <c r="O247" s="186"/>
      <c r="P247" s="186"/>
      <c r="Q247" s="39"/>
      <c r="R247" s="12"/>
      <c r="S247" s="38"/>
      <c r="T247" s="186"/>
      <c r="U247" s="186"/>
      <c r="V247" s="39"/>
      <c r="W247" s="12"/>
      <c r="X247" s="38"/>
      <c r="Y247" s="186"/>
      <c r="Z247" s="186"/>
      <c r="AA247" s="39"/>
      <c r="AB247" s="58">
        <f t="shared" ref="AB247:AN247" si="444">AB246/(AB144+AB145+AB152)</f>
        <v>0.88315436198377983</v>
      </c>
      <c r="AC247" s="143">
        <f t="shared" si="444"/>
        <v>0.88674103003568316</v>
      </c>
      <c r="AD247" s="190">
        <f t="shared" si="444"/>
        <v>0.88509292700695985</v>
      </c>
      <c r="AE247" s="190">
        <f t="shared" si="444"/>
        <v>0.8927867171478151</v>
      </c>
      <c r="AF247" s="190">
        <f t="shared" si="444"/>
        <v>0.90875497165306862</v>
      </c>
      <c r="AG247" s="58">
        <f t="shared" si="444"/>
        <v>0.90875497165306862</v>
      </c>
      <c r="AH247" s="143">
        <f t="shared" si="444"/>
        <v>0.92750962969143269</v>
      </c>
      <c r="AI247" s="190">
        <f t="shared" si="444"/>
        <v>0.8968436598433851</v>
      </c>
      <c r="AJ247" s="190">
        <f t="shared" si="444"/>
        <v>0.9282135452660677</v>
      </c>
      <c r="AK247" s="190">
        <f t="shared" si="444"/>
        <v>0.90914830481722331</v>
      </c>
      <c r="AL247" s="58">
        <f t="shared" si="444"/>
        <v>0.90914830481722331</v>
      </c>
      <c r="AM247" s="143">
        <f t="shared" si="444"/>
        <v>0.93543012718923968</v>
      </c>
      <c r="AN247" s="190">
        <f t="shared" si="444"/>
        <v>0.93287286687094351</v>
      </c>
      <c r="AO247" s="411">
        <f>AN247</f>
        <v>0.93287286687094351</v>
      </c>
      <c r="AP247" s="411">
        <f>AO247</f>
        <v>0.93287286687094351</v>
      </c>
      <c r="AQ247" s="58">
        <f>AQ246/(AQ144+AQ145+AQ152)</f>
        <v>0.93287286687094351</v>
      </c>
      <c r="AR247" s="412">
        <f>AP247</f>
        <v>0.93287286687094351</v>
      </c>
      <c r="AS247" s="411">
        <f t="shared" ref="AS247" si="445">AR247</f>
        <v>0.93287286687094351</v>
      </c>
      <c r="AT247" s="411">
        <f>AS247</f>
        <v>0.93287286687094351</v>
      </c>
      <c r="AU247" s="411">
        <f>AT247</f>
        <v>0.93287286687094351</v>
      </c>
      <c r="AV247" s="58">
        <f>AV246/(AV144+AV145+AV152)</f>
        <v>0.93287286687094351</v>
      </c>
      <c r="AW247" s="412">
        <f>AU247</f>
        <v>0.93287286687094351</v>
      </c>
      <c r="AX247" s="411">
        <f t="shared" ref="AX247" si="446">AW247</f>
        <v>0.93287286687094351</v>
      </c>
      <c r="AY247" s="411">
        <f>AX247</f>
        <v>0.93287286687094351</v>
      </c>
      <c r="AZ247" s="411">
        <f>AY247</f>
        <v>0.93287286687094351</v>
      </c>
      <c r="BA247" s="58">
        <f>BA246/(BA144+BA145+BA152)</f>
        <v>0.93287286687094351</v>
      </c>
      <c r="BB247" s="412">
        <f>AZ247</f>
        <v>0.93287286687094351</v>
      </c>
      <c r="BC247" s="411">
        <f t="shared" ref="BC247" si="447">BB247</f>
        <v>0.93287286687094351</v>
      </c>
      <c r="BD247" s="411">
        <f>BC247</f>
        <v>0.93287286687094351</v>
      </c>
      <c r="BE247" s="411">
        <f>BD247</f>
        <v>0.93287286687094351</v>
      </c>
      <c r="BF247" s="58">
        <f>BF246/(BF144+BF145+BF152)</f>
        <v>0.9328728668709434</v>
      </c>
      <c r="BG247" s="412">
        <f>BE247</f>
        <v>0.93287286687094351</v>
      </c>
      <c r="BH247" s="411">
        <f t="shared" ref="BH247" si="448">BG247</f>
        <v>0.93287286687094351</v>
      </c>
      <c r="BI247" s="411">
        <f>BH247</f>
        <v>0.93287286687094351</v>
      </c>
      <c r="BJ247" s="411">
        <f>BI247</f>
        <v>0.93287286687094351</v>
      </c>
      <c r="BK247" s="58">
        <f>BK246/(BK144+BK145+BK152)</f>
        <v>0.93287286687094351</v>
      </c>
    </row>
    <row r="248" spans="2:63" s="62" customFormat="1" hidden="1" outlineLevel="1" x14ac:dyDescent="0.3">
      <c r="B248" s="714" t="s">
        <v>581</v>
      </c>
      <c r="C248" s="715"/>
      <c r="D248" s="38"/>
      <c r="E248" s="186"/>
      <c r="F248" s="186"/>
      <c r="G248" s="39"/>
      <c r="H248" s="12"/>
      <c r="I248" s="38"/>
      <c r="J248" s="186"/>
      <c r="K248" s="186"/>
      <c r="L248" s="39"/>
      <c r="M248" s="12"/>
      <c r="N248" s="38"/>
      <c r="O248" s="186"/>
      <c r="P248" s="186"/>
      <c r="Q248" s="39"/>
      <c r="R248" s="12"/>
      <c r="S248" s="38"/>
      <c r="T248" s="186"/>
      <c r="U248" s="186"/>
      <c r="V248" s="39"/>
      <c r="W248" s="12"/>
      <c r="X248" s="38"/>
      <c r="Y248" s="186"/>
      <c r="Z248" s="186"/>
      <c r="AA248" s="39"/>
      <c r="AB248" s="12">
        <v>21544</v>
      </c>
      <c r="AC248" s="413">
        <f>AC246*AC249</f>
        <v>23670</v>
      </c>
      <c r="AD248" s="410">
        <f>AD246*AD249</f>
        <v>25695</v>
      </c>
      <c r="AE248" s="410">
        <f>AE246*AE249</f>
        <v>27165</v>
      </c>
      <c r="AF248" s="414">
        <f>AF246*AF249</f>
        <v>28035</v>
      </c>
      <c r="AG248" s="12">
        <v>26868</v>
      </c>
      <c r="AH248" s="413">
        <f>AH246*AH249</f>
        <v>30015</v>
      </c>
      <c r="AI248" s="410">
        <f>AI246*AI249</f>
        <v>31335</v>
      </c>
      <c r="AJ248" s="410">
        <f>AJ246*AJ249</f>
        <v>32235</v>
      </c>
      <c r="AK248" s="414">
        <f>AK246*AK249</f>
        <v>32400</v>
      </c>
      <c r="AL248" s="12">
        <v>31436</v>
      </c>
      <c r="AM248" s="413">
        <f>AM246*AM249</f>
        <v>34530</v>
      </c>
      <c r="AN248" s="410">
        <f>AN246*AN249</f>
        <v>35940</v>
      </c>
      <c r="AO248" s="410">
        <f>AO246*AO249</f>
        <v>36500.593300709057</v>
      </c>
      <c r="AP248" s="410">
        <f>AP246*AP249</f>
        <v>37520.608815057029</v>
      </c>
      <c r="AQ248" s="12">
        <f>AP248</f>
        <v>37520.608815057029</v>
      </c>
      <c r="AR248" s="413">
        <f>AR246*AR249</f>
        <v>40286.120672220306</v>
      </c>
      <c r="AS248" s="410">
        <f t="shared" ref="AS248" si="449">AS246*AS249</f>
        <v>42229.825434967788</v>
      </c>
      <c r="AT248" s="410">
        <f>AT246*AT249</f>
        <v>42731.530465794705</v>
      </c>
      <c r="AU248" s="410">
        <f>AU246*AU249</f>
        <v>44708.579482186637</v>
      </c>
      <c r="AV248" s="12">
        <f>AU248</f>
        <v>44708.579482186637</v>
      </c>
      <c r="AW248" s="413">
        <f>AW246*AW249</f>
        <v>47389.738466777642</v>
      </c>
      <c r="AX248" s="410">
        <f t="shared" ref="AX248" si="450">AX246*AX249</f>
        <v>48778.608826800533</v>
      </c>
      <c r="AY248" s="410">
        <f>AY246*AY249</f>
        <v>48932.892653902767</v>
      </c>
      <c r="AZ248" s="410">
        <f>AZ246*AZ249</f>
        <v>51456.251611421285</v>
      </c>
      <c r="BA248" s="12">
        <f>AZ248</f>
        <v>51456.251611421285</v>
      </c>
      <c r="BB248" s="413">
        <f>BB246*BB249</f>
        <v>53617.717976127788</v>
      </c>
      <c r="BC248" s="410">
        <f t="shared" ref="BC248" si="451">BC246*BC249</f>
        <v>54828.686569215264</v>
      </c>
      <c r="BD248" s="410">
        <f>BD246*BD249</f>
        <v>54905.188757361364</v>
      </c>
      <c r="BE248" s="410">
        <f>BE246*BE249</f>
        <v>57862.754431534864</v>
      </c>
      <c r="BF248" s="12">
        <f>BE248</f>
        <v>57862.754431534864</v>
      </c>
      <c r="BG248" s="413">
        <f>BG246*BG249</f>
        <v>59028.225964833706</v>
      </c>
      <c r="BH248" s="410">
        <f t="shared" ref="BH248" si="452">BH246*BH249</f>
        <v>60493.957733044728</v>
      </c>
      <c r="BI248" s="410">
        <f>BI246*BI249</f>
        <v>60184.829097413109</v>
      </c>
      <c r="BJ248" s="410">
        <f>BJ246*BJ249</f>
        <v>63679.478600513547</v>
      </c>
      <c r="BK248" s="12">
        <f>BJ248</f>
        <v>63679.478600513547</v>
      </c>
    </row>
    <row r="249" spans="2:63" s="62" customFormat="1" hidden="1" outlineLevel="1" x14ac:dyDescent="0.3">
      <c r="B249" s="714" t="s">
        <v>400</v>
      </c>
      <c r="C249" s="715"/>
      <c r="D249" s="38"/>
      <c r="E249" s="186"/>
      <c r="F249" s="186"/>
      <c r="G249" s="39"/>
      <c r="H249" s="12"/>
      <c r="I249" s="38"/>
      <c r="J249" s="186"/>
      <c r="K249" s="186"/>
      <c r="L249" s="39"/>
      <c r="M249" s="12"/>
      <c r="N249" s="38"/>
      <c r="O249" s="186"/>
      <c r="P249" s="186"/>
      <c r="Q249" s="39"/>
      <c r="R249" s="12"/>
      <c r="S249" s="38"/>
      <c r="T249" s="186"/>
      <c r="U249" s="186"/>
      <c r="V249" s="39"/>
      <c r="W249" s="12"/>
      <c r="X249" s="38"/>
      <c r="Y249" s="186"/>
      <c r="Z249" s="186"/>
      <c r="AA249" s="39"/>
      <c r="AB249" s="58">
        <f>AB248/AB246</f>
        <v>0.15714077315827862</v>
      </c>
      <c r="AC249" s="412">
        <v>0.15</v>
      </c>
      <c r="AD249" s="411">
        <v>0.15</v>
      </c>
      <c r="AE249" s="411">
        <v>0.15</v>
      </c>
      <c r="AF249" s="415">
        <v>0.15</v>
      </c>
      <c r="AG249" s="58">
        <f>AG248/AG246</f>
        <v>0.14375601926163725</v>
      </c>
      <c r="AH249" s="412">
        <v>0.15</v>
      </c>
      <c r="AI249" s="411">
        <v>0.15</v>
      </c>
      <c r="AJ249" s="411">
        <v>0.15</v>
      </c>
      <c r="AK249" s="415">
        <v>0.15</v>
      </c>
      <c r="AL249" s="58">
        <f>AL248/AL246</f>
        <v>0.14553703703703705</v>
      </c>
      <c r="AM249" s="412">
        <v>0.15</v>
      </c>
      <c r="AN249" s="411">
        <v>0.15</v>
      </c>
      <c r="AO249" s="411">
        <v>0.15</v>
      </c>
      <c r="AP249" s="411">
        <v>0.15</v>
      </c>
      <c r="AQ249" s="58">
        <f>AQ248/AQ246</f>
        <v>0.15</v>
      </c>
      <c r="AR249" s="412">
        <v>0.15</v>
      </c>
      <c r="AS249" s="411">
        <v>0.15</v>
      </c>
      <c r="AT249" s="411">
        <v>0.15</v>
      </c>
      <c r="AU249" s="411">
        <v>0.15</v>
      </c>
      <c r="AV249" s="58">
        <f>AV248/AV246</f>
        <v>0.15</v>
      </c>
      <c r="AW249" s="412">
        <v>0.15</v>
      </c>
      <c r="AX249" s="411">
        <v>0.15</v>
      </c>
      <c r="AY249" s="411">
        <v>0.15</v>
      </c>
      <c r="AZ249" s="411">
        <v>0.15</v>
      </c>
      <c r="BA249" s="58">
        <f>BA248/BA246</f>
        <v>0.15</v>
      </c>
      <c r="BB249" s="412">
        <v>0.15</v>
      </c>
      <c r="BC249" s="411">
        <v>0.15</v>
      </c>
      <c r="BD249" s="411">
        <v>0.15</v>
      </c>
      <c r="BE249" s="411">
        <v>0.15</v>
      </c>
      <c r="BF249" s="58">
        <f>BF248/BF246</f>
        <v>0.15</v>
      </c>
      <c r="BG249" s="412">
        <v>0.15</v>
      </c>
      <c r="BH249" s="411">
        <v>0.15</v>
      </c>
      <c r="BI249" s="411">
        <v>0.15</v>
      </c>
      <c r="BJ249" s="411">
        <v>0.15</v>
      </c>
      <c r="BK249" s="58">
        <f>BK248/BK246</f>
        <v>0.15</v>
      </c>
    </row>
    <row r="250" spans="2:63" s="62" customFormat="1" hidden="1" outlineLevel="1" x14ac:dyDescent="0.3">
      <c r="B250" s="395" t="s">
        <v>397</v>
      </c>
      <c r="C250" s="396"/>
      <c r="D250" s="406">
        <f t="shared" ref="D250:AI250" si="453">(D144+D145+D152-D166-D163)/D29</f>
        <v>43.29282015431901</v>
      </c>
      <c r="E250" s="405">
        <f t="shared" si="453"/>
        <v>40.270761682475907</v>
      </c>
      <c r="F250" s="405">
        <f t="shared" si="453"/>
        <v>44.058354837005226</v>
      </c>
      <c r="G250" s="407">
        <f t="shared" si="453"/>
        <v>48.985488171031044</v>
      </c>
      <c r="H250" s="408">
        <f t="shared" si="453"/>
        <v>49.182880723944322</v>
      </c>
      <c r="I250" s="406">
        <f t="shared" si="453"/>
        <v>56.412982208724394</v>
      </c>
      <c r="J250" s="405">
        <f t="shared" si="453"/>
        <v>61.8594702247143</v>
      </c>
      <c r="K250" s="405">
        <f t="shared" si="453"/>
        <v>71.450507032341307</v>
      </c>
      <c r="L250" s="407">
        <f t="shared" si="453"/>
        <v>76.08277194194892</v>
      </c>
      <c r="M250" s="408">
        <f t="shared" si="453"/>
        <v>76.304256148273893</v>
      </c>
      <c r="N250" s="406">
        <f t="shared" si="453"/>
        <v>91.090219335324335</v>
      </c>
      <c r="O250" s="405">
        <f t="shared" si="453"/>
        <v>101.83375260479228</v>
      </c>
      <c r="P250" s="405">
        <f t="shared" si="453"/>
        <v>107.34389304151061</v>
      </c>
      <c r="Q250" s="407">
        <f t="shared" si="453"/>
        <v>110.2801644896971</v>
      </c>
      <c r="R250" s="408">
        <f t="shared" si="453"/>
        <v>110.63251371178023</v>
      </c>
      <c r="S250" s="406">
        <f t="shared" si="453"/>
        <v>124.77288731093297</v>
      </c>
      <c r="T250" s="405">
        <f t="shared" si="453"/>
        <v>130.8820498184528</v>
      </c>
      <c r="U250" s="405">
        <f t="shared" si="453"/>
        <v>140.28660611404737</v>
      </c>
      <c r="V250" s="407">
        <f t="shared" si="453"/>
        <v>142.73254166733307</v>
      </c>
      <c r="W250" s="408">
        <f t="shared" si="453"/>
        <v>139.32198587041222</v>
      </c>
      <c r="X250" s="406">
        <f t="shared" si="453"/>
        <v>157.39163039185669</v>
      </c>
      <c r="Y250" s="405">
        <f t="shared" si="453"/>
        <v>151.93035355326947</v>
      </c>
      <c r="Z250" s="405">
        <f t="shared" si="453"/>
        <v>22.051614824303407</v>
      </c>
      <c r="AA250" s="407">
        <f t="shared" si="453"/>
        <v>20.117255980224705</v>
      </c>
      <c r="AB250" s="408">
        <f t="shared" si="453"/>
        <v>19.590168526342215</v>
      </c>
      <c r="AC250" s="406">
        <f t="shared" si="453"/>
        <v>24.066089938748373</v>
      </c>
      <c r="AD250" s="405">
        <f t="shared" si="453"/>
        <v>25.650667077073685</v>
      </c>
      <c r="AE250" s="405">
        <f t="shared" si="453"/>
        <v>25.710627862089321</v>
      </c>
      <c r="AF250" s="405">
        <f t="shared" si="453"/>
        <v>24.848839044796858</v>
      </c>
      <c r="AG250" s="408">
        <f t="shared" si="453"/>
        <v>24.374641786420746</v>
      </c>
      <c r="AH250" s="406">
        <f t="shared" si="453"/>
        <v>27.310070007348777</v>
      </c>
      <c r="AI250" s="405">
        <f t="shared" si="453"/>
        <v>27.623019134484988</v>
      </c>
      <c r="AJ250" s="405">
        <f t="shared" ref="AJ250:BK250" si="454">(AJ144+AJ145+AJ152-AJ166-AJ163)/AJ29</f>
        <v>26.784371601933277</v>
      </c>
      <c r="AK250" s="405">
        <f t="shared" si="454"/>
        <v>27.914649438482662</v>
      </c>
      <c r="AL250" s="408">
        <f t="shared" si="454"/>
        <v>27.371870540995467</v>
      </c>
      <c r="AM250" s="406">
        <f t="shared" si="454"/>
        <v>29.756221618075845</v>
      </c>
      <c r="AN250" s="405">
        <f t="shared" si="454"/>
        <v>30.089013259623147</v>
      </c>
      <c r="AO250" s="405">
        <f t="shared" si="454"/>
        <v>30.87496762603659</v>
      </c>
      <c r="AP250" s="405">
        <f t="shared" si="454"/>
        <v>33.247005510189943</v>
      </c>
      <c r="AQ250" s="408">
        <f t="shared" si="454"/>
        <v>32.05707469391551</v>
      </c>
      <c r="AR250" s="406">
        <f t="shared" si="454"/>
        <v>36.706425386050036</v>
      </c>
      <c r="AS250" s="405">
        <f t="shared" si="454"/>
        <v>38.970502572427542</v>
      </c>
      <c r="AT250" s="405">
        <f t="shared" si="454"/>
        <v>40.137798768900367</v>
      </c>
      <c r="AU250" s="405">
        <f t="shared" si="454"/>
        <v>43.488980677154721</v>
      </c>
      <c r="AV250" s="408">
        <f t="shared" si="454"/>
        <v>41.893543832392496</v>
      </c>
      <c r="AW250" s="406">
        <f t="shared" si="454"/>
        <v>46.792406505176587</v>
      </c>
      <c r="AX250" s="405">
        <f t="shared" si="454"/>
        <v>49.116249980637825</v>
      </c>
      <c r="AY250" s="405">
        <f t="shared" si="454"/>
        <v>50.105542376945586</v>
      </c>
      <c r="AZ250" s="405">
        <f t="shared" si="454"/>
        <v>54.771932676209602</v>
      </c>
      <c r="BA250" s="408">
        <f t="shared" si="454"/>
        <v>52.71534916885571</v>
      </c>
      <c r="BB250" s="406">
        <f t="shared" si="454"/>
        <v>57.601873463328445</v>
      </c>
      <c r="BC250" s="405">
        <f t="shared" si="454"/>
        <v>60.306811111209974</v>
      </c>
      <c r="BD250" s="405">
        <f t="shared" si="454"/>
        <v>61.546840339393938</v>
      </c>
      <c r="BE250" s="405">
        <f t="shared" si="454"/>
        <v>67.625226050210486</v>
      </c>
      <c r="BF250" s="408">
        <f t="shared" si="454"/>
        <v>65.005663054864939</v>
      </c>
      <c r="BG250" s="406">
        <f t="shared" si="454"/>
        <v>69.316981820725545</v>
      </c>
      <c r="BH250" s="405">
        <f t="shared" si="454"/>
        <v>73.132330381995772</v>
      </c>
      <c r="BI250" s="405">
        <f t="shared" si="454"/>
        <v>74.034406646020884</v>
      </c>
      <c r="BJ250" s="405">
        <f t="shared" si="454"/>
        <v>82.000878494290291</v>
      </c>
      <c r="BK250" s="408">
        <f t="shared" si="454"/>
        <v>78.775507921500491</v>
      </c>
    </row>
    <row r="251" spans="2:63" hidden="1" outlineLevel="1" x14ac:dyDescent="0.3">
      <c r="B251" s="724" t="s">
        <v>398</v>
      </c>
      <c r="C251" s="736"/>
      <c r="D251" s="401"/>
      <c r="E251" s="402"/>
      <c r="F251" s="402"/>
      <c r="G251" s="403"/>
      <c r="H251" s="404"/>
      <c r="I251" s="401"/>
      <c r="J251" s="402"/>
      <c r="K251" s="402"/>
      <c r="L251" s="403"/>
      <c r="M251" s="404"/>
      <c r="N251" s="401"/>
      <c r="O251" s="402"/>
      <c r="P251" s="402"/>
      <c r="Q251" s="403"/>
      <c r="R251" s="404"/>
      <c r="S251" s="401"/>
      <c r="T251" s="402"/>
      <c r="U251" s="402"/>
      <c r="V251" s="403"/>
      <c r="W251" s="404"/>
      <c r="X251" s="401"/>
      <c r="Y251" s="402"/>
      <c r="Z251" s="402"/>
      <c r="AA251" s="403"/>
      <c r="AB251" s="404">
        <f t="shared" ref="AB251:BK251" si="455">AB248/AB29</f>
        <v>3.5187303302500892</v>
      </c>
      <c r="AC251" s="401">
        <f t="shared" si="455"/>
        <v>4.0242762295847037</v>
      </c>
      <c r="AD251" s="402">
        <f t="shared" si="455"/>
        <v>4.4037061398923507</v>
      </c>
      <c r="AE251" s="402">
        <f t="shared" si="455"/>
        <v>4.7054450304766986</v>
      </c>
      <c r="AF251" s="403">
        <f t="shared" si="455"/>
        <v>4.9335514760267412</v>
      </c>
      <c r="AG251" s="404">
        <f t="shared" si="455"/>
        <v>4.6379555502503651</v>
      </c>
      <c r="AH251" s="401">
        <f t="shared" si="455"/>
        <v>5.3654484426256319</v>
      </c>
      <c r="AI251" s="402">
        <f t="shared" si="455"/>
        <v>5.6552327551947466</v>
      </c>
      <c r="AJ251" s="402">
        <f t="shared" si="455"/>
        <v>5.8900584547417481</v>
      </c>
      <c r="AK251" s="403">
        <f t="shared" si="455"/>
        <v>6.0074169349454225</v>
      </c>
      <c r="AL251" s="404">
        <f t="shared" si="455"/>
        <v>5.7153435821719496</v>
      </c>
      <c r="AM251" s="401">
        <f t="shared" si="455"/>
        <v>6.4808619377458125</v>
      </c>
      <c r="AN251" s="402">
        <f t="shared" si="455"/>
        <v>6.8305076241692779</v>
      </c>
      <c r="AO251" s="402">
        <f t="shared" si="455"/>
        <v>7.0834162625449268</v>
      </c>
      <c r="AP251" s="403">
        <f t="shared" si="455"/>
        <v>7.4524125435062869</v>
      </c>
      <c r="AQ251" s="404">
        <f t="shared" si="455"/>
        <v>7.1856861058910155</v>
      </c>
      <c r="AR251" s="401">
        <f t="shared" si="455"/>
        <v>8.1674754501210778</v>
      </c>
      <c r="AS251" s="402">
        <f t="shared" si="455"/>
        <v>8.7398845664293905</v>
      </c>
      <c r="AT251" s="402">
        <f t="shared" si="455"/>
        <v>9.0289825283192506</v>
      </c>
      <c r="AU251" s="403">
        <f t="shared" si="455"/>
        <v>9.6457601029429654</v>
      </c>
      <c r="AV251" s="404">
        <f t="shared" si="455"/>
        <v>9.2918957257064392</v>
      </c>
      <c r="AW251" s="401">
        <f t="shared" si="455"/>
        <v>10.440895872609255</v>
      </c>
      <c r="AX251" s="402">
        <f t="shared" si="455"/>
        <v>10.976017959239405</v>
      </c>
      <c r="AY251" s="402">
        <f t="shared" si="455"/>
        <v>11.246924982575299</v>
      </c>
      <c r="AZ251" s="403">
        <f t="shared" si="455"/>
        <v>12.082190194436993</v>
      </c>
      <c r="BA251" s="404">
        <f t="shared" si="455"/>
        <v>11.628526577462146</v>
      </c>
      <c r="BB251" s="401">
        <f t="shared" si="455"/>
        <v>12.863204135204336</v>
      </c>
      <c r="BC251" s="402">
        <f t="shared" si="455"/>
        <v>13.441333370190916</v>
      </c>
      <c r="BD251" s="402">
        <f t="shared" si="455"/>
        <v>13.756363930855006</v>
      </c>
      <c r="BE251" s="403">
        <f t="shared" si="455"/>
        <v>14.818662362514425</v>
      </c>
      <c r="BF251" s="404">
        <f t="shared" si="455"/>
        <v>14.244639592719311</v>
      </c>
      <c r="BG251" s="401">
        <f t="shared" si="455"/>
        <v>15.454501382997877</v>
      </c>
      <c r="BH251" s="402">
        <f t="shared" si="455"/>
        <v>16.194230040935</v>
      </c>
      <c r="BI251" s="402">
        <f t="shared" si="455"/>
        <v>16.476238246371285</v>
      </c>
      <c r="BJ251" s="403">
        <f t="shared" si="455"/>
        <v>17.830562391692585</v>
      </c>
      <c r="BK251" s="404">
        <f t="shared" si="455"/>
        <v>17.129226353707793</v>
      </c>
    </row>
    <row r="252" spans="2:63" collapsed="1" x14ac:dyDescent="0.3">
      <c r="B252" s="735"/>
      <c r="C252" s="735"/>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164"/>
      <c r="AD252" s="145"/>
      <c r="AE252" s="145"/>
      <c r="AF252" s="164"/>
      <c r="AG252" s="145"/>
      <c r="AH252" s="145"/>
      <c r="AI252" s="145"/>
      <c r="AJ252" s="145"/>
      <c r="AK252" s="145"/>
      <c r="AL252" s="145"/>
      <c r="AM252" s="145"/>
      <c r="AN252" s="145"/>
      <c r="AO252" s="145"/>
      <c r="AP252" s="145"/>
      <c r="AQ252" s="145"/>
      <c r="AR252" s="145"/>
      <c r="AS252" s="145"/>
      <c r="AT252" s="145"/>
      <c r="AU252" s="145"/>
      <c r="AV252" s="145"/>
      <c r="AW252" s="145"/>
      <c r="AX252" s="145"/>
      <c r="AY252" s="145"/>
      <c r="AZ252" s="145"/>
      <c r="BA252" s="145"/>
      <c r="BB252" s="145"/>
      <c r="BC252" s="145"/>
      <c r="BD252" s="145"/>
      <c r="BE252" s="145"/>
      <c r="BF252" s="145"/>
      <c r="BG252" s="145"/>
      <c r="BH252" s="145"/>
      <c r="BI252" s="145"/>
      <c r="BJ252" s="145"/>
      <c r="BK252" s="145"/>
    </row>
    <row r="253" spans="2:63" ht="15.6" x14ac:dyDescent="0.3">
      <c r="B253" s="733" t="s">
        <v>54</v>
      </c>
      <c r="C253" s="734"/>
      <c r="D253" s="170" t="s">
        <v>117</v>
      </c>
      <c r="E253" s="170" t="s">
        <v>118</v>
      </c>
      <c r="F253" s="170" t="s">
        <v>119</v>
      </c>
      <c r="G253" s="170" t="s">
        <v>120</v>
      </c>
      <c r="H253" s="170" t="s">
        <v>120</v>
      </c>
      <c r="I253" s="170" t="s">
        <v>116</v>
      </c>
      <c r="J253" s="170" t="s">
        <v>126</v>
      </c>
      <c r="K253" s="170" t="s">
        <v>127</v>
      </c>
      <c r="L253" s="170" t="s">
        <v>128</v>
      </c>
      <c r="M253" s="170" t="s">
        <v>128</v>
      </c>
      <c r="N253" s="170" t="s">
        <v>134</v>
      </c>
      <c r="O253" s="170" t="s">
        <v>135</v>
      </c>
      <c r="P253" s="170" t="s">
        <v>136</v>
      </c>
      <c r="Q253" s="170" t="s">
        <v>137</v>
      </c>
      <c r="R253" s="170" t="s">
        <v>137</v>
      </c>
      <c r="S253" s="170" t="s">
        <v>143</v>
      </c>
      <c r="T253" s="170" t="s">
        <v>144</v>
      </c>
      <c r="U253" s="170" t="s">
        <v>145</v>
      </c>
      <c r="V253" s="170" t="s">
        <v>95</v>
      </c>
      <c r="W253" s="170" t="s">
        <v>95</v>
      </c>
      <c r="X253" s="170" t="s">
        <v>94</v>
      </c>
      <c r="Y253" s="170" t="s">
        <v>93</v>
      </c>
      <c r="Z253" s="170" t="s">
        <v>92</v>
      </c>
      <c r="AA253" s="170" t="s">
        <v>91</v>
      </c>
      <c r="AB253" s="170" t="s">
        <v>91</v>
      </c>
      <c r="AC253" s="170" t="s">
        <v>96</v>
      </c>
      <c r="AD253" s="170" t="s">
        <v>97</v>
      </c>
      <c r="AE253" s="170" t="s">
        <v>98</v>
      </c>
      <c r="AF253" s="170" t="s">
        <v>99</v>
      </c>
      <c r="AG253" s="170" t="s">
        <v>99</v>
      </c>
      <c r="AH253" s="170" t="s">
        <v>101</v>
      </c>
      <c r="AI253" s="170" t="s">
        <v>102</v>
      </c>
      <c r="AJ253" s="170" t="s">
        <v>103</v>
      </c>
      <c r="AK253" s="170" t="s">
        <v>104</v>
      </c>
      <c r="AL253" s="170" t="s">
        <v>104</v>
      </c>
      <c r="AM253" s="170" t="s">
        <v>100</v>
      </c>
      <c r="AN253" s="170" t="s">
        <v>105</v>
      </c>
      <c r="AO253" s="202" t="s">
        <v>106</v>
      </c>
      <c r="AP253" s="202" t="s">
        <v>107</v>
      </c>
      <c r="AQ253" s="202" t="s">
        <v>107</v>
      </c>
      <c r="AR253" s="202" t="s">
        <v>108</v>
      </c>
      <c r="AS253" s="202" t="s">
        <v>109</v>
      </c>
      <c r="AT253" s="202" t="s">
        <v>110</v>
      </c>
      <c r="AU253" s="202" t="s">
        <v>111</v>
      </c>
      <c r="AV253" s="202" t="s">
        <v>111</v>
      </c>
      <c r="AW253" s="202" t="s">
        <v>112</v>
      </c>
      <c r="AX253" s="202" t="s">
        <v>113</v>
      </c>
      <c r="AY253" s="202" t="s">
        <v>114</v>
      </c>
      <c r="AZ253" s="202" t="s">
        <v>115</v>
      </c>
      <c r="BA253" s="202" t="s">
        <v>115</v>
      </c>
      <c r="BB253" s="202" t="s">
        <v>233</v>
      </c>
      <c r="BC253" s="202" t="s">
        <v>234</v>
      </c>
      <c r="BD253" s="202" t="s">
        <v>235</v>
      </c>
      <c r="BE253" s="202" t="s">
        <v>236</v>
      </c>
      <c r="BF253" s="202" t="s">
        <v>236</v>
      </c>
      <c r="BG253" s="202" t="s">
        <v>272</v>
      </c>
      <c r="BH253" s="202" t="s">
        <v>273</v>
      </c>
      <c r="BI253" s="202" t="s">
        <v>274</v>
      </c>
      <c r="BJ253" s="202" t="s">
        <v>275</v>
      </c>
      <c r="BK253" s="203" t="s">
        <v>275</v>
      </c>
    </row>
    <row r="254" spans="2:63" ht="16.2" x14ac:dyDescent="0.45">
      <c r="B254" s="731"/>
      <c r="C254" s="732"/>
      <c r="D254" s="171" t="s">
        <v>121</v>
      </c>
      <c r="E254" s="171" t="s">
        <v>122</v>
      </c>
      <c r="F254" s="171" t="s">
        <v>123</v>
      </c>
      <c r="G254" s="171" t="s">
        <v>124</v>
      </c>
      <c r="H254" s="171" t="s">
        <v>125</v>
      </c>
      <c r="I254" s="171" t="s">
        <v>129</v>
      </c>
      <c r="J254" s="171" t="s">
        <v>130</v>
      </c>
      <c r="K254" s="171" t="s">
        <v>131</v>
      </c>
      <c r="L254" s="171" t="s">
        <v>132</v>
      </c>
      <c r="M254" s="171" t="s">
        <v>133</v>
      </c>
      <c r="N254" s="171" t="s">
        <v>138</v>
      </c>
      <c r="O254" s="171" t="s">
        <v>139</v>
      </c>
      <c r="P254" s="171" t="s">
        <v>140</v>
      </c>
      <c r="Q254" s="171" t="s">
        <v>141</v>
      </c>
      <c r="R254" s="171" t="s">
        <v>142</v>
      </c>
      <c r="S254" s="171" t="s">
        <v>146</v>
      </c>
      <c r="T254" s="171" t="s">
        <v>147</v>
      </c>
      <c r="U254" s="171" t="s">
        <v>148</v>
      </c>
      <c r="V254" s="171" t="s">
        <v>149</v>
      </c>
      <c r="W254" s="171" t="s">
        <v>0</v>
      </c>
      <c r="X254" s="171" t="s">
        <v>40</v>
      </c>
      <c r="Y254" s="171" t="s">
        <v>41</v>
      </c>
      <c r="Z254" s="171" t="s">
        <v>42</v>
      </c>
      <c r="AA254" s="171" t="s">
        <v>43</v>
      </c>
      <c r="AB254" s="171" t="s">
        <v>6</v>
      </c>
      <c r="AC254" s="171" t="s">
        <v>206</v>
      </c>
      <c r="AD254" s="171" t="s">
        <v>211</v>
      </c>
      <c r="AE254" s="171" t="s">
        <v>213</v>
      </c>
      <c r="AF254" s="171" t="s">
        <v>215</v>
      </c>
      <c r="AG254" s="171" t="s">
        <v>231</v>
      </c>
      <c r="AH254" s="171" t="s">
        <v>243</v>
      </c>
      <c r="AI254" s="171" t="s">
        <v>247</v>
      </c>
      <c r="AJ254" s="171" t="s">
        <v>248</v>
      </c>
      <c r="AK254" s="171" t="s">
        <v>270</v>
      </c>
      <c r="AL254" s="171" t="s">
        <v>271</v>
      </c>
      <c r="AM254" s="171" t="s">
        <v>281</v>
      </c>
      <c r="AN254" s="171" t="s">
        <v>440</v>
      </c>
      <c r="AO254" s="204" t="s">
        <v>58</v>
      </c>
      <c r="AP254" s="204" t="s">
        <v>59</v>
      </c>
      <c r="AQ254" s="204" t="s">
        <v>216</v>
      </c>
      <c r="AR254" s="204" t="s">
        <v>60</v>
      </c>
      <c r="AS254" s="204" t="s">
        <v>61</v>
      </c>
      <c r="AT254" s="204" t="s">
        <v>62</v>
      </c>
      <c r="AU254" s="204" t="s">
        <v>63</v>
      </c>
      <c r="AV254" s="204" t="s">
        <v>217</v>
      </c>
      <c r="AW254" s="204" t="s">
        <v>64</v>
      </c>
      <c r="AX254" s="204" t="s">
        <v>65</v>
      </c>
      <c r="AY254" s="204" t="s">
        <v>66</v>
      </c>
      <c r="AZ254" s="204" t="s">
        <v>67</v>
      </c>
      <c r="BA254" s="204" t="s">
        <v>218</v>
      </c>
      <c r="BB254" s="204" t="s">
        <v>232</v>
      </c>
      <c r="BC254" s="204" t="s">
        <v>237</v>
      </c>
      <c r="BD254" s="204" t="s">
        <v>238</v>
      </c>
      <c r="BE254" s="204" t="s">
        <v>239</v>
      </c>
      <c r="BF254" s="204" t="s">
        <v>240</v>
      </c>
      <c r="BG254" s="204" t="s">
        <v>276</v>
      </c>
      <c r="BH254" s="204" t="s">
        <v>277</v>
      </c>
      <c r="BI254" s="204" t="s">
        <v>278</v>
      </c>
      <c r="BJ254" s="204" t="s">
        <v>279</v>
      </c>
      <c r="BK254" s="205" t="s">
        <v>280</v>
      </c>
    </row>
    <row r="255" spans="2:63" ht="16.2" hidden="1" outlineLevel="1" x14ac:dyDescent="0.45">
      <c r="B255" s="729" t="s">
        <v>47</v>
      </c>
      <c r="C255" s="730"/>
      <c r="D255" s="206"/>
      <c r="E255" s="2"/>
      <c r="F255" s="2"/>
      <c r="G255" s="2"/>
      <c r="H255" s="54"/>
      <c r="I255" s="2"/>
      <c r="J255" s="2"/>
      <c r="K255" s="2"/>
      <c r="L255" s="2"/>
      <c r="M255" s="54"/>
      <c r="N255" s="2"/>
      <c r="O255" s="2"/>
      <c r="P255" s="2"/>
      <c r="Q255" s="2"/>
      <c r="R255" s="54"/>
      <c r="S255" s="2"/>
      <c r="T255" s="2"/>
      <c r="U255" s="2"/>
      <c r="V255" s="2"/>
      <c r="W255" s="54"/>
      <c r="X255" s="2"/>
      <c r="Y255" s="2"/>
      <c r="Z255" s="2"/>
      <c r="AA255" s="2"/>
      <c r="AB255" s="54"/>
      <c r="AC255" s="2"/>
      <c r="AD255" s="3"/>
      <c r="AE255" s="3"/>
      <c r="AF255" s="3"/>
      <c r="AG255" s="55"/>
      <c r="AH255" s="3"/>
      <c r="AI255" s="3"/>
      <c r="AJ255" s="3"/>
      <c r="AK255" s="3"/>
      <c r="AL255" s="55"/>
      <c r="AM255" s="3"/>
      <c r="AN255" s="3"/>
      <c r="AO255" s="3"/>
      <c r="AP255" s="3"/>
      <c r="AQ255" s="55"/>
      <c r="AR255" s="3"/>
      <c r="AS255" s="3"/>
      <c r="AT255" s="3"/>
      <c r="AU255" s="3"/>
      <c r="AV255" s="55"/>
      <c r="AW255" s="3"/>
      <c r="AX255" s="3"/>
      <c r="AY255" s="3"/>
      <c r="AZ255" s="3"/>
      <c r="BA255" s="55"/>
      <c r="BB255" s="193"/>
      <c r="BC255" s="193"/>
      <c r="BD255" s="193"/>
      <c r="BE255" s="193"/>
      <c r="BF255" s="55"/>
      <c r="BG255" s="193"/>
      <c r="BH255" s="193"/>
      <c r="BI255" s="193"/>
      <c r="BJ255" s="193"/>
      <c r="BK255" s="55"/>
    </row>
    <row r="256" spans="2:63" s="62" customFormat="1" hidden="1" outlineLevel="1" x14ac:dyDescent="0.3">
      <c r="B256" s="328" t="s">
        <v>606</v>
      </c>
      <c r="C256" s="329"/>
      <c r="D256" s="699">
        <f>D205/D13</f>
        <v>1.3071478671172608E-2</v>
      </c>
      <c r="E256" s="242">
        <f>E205/E13</f>
        <v>1.7112378694718128E-2</v>
      </c>
      <c r="F256" s="242">
        <f>F205/F13</f>
        <v>1.3949044585987261E-2</v>
      </c>
      <c r="G256" s="242">
        <f>G205/G13</f>
        <v>1.1011158629504006E-2</v>
      </c>
      <c r="H256" s="59"/>
      <c r="I256" s="242">
        <f>I205/I13</f>
        <v>1.118133203694701E-2</v>
      </c>
      <c r="J256" s="242">
        <f>J205/J13</f>
        <v>1.1634977905703977E-2</v>
      </c>
      <c r="K256" s="242">
        <f>K205/K13</f>
        <v>9.940149102236534E-3</v>
      </c>
      <c r="L256" s="242">
        <f>L205/L13</f>
        <v>1.0541209762999645E-2</v>
      </c>
      <c r="M256" s="59"/>
      <c r="N256" s="242">
        <f>N205/N13</f>
        <v>9.0648134159238558E-3</v>
      </c>
      <c r="O256" s="242">
        <f>O205/O13</f>
        <v>1.0820190884499566E-2</v>
      </c>
      <c r="P256" s="242">
        <f>P205/P13</f>
        <v>1.2791594095308797E-2</v>
      </c>
      <c r="Q256" s="242">
        <f>Q205/Q13</f>
        <v>1.2456208641494744E-2</v>
      </c>
      <c r="R256" s="59"/>
      <c r="S256" s="242">
        <f>S205/S13</f>
        <v>9.9977986498385671E-3</v>
      </c>
      <c r="T256" s="242">
        <f>T205/T13</f>
        <v>1.318716602068665E-2</v>
      </c>
      <c r="U256" s="242">
        <f>U205/U13</f>
        <v>1.6363276052430428E-2</v>
      </c>
      <c r="V256" s="242">
        <f>V205/V13</f>
        <v>1.4811058923996584E-2</v>
      </c>
      <c r="W256" s="59"/>
      <c r="X256" s="242">
        <f>X205/X13</f>
        <v>1.1824148348786333E-2</v>
      </c>
      <c r="Y256" s="242">
        <f>Y205/Y13</f>
        <v>1.5247776365946633E-2</v>
      </c>
      <c r="Z256" s="242">
        <f>Z205/Z13</f>
        <v>1.9341739687967513E-2</v>
      </c>
      <c r="AA256" s="242">
        <f>AA205/AA13</f>
        <v>1.8089879638202407E-2</v>
      </c>
      <c r="AB256" s="59"/>
      <c r="AC256" s="242">
        <f>AC205/AC13</f>
        <v>1.1903644820976153E-2</v>
      </c>
      <c r="AD256" s="242">
        <f>AD205/AD13</f>
        <v>1.5980003447681433E-2</v>
      </c>
      <c r="AE256" s="242">
        <f>AE205/AE13</f>
        <v>1.7256324967241207E-2</v>
      </c>
      <c r="AF256" s="242">
        <f>AF205/AF13</f>
        <v>1.7766645307858101E-2</v>
      </c>
      <c r="AG256" s="243"/>
      <c r="AH256" s="242">
        <f>AH205/AH13</f>
        <v>1.4208140025305778E-2</v>
      </c>
      <c r="AI256" s="242">
        <f>AI205/AI13</f>
        <v>2.0729078070296891E-2</v>
      </c>
      <c r="AJ256" s="242">
        <f>AJ205/AJ13</f>
        <v>2.488313895840219E-2</v>
      </c>
      <c r="AK256" s="242">
        <f>AK205/AK13</f>
        <v>2.1984120208315548E-2</v>
      </c>
      <c r="AL256" s="243"/>
      <c r="AM256" s="242">
        <f>AM205/AM13</f>
        <v>1.6030427180252965E-2</v>
      </c>
      <c r="AN256" s="242">
        <f>AN205/AN13</f>
        <v>2.3007410768300061E-2</v>
      </c>
      <c r="AO256" s="244">
        <f>+AN256+(AJ256-AI256)</f>
        <v>2.716147165640536E-2</v>
      </c>
      <c r="AP256" s="244">
        <f>+AO256+(AK256-AJ256)</f>
        <v>2.4262452906318718E-2</v>
      </c>
      <c r="AQ256" s="243"/>
      <c r="AR256" s="244">
        <v>1.6E-2</v>
      </c>
      <c r="AS256" s="244">
        <v>2.2499999999999999E-2</v>
      </c>
      <c r="AT256" s="244">
        <v>2.6499999999999999E-2</v>
      </c>
      <c r="AU256" s="244">
        <v>2.35E-2</v>
      </c>
      <c r="AV256" s="243"/>
      <c r="AW256" s="244">
        <v>1.6E-2</v>
      </c>
      <c r="AX256" s="244">
        <v>2.2499999999999999E-2</v>
      </c>
      <c r="AY256" s="244">
        <v>2.6499999999999999E-2</v>
      </c>
      <c r="AZ256" s="244">
        <v>2.35E-2</v>
      </c>
      <c r="BA256" s="243"/>
      <c r="BB256" s="244">
        <v>1.6E-2</v>
      </c>
      <c r="BC256" s="244">
        <v>2.2499999999999999E-2</v>
      </c>
      <c r="BD256" s="244">
        <v>2.6499999999999999E-2</v>
      </c>
      <c r="BE256" s="244">
        <v>2.35E-2</v>
      </c>
      <c r="BF256" s="243"/>
      <c r="BG256" s="244">
        <v>1.6E-2</v>
      </c>
      <c r="BH256" s="244">
        <v>2.2499999999999999E-2</v>
      </c>
      <c r="BI256" s="244">
        <v>2.6499999999999999E-2</v>
      </c>
      <c r="BJ256" s="244">
        <v>2.35E-2</v>
      </c>
      <c r="BK256" s="243"/>
    </row>
    <row r="257" spans="2:63" s="62" customFormat="1" hidden="1" outlineLevel="1" x14ac:dyDescent="0.3">
      <c r="B257" s="447" t="s">
        <v>428</v>
      </c>
      <c r="C257" s="452"/>
      <c r="D257" s="700">
        <f t="shared" ref="D257:AB257" si="456">D231/D205</f>
        <v>1.2292682926829268</v>
      </c>
      <c r="E257" s="163">
        <f t="shared" si="456"/>
        <v>0.69696969696969702</v>
      </c>
      <c r="F257" s="163">
        <f t="shared" si="456"/>
        <v>1.091324200913242</v>
      </c>
      <c r="G257" s="163">
        <f t="shared" si="456"/>
        <v>0.4419642857142857</v>
      </c>
      <c r="H257" s="65">
        <f t="shared" si="456"/>
        <v>0.85437997724687142</v>
      </c>
      <c r="I257" s="163">
        <f t="shared" si="456"/>
        <v>1.5183946488294315</v>
      </c>
      <c r="J257" s="163">
        <f t="shared" si="456"/>
        <v>0.99651567944250874</v>
      </c>
      <c r="K257" s="163">
        <f t="shared" si="456"/>
        <v>0.61619718309859151</v>
      </c>
      <c r="L257" s="163">
        <f t="shared" si="456"/>
        <v>0.73154362416107388</v>
      </c>
      <c r="M257" s="65">
        <f t="shared" si="456"/>
        <v>0.97003424657534243</v>
      </c>
      <c r="N257" s="163">
        <f t="shared" si="456"/>
        <v>0.79285714285714282</v>
      </c>
      <c r="O257" s="163">
        <f t="shared" si="456"/>
        <v>0.714622641509434</v>
      </c>
      <c r="P257" s="163">
        <f t="shared" si="456"/>
        <v>0.8928571428571429</v>
      </c>
      <c r="Q257" s="163">
        <f t="shared" si="456"/>
        <v>0.703125</v>
      </c>
      <c r="R257" s="65">
        <f t="shared" si="456"/>
        <v>0.77643678160919538</v>
      </c>
      <c r="S257" s="163">
        <f t="shared" si="456"/>
        <v>0.74128440366972481</v>
      </c>
      <c r="T257" s="163">
        <f t="shared" si="456"/>
        <v>0.17043478260869566</v>
      </c>
      <c r="U257" s="163">
        <f t="shared" si="456"/>
        <v>0.24567474048442905</v>
      </c>
      <c r="V257" s="163">
        <f t="shared" si="456"/>
        <v>0.10270270270270271</v>
      </c>
      <c r="W257" s="65">
        <f t="shared" si="456"/>
        <v>0.31114070128717264</v>
      </c>
      <c r="X257" s="163">
        <f t="shared" si="456"/>
        <v>0.41116005873715122</v>
      </c>
      <c r="Y257" s="163">
        <f t="shared" si="456"/>
        <v>0.11925287356321838</v>
      </c>
      <c r="Z257" s="163">
        <f t="shared" si="456"/>
        <v>0.27486187845303867</v>
      </c>
      <c r="AA257" s="163">
        <f t="shared" si="456"/>
        <v>0.23228346456692914</v>
      </c>
      <c r="AB257" s="65">
        <f t="shared" si="456"/>
        <v>0.25812085225288162</v>
      </c>
      <c r="AC257" s="163">
        <f t="shared" ref="AC257:AD257" si="457">AC231/AC205</f>
        <v>0.29729729729729731</v>
      </c>
      <c r="AD257" s="163">
        <f t="shared" si="457"/>
        <v>0.10032362459546926</v>
      </c>
      <c r="AE257" s="163">
        <f>AE231/AE205</f>
        <v>0.3820093457943925</v>
      </c>
      <c r="AF257" s="163">
        <f>AF231/AF205</f>
        <v>7.1038251366120214E-2</v>
      </c>
      <c r="AG257" s="65">
        <f t="shared" ref="AG257" si="458">AG231/AG205</f>
        <v>0.20886781929726714</v>
      </c>
      <c r="AH257" s="163">
        <f t="shared" ref="AH257:AI257" si="459">AH231/AH205</f>
        <v>0.20779220779220781</v>
      </c>
      <c r="AI257" s="163">
        <f t="shared" si="459"/>
        <v>3.8167938931297711E-2</v>
      </c>
      <c r="AJ257" s="163">
        <f>AJ231/AJ205</f>
        <v>0.1204933586337761</v>
      </c>
      <c r="AK257" s="163">
        <f>AK231/AK205</f>
        <v>1.5533980582524271E-2</v>
      </c>
      <c r="AL257" s="65">
        <f t="shared" ref="AL257:AN257" si="460">AL231/AL205</f>
        <v>9.667458432304038E-2</v>
      </c>
      <c r="AM257" s="163">
        <f t="shared" si="460"/>
        <v>0.14171974522292993</v>
      </c>
      <c r="AN257" s="163">
        <f t="shared" si="460"/>
        <v>3.8619556285949055E-2</v>
      </c>
      <c r="AO257" s="211">
        <f t="shared" ref="AO257:AP257" si="461">AJ257</f>
        <v>0.1204933586337761</v>
      </c>
      <c r="AP257" s="211">
        <f t="shared" si="461"/>
        <v>1.5533980582524271E-2</v>
      </c>
      <c r="AQ257" s="65"/>
      <c r="AR257" s="211">
        <f>AM257</f>
        <v>0.14171974522292993</v>
      </c>
      <c r="AS257" s="211">
        <f>AN257</f>
        <v>3.8619556285949055E-2</v>
      </c>
      <c r="AT257" s="211">
        <f t="shared" ref="AT257" si="462">AO257</f>
        <v>0.1204933586337761</v>
      </c>
      <c r="AU257" s="211">
        <f t="shared" ref="AU257" si="463">AP257</f>
        <v>1.5533980582524271E-2</v>
      </c>
      <c r="AV257" s="65"/>
      <c r="AW257" s="211">
        <f>AR257</f>
        <v>0.14171974522292993</v>
      </c>
      <c r="AX257" s="211">
        <f>AS257</f>
        <v>3.8619556285949055E-2</v>
      </c>
      <c r="AY257" s="211">
        <f t="shared" ref="AY257:AY258" si="464">AT257</f>
        <v>0.1204933586337761</v>
      </c>
      <c r="AZ257" s="211">
        <f t="shared" ref="AZ257:AZ258" si="465">AU257</f>
        <v>1.5533980582524271E-2</v>
      </c>
      <c r="BA257" s="65"/>
      <c r="BB257" s="211">
        <f>AW257</f>
        <v>0.14171974522292993</v>
      </c>
      <c r="BC257" s="211">
        <f>AX257</f>
        <v>3.8619556285949055E-2</v>
      </c>
      <c r="BD257" s="211">
        <f t="shared" ref="BD257:BD258" si="466">AY257</f>
        <v>0.1204933586337761</v>
      </c>
      <c r="BE257" s="211">
        <f t="shared" ref="BE257:BE258" si="467">AZ257</f>
        <v>1.5533980582524271E-2</v>
      </c>
      <c r="BF257" s="65"/>
      <c r="BG257" s="211">
        <f>BB257</f>
        <v>0.14171974522292993</v>
      </c>
      <c r="BH257" s="211">
        <f>BC257</f>
        <v>3.8619556285949055E-2</v>
      </c>
      <c r="BI257" s="211">
        <f t="shared" ref="BI257:BI258" si="468">BD257</f>
        <v>0.1204933586337761</v>
      </c>
      <c r="BJ257" s="211">
        <f t="shared" ref="BJ257:BJ258" si="469">BE257</f>
        <v>1.5533980582524271E-2</v>
      </c>
      <c r="BK257" s="65"/>
    </row>
    <row r="258" spans="2:63" s="62" customFormat="1" hidden="1" outlineLevel="1" x14ac:dyDescent="0.3">
      <c r="B258" s="447" t="s">
        <v>429</v>
      </c>
      <c r="C258" s="452"/>
      <c r="D258" s="700">
        <f t="shared" ref="D258:AB258" si="470">+D232/D205</f>
        <v>0</v>
      </c>
      <c r="E258" s="163">
        <f t="shared" si="470"/>
        <v>0</v>
      </c>
      <c r="F258" s="163">
        <f t="shared" si="470"/>
        <v>-1.7534246575342465</v>
      </c>
      <c r="G258" s="163">
        <f t="shared" si="470"/>
        <v>-9.8214285714285712E-2</v>
      </c>
      <c r="H258" s="65">
        <f t="shared" si="470"/>
        <v>-0.46188850967007966</v>
      </c>
      <c r="I258" s="163">
        <f t="shared" si="470"/>
        <v>-0.77926421404682278</v>
      </c>
      <c r="J258" s="163">
        <f t="shared" si="470"/>
        <v>-8.7108013937282236E-2</v>
      </c>
      <c r="K258" s="163">
        <f t="shared" si="470"/>
        <v>-0.778169014084507</v>
      </c>
      <c r="L258" s="163">
        <f t="shared" si="470"/>
        <v>-0.13758389261744966</v>
      </c>
      <c r="M258" s="65">
        <f t="shared" si="470"/>
        <v>-0.4452054794520548</v>
      </c>
      <c r="N258" s="163">
        <f t="shared" si="470"/>
        <v>-0.84523809523809523</v>
      </c>
      <c r="O258" s="163">
        <f t="shared" si="470"/>
        <v>-0.65801886792452835</v>
      </c>
      <c r="P258" s="163">
        <f t="shared" si="470"/>
        <v>-1.140625</v>
      </c>
      <c r="Q258" s="163">
        <f t="shared" si="470"/>
        <v>-0.18080357142857142</v>
      </c>
      <c r="R258" s="65">
        <f t="shared" si="470"/>
        <v>-0.70459770114942533</v>
      </c>
      <c r="S258" s="163">
        <f t="shared" si="470"/>
        <v>0</v>
      </c>
      <c r="T258" s="163">
        <f t="shared" si="470"/>
        <v>0</v>
      </c>
      <c r="U258" s="163">
        <f t="shared" si="470"/>
        <v>-1.7318339100346021</v>
      </c>
      <c r="V258" s="163">
        <f t="shared" si="470"/>
        <v>-0.14594594594594595</v>
      </c>
      <c r="W258" s="65">
        <f t="shared" si="470"/>
        <v>-0.48024855747891698</v>
      </c>
      <c r="X258" s="163">
        <f t="shared" si="470"/>
        <v>-0.53597650513950068</v>
      </c>
      <c r="Y258" s="163">
        <f t="shared" si="470"/>
        <v>-9.3390804597701146E-2</v>
      </c>
      <c r="Z258" s="163">
        <f t="shared" si="470"/>
        <v>-0.56491712707182318</v>
      </c>
      <c r="AA258" s="163">
        <f t="shared" si="470"/>
        <v>-0.41863517060367456</v>
      </c>
      <c r="AB258" s="65">
        <f t="shared" si="470"/>
        <v>-0.40447083478868318</v>
      </c>
      <c r="AC258" s="163">
        <f t="shared" ref="AC258:AD258" si="471">+AC232/AC205</f>
        <v>-0.57657657657657657</v>
      </c>
      <c r="AD258" s="163">
        <f t="shared" si="471"/>
        <v>-0.10355987055016182</v>
      </c>
      <c r="AE258" s="163">
        <f>+AE232/AE205</f>
        <v>-0.84579439252336452</v>
      </c>
      <c r="AF258" s="163">
        <f>+AF232/AF205</f>
        <v>-0.18251366120218579</v>
      </c>
      <c r="AG258" s="65">
        <f t="shared" ref="AG258" si="472">+AG232/AG205</f>
        <v>-0.4180145008365867</v>
      </c>
      <c r="AH258" s="163">
        <f t="shared" ref="AH258:AI258" si="473">+AH232/AH205</f>
        <v>-0.55380333951762528</v>
      </c>
      <c r="AI258" s="163">
        <f t="shared" si="473"/>
        <v>-0.14694656488549618</v>
      </c>
      <c r="AJ258" s="163">
        <f>+AJ232/AJ205</f>
        <v>-0.57874762808349145</v>
      </c>
      <c r="AK258" s="163">
        <f>+AK232/AK205</f>
        <v>-0.20291262135922331</v>
      </c>
      <c r="AL258" s="65">
        <f t="shared" ref="AL258:AN258" si="474">+AL232/AL205</f>
        <v>-0.37292161520190026</v>
      </c>
      <c r="AM258" s="163">
        <f t="shared" si="474"/>
        <v>-0.50079617834394907</v>
      </c>
      <c r="AN258" s="163">
        <f t="shared" si="474"/>
        <v>-0.13064913722267871</v>
      </c>
      <c r="AO258" s="211">
        <f t="shared" ref="AO258" si="475">AJ258</f>
        <v>-0.57874762808349145</v>
      </c>
      <c r="AP258" s="211">
        <f t="shared" ref="AP258" si="476">AK258</f>
        <v>-0.20291262135922331</v>
      </c>
      <c r="AQ258" s="65"/>
      <c r="AR258" s="211">
        <f>AM258</f>
        <v>-0.50079617834394907</v>
      </c>
      <c r="AS258" s="211">
        <f>AN258</f>
        <v>-0.13064913722267871</v>
      </c>
      <c r="AT258" s="211">
        <f t="shared" ref="AT258" si="477">AO258</f>
        <v>-0.57874762808349145</v>
      </c>
      <c r="AU258" s="211">
        <f t="shared" ref="AU258" si="478">AP258</f>
        <v>-0.20291262135922331</v>
      </c>
      <c r="AV258" s="65"/>
      <c r="AW258" s="211">
        <f>AR258</f>
        <v>-0.50079617834394907</v>
      </c>
      <c r="AX258" s="211">
        <f>AS258</f>
        <v>-0.13064913722267871</v>
      </c>
      <c r="AY258" s="211">
        <f t="shared" si="464"/>
        <v>-0.57874762808349145</v>
      </c>
      <c r="AZ258" s="211">
        <f t="shared" si="465"/>
        <v>-0.20291262135922331</v>
      </c>
      <c r="BA258" s="65"/>
      <c r="BB258" s="211">
        <f>AW258</f>
        <v>-0.50079617834394907</v>
      </c>
      <c r="BC258" s="211">
        <f>AX258</f>
        <v>-0.13064913722267871</v>
      </c>
      <c r="BD258" s="211">
        <f t="shared" si="466"/>
        <v>-0.57874762808349145</v>
      </c>
      <c r="BE258" s="211">
        <f t="shared" si="467"/>
        <v>-0.20291262135922331</v>
      </c>
      <c r="BF258" s="65"/>
      <c r="BG258" s="211">
        <f>BB258</f>
        <v>-0.50079617834394907</v>
      </c>
      <c r="BH258" s="211">
        <f>BC258</f>
        <v>-0.13064913722267871</v>
      </c>
      <c r="BI258" s="211">
        <f t="shared" si="468"/>
        <v>-0.57874762808349145</v>
      </c>
      <c r="BJ258" s="211">
        <f t="shared" si="469"/>
        <v>-0.20291262135922331</v>
      </c>
      <c r="BK258" s="65"/>
    </row>
    <row r="259" spans="2:63" s="84" customFormat="1" hidden="1" outlineLevel="1" x14ac:dyDescent="0.3">
      <c r="B259" s="726" t="s">
        <v>427</v>
      </c>
      <c r="C259" s="727"/>
      <c r="D259" s="699"/>
      <c r="E259" s="242"/>
      <c r="F259" s="242"/>
      <c r="G259" s="242"/>
      <c r="H259" s="60"/>
      <c r="I259" s="163">
        <f>I217/D217-1</f>
        <v>0.6905379692094793</v>
      </c>
      <c r="J259" s="163">
        <f t="shared" ref="J259:BK259" si="479">J217/E217-1</f>
        <v>1.7240473061760841</v>
      </c>
      <c r="K259" s="163">
        <f t="shared" si="479"/>
        <v>1.2912541254125411</v>
      </c>
      <c r="L259" s="163">
        <f t="shared" si="479"/>
        <v>0.83512229456273102</v>
      </c>
      <c r="M259" s="67">
        <f t="shared" si="479"/>
        <v>1.0182307071793493</v>
      </c>
      <c r="N259" s="163">
        <f t="shared" si="479"/>
        <v>0.7961731300521846</v>
      </c>
      <c r="O259" s="163">
        <f t="shared" si="479"/>
        <v>1.2474674384949349</v>
      </c>
      <c r="P259" s="163">
        <f t="shared" si="479"/>
        <v>-8.2733165286280164E-2</v>
      </c>
      <c r="Q259" s="163">
        <f t="shared" si="479"/>
        <v>-0.12398120625179787</v>
      </c>
      <c r="R259" s="67">
        <f t="shared" si="479"/>
        <v>0.35511204668389773</v>
      </c>
      <c r="S259" s="163">
        <f t="shared" si="479"/>
        <v>0.33451065284265691</v>
      </c>
      <c r="T259" s="163">
        <f t="shared" si="479"/>
        <v>-0.10538742219360375</v>
      </c>
      <c r="U259" s="163">
        <f t="shared" si="479"/>
        <v>-0.23172048287368729</v>
      </c>
      <c r="V259" s="163">
        <f t="shared" si="479"/>
        <v>8.4500875656742469E-2</v>
      </c>
      <c r="W259" s="67">
        <f t="shared" si="479"/>
        <v>5.5254050652823627E-2</v>
      </c>
      <c r="X259" s="163">
        <f t="shared" si="479"/>
        <v>-3.2271834713566094E-2</v>
      </c>
      <c r="Y259" s="163">
        <f t="shared" si="479"/>
        <v>8.2693538067818206E-2</v>
      </c>
      <c r="Z259" s="163">
        <f t="shared" si="479"/>
        <v>0.31004087889626986</v>
      </c>
      <c r="AA259" s="163">
        <f t="shared" si="479"/>
        <v>0.33730318934194581</v>
      </c>
      <c r="AB259" s="67">
        <f t="shared" si="479"/>
        <v>0.11267841836544545</v>
      </c>
      <c r="AC259" s="163">
        <f t="shared" si="479"/>
        <v>0.48751654168504621</v>
      </c>
      <c r="AD259" s="163">
        <f t="shared" si="479"/>
        <v>0.4094400945486778</v>
      </c>
      <c r="AE259" s="163">
        <f t="shared" si="479"/>
        <v>0.46153096050706965</v>
      </c>
      <c r="AF259" s="163">
        <f t="shared" si="479"/>
        <v>1.6981132075471805E-2</v>
      </c>
      <c r="AG259" s="67">
        <f t="shared" si="479"/>
        <v>0.36094317820240152</v>
      </c>
      <c r="AH259" s="163">
        <f t="shared" si="479"/>
        <v>-0.18560583595279045</v>
      </c>
      <c r="AI259" s="163">
        <f t="shared" si="479"/>
        <v>-0.39201299722236782</v>
      </c>
      <c r="AJ259" s="163">
        <f t="shared" si="479"/>
        <v>-0.29049906591940222</v>
      </c>
      <c r="AK259" s="163">
        <f t="shared" si="479"/>
        <v>0.19673469387755094</v>
      </c>
      <c r="AL259" s="67">
        <f t="shared" si="479"/>
        <v>-0.19001796569290974</v>
      </c>
      <c r="AM259" s="163">
        <f t="shared" si="479"/>
        <v>-1.4819939555037687E-2</v>
      </c>
      <c r="AN259" s="163">
        <f t="shared" si="479"/>
        <v>7.9475907249375144E-2</v>
      </c>
      <c r="AO259" s="163">
        <f t="shared" si="479"/>
        <v>0.16771622087932991</v>
      </c>
      <c r="AP259" s="163">
        <f t="shared" si="479"/>
        <v>0.22030014876534887</v>
      </c>
      <c r="AQ259" s="67">
        <f t="shared" si="479"/>
        <v>8.888937912950956E-2</v>
      </c>
      <c r="AR259" s="163">
        <f t="shared" si="479"/>
        <v>-9.8045245902006251E-2</v>
      </c>
      <c r="AS259" s="163">
        <f t="shared" si="479"/>
        <v>0.38112437462568671</v>
      </c>
      <c r="AT259" s="163">
        <f t="shared" si="479"/>
        <v>2.7433093067641412E-3</v>
      </c>
      <c r="AU259" s="163">
        <f t="shared" si="479"/>
        <v>0.12673317308655463</v>
      </c>
      <c r="AV259" s="67">
        <f t="shared" si="479"/>
        <v>6.484961618405416E-2</v>
      </c>
      <c r="AW259" s="163">
        <f t="shared" si="479"/>
        <v>-0.10782221461611474</v>
      </c>
      <c r="AX259" s="163">
        <f t="shared" si="479"/>
        <v>-5.9312859972295739E-2</v>
      </c>
      <c r="AY259" s="163">
        <f t="shared" si="479"/>
        <v>-0.13477383065897819</v>
      </c>
      <c r="AZ259" s="163">
        <f t="shared" si="479"/>
        <v>0.17431595913273279</v>
      </c>
      <c r="BA259" s="67">
        <f t="shared" si="479"/>
        <v>-1.9262925087585314E-2</v>
      </c>
      <c r="BB259" s="163">
        <f t="shared" si="479"/>
        <v>-0.17425294839209249</v>
      </c>
      <c r="BC259" s="163">
        <f t="shared" si="479"/>
        <v>9.7303424475867484E-3</v>
      </c>
      <c r="BD259" s="163">
        <f t="shared" si="479"/>
        <v>2.4193500889539976E-3</v>
      </c>
      <c r="BE259" s="163">
        <f t="shared" si="479"/>
        <v>0.12679055396769412</v>
      </c>
      <c r="BF259" s="67">
        <f t="shared" si="479"/>
        <v>-4.1168859597355834E-3</v>
      </c>
      <c r="BG259" s="163">
        <f t="shared" si="479"/>
        <v>-0.33132157549521601</v>
      </c>
      <c r="BH259" s="163">
        <f t="shared" si="479"/>
        <v>0.16111127258878488</v>
      </c>
      <c r="BI259" s="163">
        <f t="shared" si="479"/>
        <v>-0.2124835026395504</v>
      </c>
      <c r="BJ259" s="163">
        <f t="shared" si="479"/>
        <v>0.1429019685293218</v>
      </c>
      <c r="BK259" s="67">
        <f t="shared" si="479"/>
        <v>-1.8940709126485711E-2</v>
      </c>
    </row>
    <row r="260" spans="2:63" s="84" customFormat="1" hidden="1" outlineLevel="1" x14ac:dyDescent="0.3">
      <c r="B260" s="237" t="s">
        <v>407</v>
      </c>
      <c r="C260" s="238"/>
      <c r="D260" s="699"/>
      <c r="E260" s="242"/>
      <c r="F260" s="242"/>
      <c r="G260" s="242"/>
      <c r="H260" s="67">
        <f>-H224/H13</f>
        <v>3.0739747029513223E-2</v>
      </c>
      <c r="I260" s="242"/>
      <c r="J260" s="242"/>
      <c r="K260" s="242"/>
      <c r="L260" s="242"/>
      <c r="M260" s="67">
        <f>-M224/M13</f>
        <v>3.9353712274478286E-2</v>
      </c>
      <c r="N260" s="242"/>
      <c r="O260" s="242"/>
      <c r="P260" s="242"/>
      <c r="Q260" s="242"/>
      <c r="R260" s="67">
        <f>-R224/R13</f>
        <v>5.3000485598180283E-2</v>
      </c>
      <c r="S260" s="242"/>
      <c r="T260" s="242"/>
      <c r="U260" s="242"/>
      <c r="V260" s="242"/>
      <c r="W260" s="67">
        <f>-W224/W13</f>
        <v>4.7773682054882687E-2</v>
      </c>
      <c r="X260" s="242"/>
      <c r="Y260" s="242"/>
      <c r="Z260" s="242"/>
      <c r="AA260" s="242"/>
      <c r="AB260" s="67">
        <f>-AB224/AB13</f>
        <v>5.235920019694193E-2</v>
      </c>
      <c r="AC260" s="242"/>
      <c r="AD260" s="242"/>
      <c r="AE260" s="242"/>
      <c r="AF260" s="242"/>
      <c r="AG260" s="67">
        <f>-AG224/AG13</f>
        <v>4.812271356138887E-2</v>
      </c>
      <c r="AH260" s="242"/>
      <c r="AI260" s="242"/>
      <c r="AJ260" s="242"/>
      <c r="AK260" s="242"/>
      <c r="AL260" s="67">
        <f>-AL224/AL13</f>
        <v>5.9052397757362998E-2</v>
      </c>
      <c r="AM260" s="242"/>
      <c r="AN260" s="242"/>
      <c r="AO260" s="242"/>
      <c r="AP260" s="242"/>
      <c r="AQ260" s="67">
        <f>-AQ224/AQ13</f>
        <v>5.3231276931346549E-2</v>
      </c>
      <c r="AR260" s="242"/>
      <c r="AS260" s="242"/>
      <c r="AT260" s="242"/>
      <c r="AU260" s="242"/>
      <c r="AV260" s="67">
        <f>-AV224/AV13</f>
        <v>4.6782760345926939E-2</v>
      </c>
      <c r="AW260" s="242"/>
      <c r="AX260" s="242"/>
      <c r="AY260" s="242"/>
      <c r="AZ260" s="242"/>
      <c r="BA260" s="67">
        <f>-BA224/BA13</f>
        <v>5.0149770316351282E-2</v>
      </c>
      <c r="BB260" s="242"/>
      <c r="BC260" s="242"/>
      <c r="BD260" s="242"/>
      <c r="BE260" s="242"/>
      <c r="BF260" s="67">
        <f>-BF224/BF13</f>
        <v>5.4068902549944606E-2</v>
      </c>
      <c r="BG260" s="242"/>
      <c r="BH260" s="242"/>
      <c r="BI260" s="242"/>
      <c r="BJ260" s="242"/>
      <c r="BK260" s="67">
        <f>-BK224/BK13</f>
        <v>5.8869169614192064E-2</v>
      </c>
    </row>
    <row r="261" spans="2:63" s="62" customFormat="1" ht="16.2" hidden="1" outlineLevel="1" x14ac:dyDescent="0.45">
      <c r="B261" s="724" t="s">
        <v>408</v>
      </c>
      <c r="C261" s="725"/>
      <c r="D261" s="701"/>
      <c r="E261" s="66">
        <f>E224/D224-1</f>
        <v>-0.27127659574468088</v>
      </c>
      <c r="F261" s="66">
        <f>F224/E224-1</f>
        <v>1.1715328467153285</v>
      </c>
      <c r="G261" s="66">
        <f t="shared" ref="G261:L261" si="480">G224/F224-1</f>
        <v>0.2773109243697478</v>
      </c>
      <c r="H261" s="245"/>
      <c r="I261" s="66">
        <f>I224/G224-1</f>
        <v>0.59736842105263155</v>
      </c>
      <c r="J261" s="66">
        <f t="shared" si="480"/>
        <v>-0.48599670510708404</v>
      </c>
      <c r="K261" s="66">
        <f t="shared" si="480"/>
        <v>0.24519230769230771</v>
      </c>
      <c r="L261" s="66">
        <f t="shared" si="480"/>
        <v>1.1171171171171173</v>
      </c>
      <c r="M261" s="245"/>
      <c r="N261" s="66">
        <f>N224/L224-1</f>
        <v>-0.19696048632218843</v>
      </c>
      <c r="O261" s="66">
        <f>O224/N224-1</f>
        <v>0.10295230885692663</v>
      </c>
      <c r="P261" s="66">
        <f>P224/O224-1</f>
        <v>0.41111873713109137</v>
      </c>
      <c r="Q261" s="66">
        <f>Q224/P224-1</f>
        <v>0.68336575875486383</v>
      </c>
      <c r="R261" s="245"/>
      <c r="S261" s="66">
        <f>S224/Q224-1</f>
        <v>-0.33054030626986419</v>
      </c>
      <c r="T261" s="66">
        <f>T224/S224-1</f>
        <v>-0.1333621061717738</v>
      </c>
      <c r="U261" s="66">
        <f>U224/T224-1</f>
        <v>-6.125498007968122E-2</v>
      </c>
      <c r="V261" s="66">
        <f>V224/U224-1</f>
        <v>3.7135278514588865E-2</v>
      </c>
      <c r="W261" s="245"/>
      <c r="X261" s="66">
        <f>X224/V224-1</f>
        <v>1.5345268542199531E-2</v>
      </c>
      <c r="Y261" s="66">
        <f>Y224/X224-1</f>
        <v>-0.3037783375314862</v>
      </c>
      <c r="Z261" s="66">
        <f>Z224/Y224-1</f>
        <v>0.72069464544138939</v>
      </c>
      <c r="AA261" s="66">
        <f>AA224/Z224-1</f>
        <v>0.60891505466778795</v>
      </c>
      <c r="AB261" s="245"/>
      <c r="AC261" s="66">
        <f>AC224/AA224-1</f>
        <v>-0.15917407213800316</v>
      </c>
      <c r="AD261" s="163">
        <f>AD224/AC224-1</f>
        <v>-0.26359962698165995</v>
      </c>
      <c r="AE261" s="163">
        <f>AE224/AD224-1</f>
        <v>-0.13761080624736177</v>
      </c>
      <c r="AF261" s="163">
        <f>AF224/AE224-1</f>
        <v>0.77092511013215859</v>
      </c>
      <c r="AG261" s="246"/>
      <c r="AH261" s="163">
        <f>AH224/AF224-1</f>
        <v>-1.6583747927031434E-3</v>
      </c>
      <c r="AI261" s="163">
        <f>AI224/AH224-1</f>
        <v>-0.35326688815060903</v>
      </c>
      <c r="AJ261" s="163">
        <f>AJ224/AI224-1</f>
        <v>0.20248287671232879</v>
      </c>
      <c r="AK261" s="163">
        <f>AK224/AJ224-1</f>
        <v>0.41580633677465295</v>
      </c>
      <c r="AL261" s="246"/>
      <c r="AM261" s="163">
        <f>AM224/AK224-1</f>
        <v>-0.16167965803369377</v>
      </c>
      <c r="AN261" s="163">
        <f>AN224/AM224-1</f>
        <v>-0.10767846430713857</v>
      </c>
      <c r="AO261" s="211">
        <v>-0.02</v>
      </c>
      <c r="AP261" s="211">
        <v>-0.02</v>
      </c>
      <c r="AQ261" s="246"/>
      <c r="AR261" s="211">
        <v>0.01</v>
      </c>
      <c r="AS261" s="211">
        <v>0.01</v>
      </c>
      <c r="AT261" s="211">
        <v>0.01</v>
      </c>
      <c r="AU261" s="211">
        <v>0.01</v>
      </c>
      <c r="AV261" s="246"/>
      <c r="AW261" s="211">
        <v>0.01</v>
      </c>
      <c r="AX261" s="211">
        <v>0.01</v>
      </c>
      <c r="AY261" s="211">
        <v>0.01</v>
      </c>
      <c r="AZ261" s="211">
        <v>0.01</v>
      </c>
      <c r="BA261" s="246"/>
      <c r="BB261" s="211">
        <v>0.01</v>
      </c>
      <c r="BC261" s="211">
        <v>0.01</v>
      </c>
      <c r="BD261" s="211">
        <v>0.01</v>
      </c>
      <c r="BE261" s="211">
        <v>0.01</v>
      </c>
      <c r="BF261" s="246"/>
      <c r="BG261" s="211">
        <v>0.01</v>
      </c>
      <c r="BH261" s="211">
        <v>0.01</v>
      </c>
      <c r="BI261" s="211">
        <v>0.01</v>
      </c>
      <c r="BJ261" s="211">
        <v>0.01</v>
      </c>
      <c r="BK261" s="246"/>
    </row>
    <row r="262" spans="2:63" s="191" customFormat="1" ht="16.2" collapsed="1" x14ac:dyDescent="0.45">
      <c r="B262" s="194"/>
      <c r="C262" s="194"/>
      <c r="D262" s="197"/>
      <c r="E262" s="198"/>
      <c r="F262" s="198"/>
      <c r="G262" s="198"/>
      <c r="H262" s="73"/>
      <c r="I262" s="195"/>
      <c r="J262" s="195"/>
      <c r="K262" s="195"/>
      <c r="L262" s="195"/>
      <c r="M262" s="73"/>
      <c r="N262" s="195"/>
      <c r="O262" s="195"/>
      <c r="P262" s="195"/>
      <c r="Q262" s="195"/>
      <c r="R262" s="73"/>
      <c r="S262" s="195"/>
      <c r="T262" s="195"/>
      <c r="U262" s="195"/>
      <c r="V262" s="195"/>
      <c r="W262" s="73"/>
      <c r="X262" s="195"/>
      <c r="Y262" s="195"/>
      <c r="Z262" s="195"/>
      <c r="AA262" s="195"/>
      <c r="AB262" s="73"/>
      <c r="AC262" s="195"/>
      <c r="AD262" s="195"/>
      <c r="AE262" s="195"/>
      <c r="AF262" s="195"/>
      <c r="AG262" s="73"/>
      <c r="AH262" s="195"/>
      <c r="AI262" s="195"/>
      <c r="AJ262" s="195"/>
      <c r="AK262" s="195"/>
      <c r="AL262" s="73"/>
      <c r="AM262" s="195"/>
      <c r="AN262" s="195"/>
      <c r="AO262" s="195"/>
      <c r="AP262" s="195"/>
      <c r="AQ262" s="73"/>
      <c r="AR262" s="195"/>
      <c r="AS262" s="195"/>
      <c r="AT262" s="195"/>
      <c r="AU262" s="195"/>
      <c r="AV262" s="73"/>
      <c r="AW262" s="195"/>
      <c r="AX262" s="195"/>
      <c r="AY262" s="195"/>
      <c r="AZ262" s="195"/>
      <c r="BA262" s="73"/>
      <c r="BB262" s="195"/>
      <c r="BC262" s="195"/>
      <c r="BD262" s="195"/>
      <c r="BE262" s="195"/>
      <c r="BF262" s="73"/>
      <c r="BG262" s="195"/>
      <c r="BH262" s="195"/>
      <c r="BI262" s="195"/>
      <c r="BJ262" s="195"/>
      <c r="BK262" s="73"/>
    </row>
    <row r="263" spans="2:63" ht="15.6" x14ac:dyDescent="0.3">
      <c r="B263" s="733" t="s">
        <v>46</v>
      </c>
      <c r="C263" s="737"/>
      <c r="D263" s="91"/>
      <c r="E263" s="87"/>
      <c r="F263" s="87"/>
      <c r="G263" s="87"/>
      <c r="I263" s="87"/>
      <c r="J263" s="87"/>
      <c r="K263" s="87"/>
      <c r="L263" s="87"/>
      <c r="N263" s="87"/>
      <c r="O263" s="87"/>
      <c r="P263" s="87"/>
      <c r="Q263" s="87"/>
      <c r="R263" s="138"/>
      <c r="S263" s="87"/>
      <c r="T263" s="87"/>
      <c r="U263" s="87"/>
      <c r="V263" s="87"/>
      <c r="W263" s="138"/>
      <c r="X263" s="87"/>
      <c r="Y263" s="87"/>
      <c r="Z263" s="87"/>
      <c r="AA263" s="87"/>
      <c r="AB263" s="138"/>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row>
    <row r="264" spans="2:63" x14ac:dyDescent="0.3">
      <c r="B264" s="161" t="s">
        <v>220</v>
      </c>
      <c r="C264" s="229">
        <v>12.501689049148835</v>
      </c>
      <c r="D264" s="696"/>
      <c r="E264" s="26"/>
      <c r="F264" s="26"/>
      <c r="G264" s="26"/>
      <c r="I264" s="89"/>
      <c r="J264" s="26"/>
      <c r="K264" s="26"/>
      <c r="L264" s="26"/>
      <c r="N264" s="89"/>
      <c r="O264" s="26"/>
      <c r="P264" s="26"/>
      <c r="Q264" s="26"/>
      <c r="R264" s="138"/>
      <c r="S264" s="89"/>
      <c r="T264" s="26"/>
      <c r="U264" s="26"/>
      <c r="V264" s="26"/>
      <c r="W264" s="138"/>
      <c r="X264" s="89"/>
      <c r="Y264" s="26"/>
      <c r="Z264" s="26"/>
      <c r="AA264" s="26"/>
      <c r="AB264" s="138"/>
      <c r="AC264" s="30"/>
      <c r="AD264" s="31"/>
      <c r="AE264" s="23"/>
      <c r="AF264" s="23"/>
      <c r="AG264" s="31"/>
      <c r="AH264" s="30"/>
      <c r="AI264" s="31"/>
      <c r="AJ264" s="23"/>
      <c r="AK264" s="23"/>
      <c r="AL264" s="31"/>
      <c r="AM264" s="30"/>
      <c r="AN264" s="31"/>
      <c r="AO264" s="23"/>
      <c r="AP264" s="23"/>
      <c r="AQ264" s="31"/>
      <c r="AR264" s="30"/>
      <c r="AS264" s="31"/>
      <c r="AT264" s="23"/>
      <c r="AU264" s="23"/>
      <c r="AV264" s="31"/>
      <c r="AW264" s="30"/>
      <c r="AX264" s="31"/>
      <c r="AY264" s="23"/>
      <c r="AZ264" s="23"/>
      <c r="BA264" s="31"/>
      <c r="BB264" s="30"/>
      <c r="BC264" s="187"/>
      <c r="BD264" s="23"/>
      <c r="BE264" s="23"/>
      <c r="BF264" s="187"/>
      <c r="BG264" s="30"/>
      <c r="BH264" s="187"/>
      <c r="BI264" s="23"/>
      <c r="BJ264" s="23"/>
      <c r="BK264" s="187"/>
    </row>
    <row r="265" spans="2:63" x14ac:dyDescent="0.3">
      <c r="B265" s="161" t="s">
        <v>209</v>
      </c>
      <c r="C265" s="230">
        <v>13.638604312114991</v>
      </c>
      <c r="D265" s="697"/>
      <c r="I265" s="90"/>
      <c r="N265" s="90"/>
      <c r="O265" s="138"/>
      <c r="P265" s="138"/>
      <c r="Q265" s="138"/>
      <c r="R265" s="138"/>
      <c r="S265" s="90"/>
      <c r="T265" s="138"/>
      <c r="U265" s="138"/>
      <c r="V265" s="138"/>
      <c r="W265" s="138"/>
      <c r="X265" s="90"/>
      <c r="Y265" s="138"/>
      <c r="Z265" s="138"/>
      <c r="AA265" s="138"/>
      <c r="AB265" s="138"/>
      <c r="AC265" s="138"/>
      <c r="AD265" s="138"/>
      <c r="AE265" s="139"/>
      <c r="AF265" s="139"/>
      <c r="AG265" s="139"/>
      <c r="AH265" s="138"/>
      <c r="AI265" s="138"/>
      <c r="AJ265" s="139"/>
      <c r="AK265" s="139"/>
      <c r="AL265" s="139"/>
      <c r="AM265" s="138"/>
      <c r="AN265" s="138"/>
      <c r="AO265" s="139"/>
      <c r="AP265" s="139"/>
      <c r="AQ265" s="139"/>
      <c r="AR265" s="138"/>
      <c r="AS265" s="138"/>
    </row>
    <row r="266" spans="2:63" x14ac:dyDescent="0.3">
      <c r="B266" s="161" t="s">
        <v>210</v>
      </c>
      <c r="C266" s="230">
        <v>11.850101950718685</v>
      </c>
      <c r="D266" s="697"/>
      <c r="I266" s="90"/>
      <c r="N266" s="90"/>
      <c r="O266" s="138"/>
      <c r="P266" s="138"/>
      <c r="Q266" s="138"/>
      <c r="R266" s="138"/>
      <c r="S266" s="90"/>
      <c r="T266" s="138"/>
      <c r="U266" s="138"/>
      <c r="V266" s="138"/>
      <c r="W266" s="138"/>
      <c r="X266" s="90"/>
      <c r="Y266" s="138"/>
      <c r="Z266" s="138"/>
      <c r="AA266" s="138"/>
      <c r="AB266" s="138"/>
      <c r="AC266" s="138"/>
      <c r="AD266" s="138"/>
      <c r="AE266" s="139"/>
      <c r="AF266" s="139"/>
      <c r="AG266" s="139"/>
      <c r="AH266" s="138"/>
      <c r="AI266" s="138"/>
      <c r="AJ266" s="139"/>
      <c r="AK266" s="139"/>
      <c r="AL266" s="139"/>
      <c r="AM266" s="138"/>
      <c r="AN266" s="138"/>
      <c r="AO266" s="139"/>
      <c r="AP266" s="139"/>
      <c r="AQ266" s="139"/>
      <c r="AR266" s="138"/>
      <c r="AS266" s="138"/>
    </row>
    <row r="267" spans="2:63" x14ac:dyDescent="0.3">
      <c r="B267" s="161" t="s">
        <v>84</v>
      </c>
      <c r="C267" s="231">
        <v>12.505000000000001</v>
      </c>
      <c r="D267" s="697"/>
      <c r="I267" s="90"/>
      <c r="N267" s="90"/>
      <c r="O267" s="138"/>
      <c r="P267" s="138"/>
      <c r="Q267" s="138"/>
      <c r="R267" s="138"/>
      <c r="S267" s="90"/>
      <c r="T267" s="138"/>
      <c r="U267" s="138"/>
      <c r="V267" s="138"/>
      <c r="W267" s="138"/>
      <c r="X267" s="90"/>
      <c r="Y267" s="138"/>
      <c r="Z267" s="138"/>
      <c r="AA267" s="138"/>
      <c r="AB267" s="138"/>
      <c r="AC267" s="138"/>
      <c r="AD267" s="138"/>
      <c r="AE267" s="139"/>
      <c r="AF267" s="139"/>
      <c r="AG267" s="139"/>
      <c r="AH267" s="138"/>
      <c r="AI267" s="138"/>
      <c r="AJ267" s="139"/>
      <c r="AK267" s="139"/>
      <c r="AL267" s="139"/>
      <c r="AM267" s="138"/>
      <c r="AN267" s="138"/>
      <c r="AO267" s="139"/>
      <c r="AP267" s="139"/>
      <c r="AQ267" s="139"/>
      <c r="AR267" s="138"/>
      <c r="AS267" s="138"/>
    </row>
    <row r="268" spans="2:63" x14ac:dyDescent="0.3">
      <c r="B268" s="11" t="s">
        <v>401</v>
      </c>
      <c r="C268" s="153">
        <f>+AN250</f>
        <v>30.089013259623147</v>
      </c>
      <c r="D268" s="698"/>
      <c r="E268" s="70"/>
      <c r="F268" s="70"/>
      <c r="G268" s="70"/>
      <c r="I268" s="61"/>
      <c r="J268" s="70"/>
      <c r="K268" s="70"/>
      <c r="L268" s="70"/>
      <c r="N268" s="61"/>
      <c r="O268" s="70"/>
      <c r="P268" s="70"/>
      <c r="Q268" s="70"/>
      <c r="R268" s="138"/>
      <c r="S268" s="61"/>
      <c r="T268" s="70"/>
      <c r="U268" s="70"/>
      <c r="V268" s="70"/>
      <c r="W268" s="138"/>
      <c r="X268" s="61"/>
      <c r="Y268" s="70"/>
      <c r="Z268" s="70"/>
      <c r="AA268" s="70"/>
      <c r="AB268" s="138"/>
      <c r="AC268" s="70"/>
      <c r="AD268" s="70"/>
      <c r="AE268" s="70"/>
      <c r="AF268" s="70"/>
      <c r="AG268" s="86"/>
      <c r="AH268" s="70"/>
      <c r="AI268" s="70"/>
      <c r="AJ268" s="70"/>
      <c r="AK268" s="70"/>
      <c r="AL268" s="86"/>
      <c r="AM268" s="70"/>
      <c r="AN268" s="70"/>
      <c r="AO268" s="70"/>
      <c r="AP268" s="70"/>
      <c r="AQ268" s="86"/>
      <c r="AR268" s="70"/>
      <c r="AS268" s="70"/>
      <c r="AT268" s="70"/>
      <c r="AU268" s="70"/>
      <c r="AV268" s="86"/>
      <c r="AW268" s="70"/>
      <c r="AX268" s="70"/>
      <c r="AY268" s="70"/>
      <c r="AZ268" s="70"/>
      <c r="BA268" s="86"/>
      <c r="BB268" s="70"/>
      <c r="BC268" s="70"/>
      <c r="BD268" s="70"/>
      <c r="BE268" s="70"/>
      <c r="BF268" s="86"/>
      <c r="BG268" s="70"/>
      <c r="BH268" s="70"/>
      <c r="BI268" s="70"/>
      <c r="BJ268" s="70"/>
      <c r="BK268" s="86"/>
    </row>
    <row r="269" spans="2:63" s="199" customFormat="1" x14ac:dyDescent="0.3">
      <c r="B269" s="11" t="s">
        <v>395</v>
      </c>
      <c r="C269" s="153">
        <f>+AN251</f>
        <v>6.8305076241692779</v>
      </c>
      <c r="D269" s="92"/>
      <c r="E269" s="70"/>
      <c r="F269" s="70"/>
      <c r="G269" s="70"/>
      <c r="H269" s="1"/>
      <c r="I269" s="61"/>
      <c r="J269" s="70"/>
      <c r="K269" s="70"/>
      <c r="L269" s="70"/>
      <c r="M269" s="1"/>
      <c r="N269" s="61"/>
      <c r="O269" s="70"/>
      <c r="P269" s="70"/>
      <c r="Q269" s="70"/>
      <c r="R269" s="138"/>
      <c r="S269" s="61"/>
      <c r="T269" s="70"/>
      <c r="U269" s="70"/>
      <c r="V269" s="70"/>
      <c r="W269" s="138"/>
      <c r="X269" s="61"/>
      <c r="Y269" s="70"/>
      <c r="Z269" s="70"/>
      <c r="AA269" s="70"/>
      <c r="AB269" s="138"/>
      <c r="AC269" s="70"/>
      <c r="AD269" s="70"/>
      <c r="AE269" s="70"/>
      <c r="AF269" s="70"/>
      <c r="AG269" s="86"/>
      <c r="AH269" s="70"/>
      <c r="AI269" s="70"/>
      <c r="AJ269" s="70"/>
      <c r="AK269" s="70"/>
      <c r="AL269" s="86"/>
      <c r="AM269" s="70"/>
      <c r="AN269" s="70"/>
      <c r="AO269" s="70"/>
      <c r="AP269" s="70"/>
      <c r="AQ269" s="86"/>
      <c r="AR269" s="70"/>
      <c r="AS269" s="70"/>
      <c r="AT269" s="70"/>
      <c r="AU269" s="70"/>
      <c r="AV269" s="86"/>
      <c r="AW269" s="70"/>
      <c r="AX269" s="70"/>
      <c r="AY269" s="70"/>
      <c r="AZ269" s="70"/>
      <c r="BA269" s="86"/>
      <c r="BB269" s="70"/>
      <c r="BC269" s="70"/>
      <c r="BD269" s="70"/>
      <c r="BE269" s="70"/>
      <c r="BF269" s="86"/>
      <c r="BG269" s="70"/>
      <c r="BH269" s="70"/>
      <c r="BI269" s="70"/>
      <c r="BJ269" s="70"/>
      <c r="BK269" s="86"/>
    </row>
    <row r="270" spans="2:63" ht="16.2" x14ac:dyDescent="0.45">
      <c r="B270" s="11" t="s">
        <v>195</v>
      </c>
      <c r="C270" s="284">
        <f>C268-C269</f>
        <v>23.258505635453869</v>
      </c>
      <c r="D270" s="92"/>
      <c r="E270" s="70"/>
      <c r="F270" s="70"/>
      <c r="G270" s="70"/>
      <c r="I270" s="61"/>
      <c r="J270" s="70"/>
      <c r="K270" s="70"/>
      <c r="L270" s="70"/>
      <c r="N270" s="61"/>
      <c r="O270" s="70"/>
      <c r="P270" s="70"/>
      <c r="Q270" s="70"/>
      <c r="R270" s="138"/>
      <c r="S270" s="61"/>
      <c r="T270" s="70"/>
      <c r="U270" s="70"/>
      <c r="V270" s="70"/>
      <c r="W270" s="138"/>
      <c r="X270" s="61"/>
      <c r="Y270" s="70"/>
      <c r="Z270" s="70"/>
      <c r="AA270" s="70"/>
      <c r="AB270" s="138"/>
      <c r="AC270" s="70"/>
      <c r="AD270" s="70"/>
      <c r="AE270" s="70"/>
      <c r="AF270" s="70"/>
      <c r="AG270" s="86"/>
      <c r="AH270" s="70"/>
      <c r="AI270" s="70"/>
      <c r="AJ270" s="70"/>
      <c r="AK270" s="70"/>
      <c r="AL270" s="86"/>
      <c r="AM270" s="70"/>
      <c r="AN270" s="70"/>
      <c r="AO270" s="70"/>
      <c r="AP270" s="70"/>
      <c r="AQ270" s="86"/>
      <c r="AR270" s="70"/>
      <c r="AS270" s="70"/>
      <c r="AT270" s="70"/>
      <c r="AU270" s="70"/>
      <c r="AV270" s="86"/>
      <c r="AW270" s="70"/>
      <c r="AX270" s="70"/>
      <c r="AY270" s="70"/>
      <c r="AZ270" s="70"/>
      <c r="BA270" s="86"/>
      <c r="BB270" s="70"/>
      <c r="BC270" s="70"/>
      <c r="BD270" s="70"/>
      <c r="BE270" s="70"/>
      <c r="BF270" s="86"/>
      <c r="BG270" s="70"/>
      <c r="BH270" s="70"/>
      <c r="BI270" s="70"/>
      <c r="BJ270" s="70"/>
      <c r="BK270" s="86"/>
    </row>
    <row r="271" spans="2:63" x14ac:dyDescent="0.3">
      <c r="B271" s="88" t="s">
        <v>226</v>
      </c>
      <c r="C271" s="225">
        <f>(C267*(AO31+AP31+AR31+AS31))+C270</f>
        <v>144.99835185160515</v>
      </c>
      <c r="D271" s="93"/>
      <c r="I271" s="94"/>
      <c r="N271" s="94"/>
      <c r="O271" s="138"/>
      <c r="P271" s="138"/>
      <c r="Q271" s="138"/>
      <c r="R271" s="138"/>
      <c r="S271" s="94"/>
      <c r="T271" s="138"/>
      <c r="U271" s="138"/>
      <c r="V271" s="138"/>
      <c r="W271" s="138"/>
      <c r="X271" s="94"/>
      <c r="Y271" s="138"/>
      <c r="Z271" s="138"/>
      <c r="AA271" s="138"/>
      <c r="AB271" s="138"/>
      <c r="AC271" s="138"/>
      <c r="AD271" s="138"/>
      <c r="AE271" s="139"/>
      <c r="AF271" s="139"/>
      <c r="AG271" s="139"/>
      <c r="AH271" s="138"/>
      <c r="AI271" s="138"/>
      <c r="AJ271" s="139"/>
      <c r="AK271" s="139"/>
      <c r="AL271" s="139"/>
      <c r="AM271" s="138"/>
      <c r="AN271" s="138"/>
      <c r="AO271" s="139"/>
      <c r="AP271" s="139"/>
      <c r="AQ271" s="139"/>
      <c r="AR271" s="138"/>
      <c r="AS271" s="138"/>
    </row>
    <row r="272" spans="2:63" s="199" customFormat="1" ht="120.6" customHeight="1" x14ac:dyDescent="0.3">
      <c r="B272" s="712" t="s">
        <v>598</v>
      </c>
      <c r="C272" s="713"/>
      <c r="D272" s="94"/>
      <c r="E272" s="1"/>
      <c r="F272" s="1"/>
      <c r="G272" s="1"/>
      <c r="H272" s="1"/>
      <c r="I272" s="94"/>
      <c r="J272" s="1"/>
      <c r="K272" s="1"/>
      <c r="L272" s="1"/>
      <c r="M272" s="1"/>
      <c r="N272" s="94"/>
      <c r="O272" s="138"/>
      <c r="P272" s="138"/>
      <c r="Q272" s="138"/>
      <c r="R272" s="138"/>
      <c r="S272" s="94"/>
      <c r="T272" s="138"/>
      <c r="U272" s="138"/>
      <c r="V272" s="138"/>
      <c r="W272" s="138"/>
      <c r="X272" s="94"/>
      <c r="Y272" s="138"/>
      <c r="Z272" s="138"/>
      <c r="AA272" s="138"/>
      <c r="AB272" s="138"/>
      <c r="AC272" s="138"/>
      <c r="AD272" s="138"/>
      <c r="AE272" s="139"/>
      <c r="AF272" s="139"/>
      <c r="AG272" s="139"/>
      <c r="AH272" s="286"/>
      <c r="AI272" s="138"/>
      <c r="AJ272" s="139"/>
      <c r="AK272" s="139"/>
      <c r="AL272" s="139"/>
      <c r="AM272" s="138"/>
      <c r="AN272" s="138"/>
      <c r="AO272" s="139"/>
      <c r="AP272" s="139"/>
      <c r="AQ272" s="139"/>
      <c r="AR272" s="138"/>
      <c r="AS272" s="138"/>
      <c r="AT272" s="6"/>
      <c r="AU272" s="6"/>
      <c r="AV272" s="6"/>
      <c r="AW272" s="1"/>
      <c r="AX272" s="1"/>
      <c r="AY272" s="6"/>
      <c r="AZ272" s="6"/>
      <c r="BA272" s="6"/>
      <c r="BB272" s="1"/>
      <c r="BC272" s="1"/>
      <c r="BD272" s="6"/>
      <c r="BE272" s="6"/>
      <c r="BF272" s="6"/>
      <c r="BG272" s="1"/>
      <c r="BH272" s="1"/>
      <c r="BI272" s="6"/>
      <c r="BJ272" s="6"/>
      <c r="BK272" s="6"/>
    </row>
    <row r="273" spans="2:63" s="199" customFormat="1" ht="93" customHeight="1" x14ac:dyDescent="0.3">
      <c r="B273" s="716" t="s">
        <v>221</v>
      </c>
      <c r="C273" s="717"/>
      <c r="D273" s="94"/>
      <c r="E273" s="1"/>
      <c r="F273" s="1"/>
      <c r="G273" s="1"/>
      <c r="H273" s="1"/>
      <c r="I273" s="94"/>
      <c r="J273" s="1"/>
      <c r="K273" s="1"/>
      <c r="L273" s="1"/>
      <c r="M273" s="1"/>
      <c r="N273" s="94"/>
      <c r="O273" s="138"/>
      <c r="P273" s="138"/>
      <c r="Q273" s="138"/>
      <c r="R273" s="138"/>
      <c r="S273" s="94"/>
      <c r="T273" s="138"/>
      <c r="U273" s="138"/>
      <c r="V273" s="138"/>
      <c r="W273" s="138"/>
      <c r="X273" s="94"/>
      <c r="Y273" s="138"/>
      <c r="Z273" s="138"/>
      <c r="AA273" s="138"/>
      <c r="AB273" s="138"/>
      <c r="AC273" s="138"/>
      <c r="AD273" s="138"/>
      <c r="AE273" s="139"/>
      <c r="AF273" s="139"/>
      <c r="AG273" s="139"/>
      <c r="AH273" s="286"/>
      <c r="AI273" s="138"/>
      <c r="AJ273" s="139"/>
      <c r="AK273" s="139"/>
      <c r="AL273" s="139"/>
      <c r="AM273" s="138"/>
      <c r="AN273" s="138"/>
      <c r="AO273" s="139"/>
      <c r="AP273" s="139"/>
      <c r="AQ273" s="139"/>
      <c r="AR273" s="138"/>
      <c r="AS273" s="138"/>
      <c r="AT273" s="6"/>
      <c r="AU273" s="6"/>
      <c r="AV273" s="6"/>
      <c r="AW273" s="1"/>
      <c r="AX273" s="1"/>
      <c r="AY273" s="6"/>
      <c r="AZ273" s="6"/>
      <c r="BA273" s="6"/>
      <c r="BB273" s="1"/>
      <c r="BC273" s="1"/>
      <c r="BD273" s="6"/>
      <c r="BE273" s="6"/>
      <c r="BF273" s="6"/>
      <c r="BG273" s="1"/>
      <c r="BH273" s="1"/>
      <c r="BI273" s="6"/>
      <c r="BJ273" s="6"/>
      <c r="BK273" s="6"/>
    </row>
    <row r="274" spans="2:63" x14ac:dyDescent="0.3">
      <c r="B274" s="62"/>
      <c r="C274" s="1"/>
    </row>
    <row r="275" spans="2:63" ht="15.6" x14ac:dyDescent="0.3">
      <c r="B275" s="733" t="s">
        <v>73</v>
      </c>
      <c r="C275" s="734"/>
    </row>
    <row r="276" spans="2:63" hidden="1" outlineLevel="1" x14ac:dyDescent="0.3">
      <c r="B276" s="27" t="s">
        <v>82</v>
      </c>
      <c r="C276" s="95"/>
    </row>
    <row r="277" spans="2:63" hidden="1" outlineLevel="1" x14ac:dyDescent="0.3">
      <c r="B277" s="11" t="s">
        <v>74</v>
      </c>
      <c r="C277" s="695">
        <v>153.61000000000001</v>
      </c>
    </row>
    <row r="278" spans="2:63" ht="16.2" hidden="1" outlineLevel="1" x14ac:dyDescent="0.45">
      <c r="B278" s="11" t="s">
        <v>75</v>
      </c>
      <c r="C278" s="249">
        <f>AN29</f>
        <v>5261.6880000000001</v>
      </c>
    </row>
    <row r="279" spans="2:63" hidden="1" outlineLevel="1" x14ac:dyDescent="0.3">
      <c r="B279" s="182" t="s">
        <v>76</v>
      </c>
      <c r="C279" s="692">
        <f>C278*C277</f>
        <v>808247.8936800001</v>
      </c>
    </row>
    <row r="280" spans="2:63" hidden="1" outlineLevel="1" x14ac:dyDescent="0.3">
      <c r="B280" s="17" t="s">
        <v>196</v>
      </c>
      <c r="C280" s="215">
        <v>1.1200000000000001</v>
      </c>
      <c r="D280" s="694"/>
    </row>
    <row r="281" spans="2:63" hidden="1" outlineLevel="1" x14ac:dyDescent="0.3">
      <c r="B281" s="17" t="s">
        <v>223</v>
      </c>
      <c r="C281" s="99">
        <v>0.308</v>
      </c>
      <c r="D281" s="694"/>
    </row>
    <row r="282" spans="2:63" hidden="1" outlineLevel="1" x14ac:dyDescent="0.3">
      <c r="B282" s="17" t="s">
        <v>224</v>
      </c>
      <c r="C282" s="216">
        <v>0.1169</v>
      </c>
      <c r="D282" s="694"/>
      <c r="AB282" s="213"/>
    </row>
    <row r="283" spans="2:63" hidden="1" outlineLevel="1" x14ac:dyDescent="0.3">
      <c r="B283" s="88" t="s">
        <v>77</v>
      </c>
      <c r="C283" s="101">
        <f>C281*C282</f>
        <v>3.6005200000000001E-2</v>
      </c>
      <c r="D283" s="694"/>
      <c r="AB283" s="214"/>
    </row>
    <row r="284" spans="2:63" hidden="1" outlineLevel="1" x14ac:dyDescent="0.3">
      <c r="B284" s="17" t="s">
        <v>269</v>
      </c>
      <c r="C284" s="693">
        <v>2.4500000000000001E-2</v>
      </c>
      <c r="D284" s="694"/>
      <c r="AB284" s="213"/>
    </row>
    <row r="285" spans="2:63" hidden="1" outlineLevel="1" x14ac:dyDescent="0.3">
      <c r="B285" s="88" t="s">
        <v>78</v>
      </c>
      <c r="C285" s="101">
        <f>C284+(C280*C283)</f>
        <v>6.4825824000000004E-2</v>
      </c>
    </row>
    <row r="286" spans="2:63" hidden="1" outlineLevel="1" x14ac:dyDescent="0.3">
      <c r="B286" s="17" t="s">
        <v>79</v>
      </c>
      <c r="C286" s="100">
        <f>C279/(C279+AM163+AM166)</f>
        <v>0.90226690824932176</v>
      </c>
    </row>
    <row r="287" spans="2:63" hidden="1" outlineLevel="1" x14ac:dyDescent="0.3">
      <c r="B287" s="17" t="s">
        <v>80</v>
      </c>
      <c r="C287" s="100">
        <f>-AN132*4</f>
        <v>1.4898469041754365E-2</v>
      </c>
      <c r="D287" s="419"/>
    </row>
    <row r="288" spans="2:63" hidden="1" outlineLevel="1" x14ac:dyDescent="0.3">
      <c r="B288" s="17" t="s">
        <v>9</v>
      </c>
      <c r="C288" s="158">
        <f>AL128</f>
        <v>0.25557257381216192</v>
      </c>
    </row>
    <row r="289" spans="2:63" hidden="1" outlineLevel="1" x14ac:dyDescent="0.3">
      <c r="B289" s="17" t="s">
        <v>81</v>
      </c>
      <c r="C289" s="100">
        <f>C287*(1-C288)</f>
        <v>1.1090828962892388E-2</v>
      </c>
    </row>
    <row r="290" spans="2:63" hidden="1" outlineLevel="1" x14ac:dyDescent="0.3">
      <c r="B290" s="182" t="s">
        <v>592</v>
      </c>
      <c r="C290" s="691">
        <f>(C286*C285)+((1-C286)*C289)</f>
        <v>5.9574136799816123E-2</v>
      </c>
    </row>
    <row r="291" spans="2:63" hidden="1" outlineLevel="1" x14ac:dyDescent="0.3">
      <c r="B291" s="27" t="s">
        <v>225</v>
      </c>
      <c r="C291" s="95"/>
    </row>
    <row r="292" spans="2:63" hidden="1" outlineLevel="1" x14ac:dyDescent="0.3">
      <c r="B292" s="11" t="s">
        <v>197</v>
      </c>
      <c r="C292" s="212">
        <v>0.02</v>
      </c>
      <c r="G292" s="96"/>
    </row>
    <row r="293" spans="2:63" hidden="1" outlineLevel="1" x14ac:dyDescent="0.3">
      <c r="B293" s="11" t="s">
        <v>199</v>
      </c>
      <c r="C293" s="212">
        <v>0.02</v>
      </c>
      <c r="E293" s="213"/>
      <c r="G293" s="96"/>
    </row>
    <row r="294" spans="2:63" hidden="1" outlineLevel="1" x14ac:dyDescent="0.3">
      <c r="B294" s="11" t="s">
        <v>200</v>
      </c>
      <c r="C294" s="212">
        <v>0.05</v>
      </c>
    </row>
    <row r="295" spans="2:63" hidden="1" outlineLevel="1" x14ac:dyDescent="0.3">
      <c r="B295" s="11" t="s">
        <v>593</v>
      </c>
      <c r="C295" s="212">
        <f>(C286*(C284+(1.25*(0.31*0.195))))+((1-C286)*C289)</f>
        <v>9.1367023511319201E-2</v>
      </c>
      <c r="D295" s="159"/>
    </row>
    <row r="296" spans="2:63" hidden="1" outlineLevel="1" x14ac:dyDescent="0.3">
      <c r="B296" s="27" t="s">
        <v>201</v>
      </c>
      <c r="C296" s="95"/>
    </row>
    <row r="297" spans="2:63" hidden="1" outlineLevel="1" x14ac:dyDescent="0.3">
      <c r="B297" s="11" t="s">
        <v>202</v>
      </c>
      <c r="C297" s="132">
        <f>((((BK217*(1+C293))-(C294*BK13*(1+C292))+(C289*BK166)))/(C295-C292))/(1+$C$295)^5</f>
        <v>585406.93840339605</v>
      </c>
    </row>
    <row r="298" spans="2:63" hidden="1" outlineLevel="1" x14ac:dyDescent="0.3">
      <c r="B298" s="11" t="s">
        <v>198</v>
      </c>
      <c r="C298" s="37">
        <f>AQ244+AV244+BA244+BF244+BK244</f>
        <v>265626.34278912179</v>
      </c>
    </row>
    <row r="299" spans="2:63" ht="16.2" hidden="1" outlineLevel="1" x14ac:dyDescent="0.45">
      <c r="B299" s="11" t="s">
        <v>219</v>
      </c>
      <c r="C299" s="285">
        <f>C270</f>
        <v>23.258505635453869</v>
      </c>
    </row>
    <row r="300" spans="2:63" hidden="1" outlineLevel="1" x14ac:dyDescent="0.3">
      <c r="B300" s="182" t="s">
        <v>227</v>
      </c>
      <c r="C300" s="224">
        <f>(C297+C298)/C278+C299</f>
        <v>185.00000022664167</v>
      </c>
    </row>
    <row r="301" spans="2:63" s="160" customFormat="1" ht="162" hidden="1" customHeight="1" outlineLevel="1" x14ac:dyDescent="0.3">
      <c r="B301" s="710" t="s">
        <v>600</v>
      </c>
      <c r="C301" s="71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6"/>
      <c r="AF301" s="6"/>
      <c r="AG301" s="6"/>
      <c r="AH301" s="1"/>
      <c r="AI301" s="1"/>
      <c r="AJ301" s="6"/>
      <c r="AK301" s="6"/>
      <c r="AL301" s="6"/>
      <c r="AM301" s="1"/>
      <c r="AN301" s="1"/>
      <c r="AO301" s="6"/>
      <c r="AP301" s="6"/>
      <c r="AQ301" s="6"/>
      <c r="AR301" s="1"/>
      <c r="AS301" s="1"/>
      <c r="AT301" s="6"/>
      <c r="AU301" s="6"/>
      <c r="AV301" s="6"/>
      <c r="AW301" s="1"/>
      <c r="AX301" s="1"/>
      <c r="AY301" s="6"/>
      <c r="AZ301" s="6"/>
      <c r="BA301" s="6"/>
      <c r="BB301" s="1"/>
      <c r="BC301" s="1"/>
      <c r="BD301" s="6"/>
      <c r="BE301" s="6"/>
      <c r="BF301" s="6"/>
      <c r="BG301" s="1"/>
      <c r="BH301" s="1"/>
      <c r="BI301" s="6"/>
      <c r="BJ301" s="6"/>
      <c r="BK301" s="6"/>
    </row>
    <row r="302" spans="2:63" ht="91.2" hidden="1" customHeight="1" outlineLevel="1" x14ac:dyDescent="0.3">
      <c r="B302" s="706" t="s">
        <v>594</v>
      </c>
      <c r="C302" s="707"/>
    </row>
    <row r="303" spans="2:63" ht="91.2" hidden="1" customHeight="1" outlineLevel="1" x14ac:dyDescent="0.3">
      <c r="B303" s="706" t="s">
        <v>595</v>
      </c>
      <c r="C303" s="707"/>
    </row>
    <row r="304" spans="2:63" ht="78" hidden="1" customHeight="1" outlineLevel="1" x14ac:dyDescent="0.3">
      <c r="B304" s="720" t="s">
        <v>222</v>
      </c>
      <c r="C304" s="721"/>
    </row>
    <row r="305" spans="2:63" s="199" customFormat="1" ht="82.5" hidden="1" customHeight="1" outlineLevel="1" x14ac:dyDescent="0.3">
      <c r="B305" s="766" t="s">
        <v>596</v>
      </c>
      <c r="C305" s="767"/>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6"/>
      <c r="AF305" s="6"/>
      <c r="AG305" s="6"/>
      <c r="AH305" s="1"/>
      <c r="AI305" s="1"/>
      <c r="AJ305" s="6"/>
      <c r="AK305" s="6"/>
      <c r="AL305" s="6"/>
      <c r="AM305" s="1"/>
      <c r="AN305" s="1"/>
      <c r="AO305" s="6"/>
      <c r="AP305" s="6"/>
      <c r="AQ305" s="6"/>
      <c r="AR305" s="1"/>
      <c r="AS305" s="1"/>
      <c r="AT305" s="6"/>
      <c r="AU305" s="6"/>
      <c r="AV305" s="6"/>
      <c r="AW305" s="1"/>
      <c r="AX305" s="1"/>
      <c r="AY305" s="6"/>
      <c r="AZ305" s="6"/>
      <c r="BA305" s="6"/>
      <c r="BB305" s="1"/>
      <c r="BC305" s="1"/>
      <c r="BD305" s="6"/>
      <c r="BE305" s="6"/>
      <c r="BF305" s="6"/>
      <c r="BG305" s="1"/>
      <c r="BH305" s="1"/>
      <c r="BI305" s="6"/>
      <c r="BJ305" s="6"/>
      <c r="BK305" s="6"/>
    </row>
    <row r="306" spans="2:63" collapsed="1" x14ac:dyDescent="0.3">
      <c r="C306" s="33"/>
    </row>
    <row r="307" spans="2:63" ht="15.6" x14ac:dyDescent="0.3">
      <c r="B307" s="704" t="s">
        <v>590</v>
      </c>
      <c r="C307" s="705"/>
    </row>
    <row r="308" spans="2:63" x14ac:dyDescent="0.3">
      <c r="B308" s="685" t="s">
        <v>584</v>
      </c>
      <c r="C308" s="702">
        <v>4.2500000000000003E-2</v>
      </c>
      <c r="D308" s="43"/>
    </row>
    <row r="309" spans="2:63" x14ac:dyDescent="0.3">
      <c r="B309" s="11" t="s">
        <v>585</v>
      </c>
      <c r="C309" s="693">
        <v>4.4900000000000002E-2</v>
      </c>
      <c r="D309" s="43"/>
    </row>
    <row r="310" spans="2:63" x14ac:dyDescent="0.3">
      <c r="B310" s="11" t="s">
        <v>588</v>
      </c>
      <c r="C310" s="686">
        <f>C8</f>
        <v>164.99917603912343</v>
      </c>
    </row>
    <row r="311" spans="2:63" x14ac:dyDescent="0.3">
      <c r="B311" s="161" t="s">
        <v>586</v>
      </c>
      <c r="C311" s="686">
        <f>C310*(1+(C308+(2*C309)))</f>
        <v>186.82856702909947</v>
      </c>
      <c r="AB311" s="703"/>
    </row>
    <row r="312" spans="2:63" x14ac:dyDescent="0.3">
      <c r="B312" s="687" t="s">
        <v>587</v>
      </c>
      <c r="C312" s="688">
        <f>C310*(1+(C308-(2*C309)))</f>
        <v>157.1947150124729</v>
      </c>
      <c r="AB312" s="703"/>
      <c r="AC312" s="213"/>
    </row>
    <row r="313" spans="2:63" x14ac:dyDescent="0.3">
      <c r="B313" s="706" t="s">
        <v>599</v>
      </c>
      <c r="C313" s="707"/>
    </row>
    <row r="314" spans="2:63" x14ac:dyDescent="0.3">
      <c r="B314" s="706"/>
      <c r="C314" s="707"/>
    </row>
    <row r="315" spans="2:63" x14ac:dyDescent="0.3">
      <c r="B315" s="706"/>
      <c r="C315" s="707"/>
    </row>
    <row r="316" spans="2:63" x14ac:dyDescent="0.3">
      <c r="B316" s="706"/>
      <c r="C316" s="707"/>
    </row>
    <row r="317" spans="2:63" x14ac:dyDescent="0.3">
      <c r="B317" s="706"/>
      <c r="C317" s="707"/>
    </row>
    <row r="318" spans="2:63" x14ac:dyDescent="0.3">
      <c r="B318" s="706"/>
      <c r="C318" s="707"/>
    </row>
    <row r="319" spans="2:63" x14ac:dyDescent="0.3">
      <c r="B319" s="706"/>
      <c r="C319" s="707"/>
    </row>
    <row r="320" spans="2:63" x14ac:dyDescent="0.3">
      <c r="B320" s="706"/>
      <c r="C320" s="707"/>
    </row>
    <row r="321" spans="2:3" x14ac:dyDescent="0.3">
      <c r="B321" s="706"/>
      <c r="C321" s="707"/>
    </row>
    <row r="322" spans="2:3" x14ac:dyDescent="0.3">
      <c r="B322" s="706"/>
      <c r="C322" s="707"/>
    </row>
    <row r="323" spans="2:3" x14ac:dyDescent="0.3">
      <c r="B323" s="706"/>
      <c r="C323" s="707"/>
    </row>
    <row r="324" spans="2:3" x14ac:dyDescent="0.3">
      <c r="B324" s="706"/>
      <c r="C324" s="707"/>
    </row>
    <row r="325" spans="2:3" x14ac:dyDescent="0.3">
      <c r="B325" s="706"/>
      <c r="C325" s="707"/>
    </row>
    <row r="326" spans="2:3" x14ac:dyDescent="0.3">
      <c r="B326" s="706"/>
      <c r="C326" s="707"/>
    </row>
    <row r="327" spans="2:3" x14ac:dyDescent="0.3">
      <c r="B327" s="706"/>
      <c r="C327" s="707"/>
    </row>
    <row r="328" spans="2:3" x14ac:dyDescent="0.3">
      <c r="B328" s="708"/>
      <c r="C328" s="709"/>
    </row>
  </sheetData>
  <dataConsolidate/>
  <mergeCells count="196">
    <mergeCell ref="B39:C39"/>
    <mergeCell ref="B38:C38"/>
    <mergeCell ref="B305:C305"/>
    <mergeCell ref="B3:C3"/>
    <mergeCell ref="B4:C4"/>
    <mergeCell ref="B5:C5"/>
    <mergeCell ref="B11:C11"/>
    <mergeCell ref="B12:C12"/>
    <mergeCell ref="B32:C32"/>
    <mergeCell ref="B31:C31"/>
    <mergeCell ref="B30:C30"/>
    <mergeCell ref="B29:C29"/>
    <mergeCell ref="B28:C28"/>
    <mergeCell ref="B27:C27"/>
    <mergeCell ref="B13:C13"/>
    <mergeCell ref="B14:C14"/>
    <mergeCell ref="B15:C15"/>
    <mergeCell ref="B16:C16"/>
    <mergeCell ref="B26:C26"/>
    <mergeCell ref="B25:C25"/>
    <mergeCell ref="B24:C24"/>
    <mergeCell ref="B19:C19"/>
    <mergeCell ref="B17:C17"/>
    <mergeCell ref="B37:C37"/>
    <mergeCell ref="B48:C48"/>
    <mergeCell ref="B118:C118"/>
    <mergeCell ref="B117:C117"/>
    <mergeCell ref="B116:C116"/>
    <mergeCell ref="B36:C36"/>
    <mergeCell ref="B35:C35"/>
    <mergeCell ref="B112:C112"/>
    <mergeCell ref="B88:C88"/>
    <mergeCell ref="B75:C75"/>
    <mergeCell ref="B61:C61"/>
    <mergeCell ref="B47:C47"/>
    <mergeCell ref="B45:C45"/>
    <mergeCell ref="B44:C44"/>
    <mergeCell ref="B43:C43"/>
    <mergeCell ref="B42:C42"/>
    <mergeCell ref="B41:C41"/>
    <mergeCell ref="B40:C40"/>
    <mergeCell ref="B51:C51"/>
    <mergeCell ref="B91:C91"/>
    <mergeCell ref="B89:C89"/>
    <mergeCell ref="B76:C76"/>
    <mergeCell ref="B62:C62"/>
    <mergeCell ref="B104:C104"/>
    <mergeCell ref="B97:C97"/>
    <mergeCell ref="B103:C103"/>
    <mergeCell ref="B77:C77"/>
    <mergeCell ref="B63:C63"/>
    <mergeCell ref="B49:C49"/>
    <mergeCell ref="B79:C79"/>
    <mergeCell ref="B65:C65"/>
    <mergeCell ref="B113:C113"/>
    <mergeCell ref="B90:C90"/>
    <mergeCell ref="B123:C123"/>
    <mergeCell ref="B122:C122"/>
    <mergeCell ref="B121:C121"/>
    <mergeCell ref="B50:C50"/>
    <mergeCell ref="B64:C64"/>
    <mergeCell ref="B78:C78"/>
    <mergeCell ref="B101:C101"/>
    <mergeCell ref="B52:C52"/>
    <mergeCell ref="B66:C66"/>
    <mergeCell ref="B80:C80"/>
    <mergeCell ref="B92:C92"/>
    <mergeCell ref="B107:C107"/>
    <mergeCell ref="B120:C120"/>
    <mergeCell ref="B139:C139"/>
    <mergeCell ref="B138:C138"/>
    <mergeCell ref="B137:C137"/>
    <mergeCell ref="B136:C136"/>
    <mergeCell ref="B127:C127"/>
    <mergeCell ref="B126:C126"/>
    <mergeCell ref="B125:C125"/>
    <mergeCell ref="B124:C124"/>
    <mergeCell ref="B115:C115"/>
    <mergeCell ref="B135:C135"/>
    <mergeCell ref="B134:C134"/>
    <mergeCell ref="B130:C130"/>
    <mergeCell ref="B129:C129"/>
    <mergeCell ref="B128:C128"/>
    <mergeCell ref="B131:C131"/>
    <mergeCell ref="B133:C133"/>
    <mergeCell ref="B144:C144"/>
    <mergeCell ref="B143:C143"/>
    <mergeCell ref="B141:C141"/>
    <mergeCell ref="B152:C152"/>
    <mergeCell ref="B151:C151"/>
    <mergeCell ref="B150:C150"/>
    <mergeCell ref="B149:C149"/>
    <mergeCell ref="B148:C148"/>
    <mergeCell ref="B147:C147"/>
    <mergeCell ref="B146:C146"/>
    <mergeCell ref="B145:C145"/>
    <mergeCell ref="B155:C155"/>
    <mergeCell ref="B154:C154"/>
    <mergeCell ref="B153:C153"/>
    <mergeCell ref="B158:C158"/>
    <mergeCell ref="B176:C176"/>
    <mergeCell ref="B175:C175"/>
    <mergeCell ref="B174:C174"/>
    <mergeCell ref="B173:C173"/>
    <mergeCell ref="B172:C172"/>
    <mergeCell ref="B171:C171"/>
    <mergeCell ref="B162:C162"/>
    <mergeCell ref="B161:C161"/>
    <mergeCell ref="B160:C160"/>
    <mergeCell ref="B159:C159"/>
    <mergeCell ref="B157:C157"/>
    <mergeCell ref="B156:C156"/>
    <mergeCell ref="B168:C168"/>
    <mergeCell ref="B167:C167"/>
    <mergeCell ref="B166:C166"/>
    <mergeCell ref="B165:C165"/>
    <mergeCell ref="B164:C164"/>
    <mergeCell ref="B163:C163"/>
    <mergeCell ref="B179:C179"/>
    <mergeCell ref="B178:C178"/>
    <mergeCell ref="B198:C198"/>
    <mergeCell ref="B170:C170"/>
    <mergeCell ref="B169:C169"/>
    <mergeCell ref="B194:C194"/>
    <mergeCell ref="B190:C190"/>
    <mergeCell ref="B189:C189"/>
    <mergeCell ref="B188:C188"/>
    <mergeCell ref="B187:C187"/>
    <mergeCell ref="B186:C186"/>
    <mergeCell ref="B200:C200"/>
    <mergeCell ref="B201:C201"/>
    <mergeCell ref="B204:C204"/>
    <mergeCell ref="B205:C205"/>
    <mergeCell ref="B206:C206"/>
    <mergeCell ref="B185:C185"/>
    <mergeCell ref="B184:C184"/>
    <mergeCell ref="B183:C183"/>
    <mergeCell ref="B202:C202"/>
    <mergeCell ref="B207:C207"/>
    <mergeCell ref="B208:C208"/>
    <mergeCell ref="B217:C217"/>
    <mergeCell ref="B216:C216"/>
    <mergeCell ref="B215:C215"/>
    <mergeCell ref="B214:C214"/>
    <mergeCell ref="B213:C213"/>
    <mergeCell ref="B212:C212"/>
    <mergeCell ref="B211:C211"/>
    <mergeCell ref="B210:C210"/>
    <mergeCell ref="B209:C209"/>
    <mergeCell ref="B241:C241"/>
    <mergeCell ref="B240:C240"/>
    <mergeCell ref="B263:C263"/>
    <mergeCell ref="B275:C275"/>
    <mergeCell ref="B220:C220"/>
    <mergeCell ref="B219:C219"/>
    <mergeCell ref="B218:C218"/>
    <mergeCell ref="B236:C236"/>
    <mergeCell ref="B235:C235"/>
    <mergeCell ref="B234:C234"/>
    <mergeCell ref="B233:C233"/>
    <mergeCell ref="B232:C232"/>
    <mergeCell ref="B231:C231"/>
    <mergeCell ref="B230:C230"/>
    <mergeCell ref="B229:C229"/>
    <mergeCell ref="B228:C228"/>
    <mergeCell ref="B227:C227"/>
    <mergeCell ref="B226:C226"/>
    <mergeCell ref="B225:C225"/>
    <mergeCell ref="B224:C224"/>
    <mergeCell ref="B223:C223"/>
    <mergeCell ref="B222:C222"/>
    <mergeCell ref="B221:C221"/>
    <mergeCell ref="B307:C307"/>
    <mergeCell ref="B313:C328"/>
    <mergeCell ref="B301:C301"/>
    <mergeCell ref="B272:C272"/>
    <mergeCell ref="B248:C248"/>
    <mergeCell ref="B249:C249"/>
    <mergeCell ref="B273:C273"/>
    <mergeCell ref="B2:C2"/>
    <mergeCell ref="B302:C302"/>
    <mergeCell ref="B303:C303"/>
    <mergeCell ref="B304:C304"/>
    <mergeCell ref="B239:C239"/>
    <mergeCell ref="B238:C238"/>
    <mergeCell ref="B237:C237"/>
    <mergeCell ref="B261:C261"/>
    <mergeCell ref="B259:C259"/>
    <mergeCell ref="B193:C193"/>
    <mergeCell ref="B255:C255"/>
    <mergeCell ref="B254:C254"/>
    <mergeCell ref="B253:C253"/>
    <mergeCell ref="B252:C252"/>
    <mergeCell ref="B244:C244"/>
    <mergeCell ref="B242:C242"/>
    <mergeCell ref="B251:C251"/>
  </mergeCells>
  <pageMargins left="0.7" right="0.7" top="0.75" bottom="0.75" header="0.3" footer="0.3"/>
  <pageSetup scale="40" orientation="landscape" r:id="rId1"/>
  <headerFooter>
    <oddFooter>&amp;CGutenberg Research LLC prohibits the redistribution of this document in whole or part without the written permission. 
© Gutenberg Research LLC 2016.</oddFooter>
  </headerFooter>
  <rowBreaks count="1" manualBreakCount="1">
    <brk id="13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C1273"/>
  <sheetViews>
    <sheetView topLeftCell="A12" workbookViewId="0">
      <selection activeCell="F344" sqref="F344"/>
    </sheetView>
  </sheetViews>
  <sheetFormatPr defaultRowHeight="14.4" x14ac:dyDescent="0.3"/>
  <cols>
    <col min="1" max="1" width="13" customWidth="1"/>
  </cols>
  <sheetData>
    <row r="1" spans="1:3" s="199" customFormat="1" x14ac:dyDescent="0.3">
      <c r="A1" s="199" t="s">
        <v>381</v>
      </c>
    </row>
    <row r="2" spans="1:3" x14ac:dyDescent="0.3">
      <c r="A2" s="228" t="s">
        <v>382</v>
      </c>
    </row>
    <row r="3" spans="1:3" x14ac:dyDescent="0.3">
      <c r="A3" t="s">
        <v>383</v>
      </c>
    </row>
    <row r="5" spans="1:3" x14ac:dyDescent="0.3">
      <c r="A5" s="199" t="s">
        <v>384</v>
      </c>
      <c r="B5" s="199"/>
    </row>
    <row r="6" spans="1:3" x14ac:dyDescent="0.3">
      <c r="A6" s="199" t="s">
        <v>385</v>
      </c>
      <c r="B6" s="199"/>
    </row>
    <row r="7" spans="1:3" x14ac:dyDescent="0.3">
      <c r="A7" s="199" t="s">
        <v>386</v>
      </c>
      <c r="B7" s="199"/>
    </row>
    <row r="8" spans="1:3" x14ac:dyDescent="0.3">
      <c r="A8" s="199" t="s">
        <v>387</v>
      </c>
      <c r="B8" s="199"/>
    </row>
    <row r="9" spans="1:3" x14ac:dyDescent="0.3">
      <c r="A9" s="199" t="s">
        <v>388</v>
      </c>
      <c r="B9" s="199"/>
    </row>
    <row r="10" spans="1:3" x14ac:dyDescent="0.3">
      <c r="A10" s="199" t="s">
        <v>389</v>
      </c>
      <c r="B10" s="199"/>
    </row>
    <row r="11" spans="1:3" x14ac:dyDescent="0.3">
      <c r="A11" s="199"/>
      <c r="B11" s="199"/>
    </row>
    <row r="12" spans="1:3" x14ac:dyDescent="0.3">
      <c r="A12" s="199" t="s">
        <v>390</v>
      </c>
      <c r="B12" s="199" t="s">
        <v>391</v>
      </c>
    </row>
    <row r="13" spans="1:3" x14ac:dyDescent="0.3">
      <c r="A13" s="199"/>
      <c r="B13" s="199"/>
    </row>
    <row r="14" spans="1:3" x14ac:dyDescent="0.3">
      <c r="A14" s="199" t="s">
        <v>392</v>
      </c>
      <c r="B14" s="199"/>
    </row>
    <row r="15" spans="1:3" x14ac:dyDescent="0.3">
      <c r="A15" s="199" t="s">
        <v>393</v>
      </c>
      <c r="B15" s="199" t="s">
        <v>390</v>
      </c>
      <c r="C15" t="s">
        <v>394</v>
      </c>
    </row>
    <row r="16" spans="1:3" hidden="1" x14ac:dyDescent="0.3">
      <c r="A16" s="391">
        <v>40980</v>
      </c>
      <c r="B16" s="392">
        <v>98.881699999999995</v>
      </c>
    </row>
    <row r="17" spans="1:2" hidden="1" x14ac:dyDescent="0.3">
      <c r="A17" s="391">
        <v>40981</v>
      </c>
      <c r="B17" s="392">
        <v>98.763800000000003</v>
      </c>
    </row>
    <row r="18" spans="1:2" hidden="1" x14ac:dyDescent="0.3">
      <c r="A18" s="391">
        <v>40982</v>
      </c>
      <c r="B18" s="392">
        <v>99.179100000000005</v>
      </c>
    </row>
    <row r="19" spans="1:2" hidden="1" x14ac:dyDescent="0.3">
      <c r="A19" s="391">
        <v>40983</v>
      </c>
      <c r="B19" s="392">
        <v>99.017200000000003</v>
      </c>
    </row>
    <row r="20" spans="1:2" hidden="1" x14ac:dyDescent="0.3">
      <c r="A20" s="391">
        <v>40984</v>
      </c>
      <c r="B20" s="392">
        <v>98.764300000000006</v>
      </c>
    </row>
    <row r="21" spans="1:2" hidden="1" x14ac:dyDescent="0.3">
      <c r="A21" s="391">
        <v>40987</v>
      </c>
      <c r="B21" s="392">
        <v>98.529200000000003</v>
      </c>
    </row>
    <row r="22" spans="1:2" hidden="1" x14ac:dyDescent="0.3">
      <c r="A22" s="391">
        <v>40988</v>
      </c>
      <c r="B22" s="392">
        <v>98.850999999999999</v>
      </c>
    </row>
    <row r="23" spans="1:2" hidden="1" x14ac:dyDescent="0.3">
      <c r="A23" s="391">
        <v>40989</v>
      </c>
      <c r="B23" s="392">
        <v>98.922300000000007</v>
      </c>
    </row>
    <row r="24" spans="1:2" hidden="1" x14ac:dyDescent="0.3">
      <c r="A24" s="391">
        <v>40990</v>
      </c>
      <c r="B24" s="392">
        <v>99.034400000000005</v>
      </c>
    </row>
    <row r="25" spans="1:2" hidden="1" x14ac:dyDescent="0.3">
      <c r="A25" s="391">
        <v>40991</v>
      </c>
      <c r="B25" s="392">
        <v>98.8369</v>
      </c>
    </row>
    <row r="26" spans="1:2" hidden="1" x14ac:dyDescent="0.3">
      <c r="A26" s="391">
        <v>40994</v>
      </c>
      <c r="B26" s="392">
        <v>98.562200000000004</v>
      </c>
    </row>
    <row r="27" spans="1:2" hidden="1" x14ac:dyDescent="0.3">
      <c r="A27" s="391">
        <v>40995</v>
      </c>
      <c r="B27" s="392">
        <v>98.509799999999998</v>
      </c>
    </row>
    <row r="28" spans="1:2" hidden="1" x14ac:dyDescent="0.3">
      <c r="A28" s="391">
        <v>40996</v>
      </c>
      <c r="B28" s="392">
        <v>98.822699999999998</v>
      </c>
    </row>
    <row r="29" spans="1:2" hidden="1" x14ac:dyDescent="0.3">
      <c r="A29" s="391">
        <v>40997</v>
      </c>
      <c r="B29" s="392">
        <v>98.958399999999997</v>
      </c>
    </row>
    <row r="30" spans="1:2" hidden="1" x14ac:dyDescent="0.3">
      <c r="A30" s="391">
        <v>40998</v>
      </c>
      <c r="B30" s="392">
        <v>98.674000000000007</v>
      </c>
    </row>
    <row r="31" spans="1:2" hidden="1" x14ac:dyDescent="0.3">
      <c r="A31" s="391">
        <v>41001</v>
      </c>
      <c r="B31" s="392">
        <v>98.465299999999999</v>
      </c>
    </row>
    <row r="32" spans="1:2" hidden="1" x14ac:dyDescent="0.3">
      <c r="A32" s="391">
        <v>41002</v>
      </c>
      <c r="B32" s="392">
        <v>98.397800000000004</v>
      </c>
    </row>
    <row r="33" spans="1:2" hidden="1" x14ac:dyDescent="0.3">
      <c r="A33" s="391">
        <v>41003</v>
      </c>
      <c r="B33" s="392">
        <v>99.043599999999998</v>
      </c>
    </row>
    <row r="34" spans="1:2" hidden="1" x14ac:dyDescent="0.3">
      <c r="A34" s="391">
        <v>41004</v>
      </c>
      <c r="B34" s="392">
        <v>99.108599999999996</v>
      </c>
    </row>
    <row r="35" spans="1:2" hidden="1" x14ac:dyDescent="0.3">
      <c r="A35" s="391">
        <v>41005</v>
      </c>
      <c r="B35" s="392">
        <v>99.161600000000007</v>
      </c>
    </row>
    <row r="36" spans="1:2" hidden="1" x14ac:dyDescent="0.3">
      <c r="A36" s="391">
        <v>41008</v>
      </c>
      <c r="B36" s="392">
        <v>99.198400000000007</v>
      </c>
    </row>
    <row r="37" spans="1:2" hidden="1" x14ac:dyDescent="0.3">
      <c r="A37" s="391">
        <v>41009</v>
      </c>
      <c r="B37" s="392">
        <v>99.504800000000003</v>
      </c>
    </row>
    <row r="38" spans="1:2" hidden="1" x14ac:dyDescent="0.3">
      <c r="A38" s="391">
        <v>41010</v>
      </c>
      <c r="B38" s="392">
        <v>99.403400000000005</v>
      </c>
    </row>
    <row r="39" spans="1:2" hidden="1" x14ac:dyDescent="0.3">
      <c r="A39" s="391">
        <v>41011</v>
      </c>
      <c r="B39" s="392">
        <v>98.999799999999993</v>
      </c>
    </row>
    <row r="40" spans="1:2" hidden="1" x14ac:dyDescent="0.3">
      <c r="A40" s="391">
        <v>41012</v>
      </c>
      <c r="B40" s="392">
        <v>99.270499999999998</v>
      </c>
    </row>
    <row r="41" spans="1:2" hidden="1" x14ac:dyDescent="0.3">
      <c r="A41" s="391">
        <v>41015</v>
      </c>
      <c r="B41" s="392">
        <v>99.463700000000003</v>
      </c>
    </row>
    <row r="42" spans="1:2" hidden="1" x14ac:dyDescent="0.3">
      <c r="A42" s="391">
        <v>41016</v>
      </c>
      <c r="B42" s="392">
        <v>99.001099999999994</v>
      </c>
    </row>
    <row r="43" spans="1:2" hidden="1" x14ac:dyDescent="0.3">
      <c r="A43" s="391">
        <v>41017</v>
      </c>
      <c r="B43" s="392">
        <v>99.181799999999996</v>
      </c>
    </row>
    <row r="44" spans="1:2" hidden="1" x14ac:dyDescent="0.3">
      <c r="A44" s="391">
        <v>41018</v>
      </c>
      <c r="B44" s="392">
        <v>99.334900000000005</v>
      </c>
    </row>
    <row r="45" spans="1:2" hidden="1" x14ac:dyDescent="0.3">
      <c r="A45" s="391">
        <v>41019</v>
      </c>
      <c r="B45" s="392">
        <v>99.065100000000001</v>
      </c>
    </row>
    <row r="46" spans="1:2" hidden="1" x14ac:dyDescent="0.3">
      <c r="A46" s="391">
        <v>41022</v>
      </c>
      <c r="B46" s="392">
        <v>99.339799999999997</v>
      </c>
    </row>
    <row r="47" spans="1:2" hidden="1" x14ac:dyDescent="0.3">
      <c r="A47" s="391">
        <v>41023</v>
      </c>
      <c r="B47" s="392">
        <v>99.076800000000006</v>
      </c>
    </row>
    <row r="48" spans="1:2" hidden="1" x14ac:dyDescent="0.3">
      <c r="A48" s="391">
        <v>41024</v>
      </c>
      <c r="B48" s="392">
        <v>99.019099999999995</v>
      </c>
    </row>
    <row r="49" spans="1:2" hidden="1" x14ac:dyDescent="0.3">
      <c r="A49" s="391">
        <v>41025</v>
      </c>
      <c r="B49" s="392">
        <v>98.898200000000003</v>
      </c>
    </row>
    <row r="50" spans="1:2" hidden="1" x14ac:dyDescent="0.3">
      <c r="A50" s="391">
        <v>41026</v>
      </c>
      <c r="B50" s="392">
        <v>98.584800000000001</v>
      </c>
    </row>
    <row r="51" spans="1:2" hidden="1" x14ac:dyDescent="0.3">
      <c r="A51" s="391">
        <v>41029</v>
      </c>
      <c r="B51" s="392">
        <v>98.565799999999996</v>
      </c>
    </row>
    <row r="52" spans="1:2" hidden="1" x14ac:dyDescent="0.3">
      <c r="A52" s="391">
        <v>41030</v>
      </c>
      <c r="B52" s="392">
        <v>98.560599999999994</v>
      </c>
    </row>
    <row r="53" spans="1:2" hidden="1" x14ac:dyDescent="0.3">
      <c r="A53" s="391">
        <v>41031</v>
      </c>
      <c r="B53" s="392">
        <v>98.845399999999998</v>
      </c>
    </row>
    <row r="54" spans="1:2" hidden="1" x14ac:dyDescent="0.3">
      <c r="A54" s="391">
        <v>41032</v>
      </c>
      <c r="B54" s="392">
        <v>98.924099999999996</v>
      </c>
    </row>
    <row r="55" spans="1:2" hidden="1" x14ac:dyDescent="0.3">
      <c r="A55" s="391">
        <v>41033</v>
      </c>
      <c r="B55" s="392">
        <v>99.284000000000006</v>
      </c>
    </row>
    <row r="56" spans="1:2" hidden="1" x14ac:dyDescent="0.3">
      <c r="A56" s="391">
        <v>41036</v>
      </c>
      <c r="B56" s="392">
        <v>99.328999999999994</v>
      </c>
    </row>
    <row r="57" spans="1:2" hidden="1" x14ac:dyDescent="0.3">
      <c r="A57" s="391">
        <v>41037</v>
      </c>
      <c r="B57" s="392">
        <v>99.661699999999996</v>
      </c>
    </row>
    <row r="58" spans="1:2" hidden="1" x14ac:dyDescent="0.3">
      <c r="A58" s="391">
        <v>41038</v>
      </c>
      <c r="B58" s="392">
        <v>100.0256</v>
      </c>
    </row>
    <row r="59" spans="1:2" hidden="1" x14ac:dyDescent="0.3">
      <c r="A59" s="391">
        <v>41039</v>
      </c>
      <c r="B59" s="392">
        <v>99.973500000000001</v>
      </c>
    </row>
    <row r="60" spans="1:2" hidden="1" x14ac:dyDescent="0.3">
      <c r="A60" s="391">
        <v>41040</v>
      </c>
      <c r="B60" s="392">
        <v>99.996300000000005</v>
      </c>
    </row>
    <row r="61" spans="1:2" hidden="1" x14ac:dyDescent="0.3">
      <c r="A61" s="391">
        <v>41043</v>
      </c>
      <c r="B61" s="392">
        <v>100.54649999999999</v>
      </c>
    </row>
    <row r="62" spans="1:2" hidden="1" x14ac:dyDescent="0.3">
      <c r="A62" s="391">
        <v>41044</v>
      </c>
      <c r="B62" s="392">
        <v>100.8229</v>
      </c>
    </row>
    <row r="63" spans="1:2" hidden="1" x14ac:dyDescent="0.3">
      <c r="A63" s="391">
        <v>41045</v>
      </c>
      <c r="B63" s="392">
        <v>101.2132</v>
      </c>
    </row>
    <row r="64" spans="1:2" hidden="1" x14ac:dyDescent="0.3">
      <c r="A64" s="391">
        <v>41046</v>
      </c>
      <c r="B64" s="392">
        <v>101.25320000000001</v>
      </c>
    </row>
    <row r="65" spans="1:2" hidden="1" x14ac:dyDescent="0.3">
      <c r="A65" s="391">
        <v>41047</v>
      </c>
      <c r="B65" s="392">
        <v>101.4284</v>
      </c>
    </row>
    <row r="66" spans="1:2" hidden="1" x14ac:dyDescent="0.3">
      <c r="A66" s="391">
        <v>41050</v>
      </c>
      <c r="B66" s="392">
        <v>101.37439999999999</v>
      </c>
    </row>
    <row r="67" spans="1:2" hidden="1" x14ac:dyDescent="0.3">
      <c r="A67" s="391">
        <v>41051</v>
      </c>
      <c r="B67" s="392">
        <v>101.387</v>
      </c>
    </row>
    <row r="68" spans="1:2" hidden="1" x14ac:dyDescent="0.3">
      <c r="A68" s="391">
        <v>41052</v>
      </c>
      <c r="B68" s="392">
        <v>102.185</v>
      </c>
    </row>
    <row r="69" spans="1:2" hidden="1" x14ac:dyDescent="0.3">
      <c r="A69" s="391">
        <v>41053</v>
      </c>
      <c r="B69" s="392">
        <v>102.11239999999999</v>
      </c>
    </row>
    <row r="70" spans="1:2" hidden="1" x14ac:dyDescent="0.3">
      <c r="A70" s="391">
        <v>41054</v>
      </c>
      <c r="B70" s="392">
        <v>102.2765</v>
      </c>
    </row>
    <row r="71" spans="1:2" hidden="1" x14ac:dyDescent="0.3">
      <c r="A71" s="391">
        <v>41058</v>
      </c>
      <c r="B71" s="392">
        <v>102.21</v>
      </c>
    </row>
    <row r="72" spans="1:2" hidden="1" x14ac:dyDescent="0.3">
      <c r="A72" s="391">
        <v>41059</v>
      </c>
      <c r="B72" s="392">
        <v>102.6514</v>
      </c>
    </row>
    <row r="73" spans="1:2" hidden="1" x14ac:dyDescent="0.3">
      <c r="A73" s="391">
        <v>41060</v>
      </c>
      <c r="B73" s="392">
        <v>103.038</v>
      </c>
    </row>
    <row r="74" spans="1:2" hidden="1" x14ac:dyDescent="0.3">
      <c r="A74" s="391">
        <v>41061</v>
      </c>
      <c r="B74" s="392">
        <v>103.0557</v>
      </c>
    </row>
    <row r="75" spans="1:2" hidden="1" x14ac:dyDescent="0.3">
      <c r="A75" s="391">
        <v>41064</v>
      </c>
      <c r="B75" s="392">
        <v>102.8528</v>
      </c>
    </row>
    <row r="76" spans="1:2" hidden="1" x14ac:dyDescent="0.3">
      <c r="A76" s="391">
        <v>41065</v>
      </c>
      <c r="B76" s="392">
        <v>102.9438</v>
      </c>
    </row>
    <row r="77" spans="1:2" hidden="1" x14ac:dyDescent="0.3">
      <c r="A77" s="391">
        <v>41066</v>
      </c>
      <c r="B77" s="392">
        <v>102.36</v>
      </c>
    </row>
    <row r="78" spans="1:2" hidden="1" x14ac:dyDescent="0.3">
      <c r="A78" s="391">
        <v>41067</v>
      </c>
      <c r="B78" s="392">
        <v>102.1088</v>
      </c>
    </row>
    <row r="79" spans="1:2" hidden="1" x14ac:dyDescent="0.3">
      <c r="A79" s="391">
        <v>41068</v>
      </c>
      <c r="B79" s="392">
        <v>102.5314</v>
      </c>
    </row>
    <row r="80" spans="1:2" hidden="1" x14ac:dyDescent="0.3">
      <c r="A80" s="391">
        <v>41071</v>
      </c>
      <c r="B80" s="392">
        <v>102.36960000000001</v>
      </c>
    </row>
    <row r="81" spans="1:3" hidden="1" x14ac:dyDescent="0.3">
      <c r="A81" s="391">
        <v>41072</v>
      </c>
      <c r="B81" s="392">
        <v>102.4066</v>
      </c>
    </row>
    <row r="82" spans="1:3" hidden="1" x14ac:dyDescent="0.3">
      <c r="A82" s="391">
        <v>41073</v>
      </c>
      <c r="B82" s="392">
        <v>102.17149999999999</v>
      </c>
    </row>
    <row r="83" spans="1:3" hidden="1" x14ac:dyDescent="0.3">
      <c r="A83" s="391">
        <v>41074</v>
      </c>
      <c r="B83" s="392">
        <v>102.16</v>
      </c>
    </row>
    <row r="84" spans="1:3" hidden="1" x14ac:dyDescent="0.3">
      <c r="A84" s="391">
        <v>41075</v>
      </c>
      <c r="B84" s="392">
        <v>101.8646</v>
      </c>
    </row>
    <row r="85" spans="1:3" hidden="1" x14ac:dyDescent="0.3">
      <c r="A85" s="391">
        <v>41078</v>
      </c>
      <c r="B85" s="392">
        <v>101.9669</v>
      </c>
    </row>
    <row r="86" spans="1:3" hidden="1" x14ac:dyDescent="0.3">
      <c r="A86" s="391">
        <v>41079</v>
      </c>
      <c r="B86" s="392">
        <v>101.3886</v>
      </c>
    </row>
    <row r="87" spans="1:3" hidden="1" x14ac:dyDescent="0.3">
      <c r="A87" s="391">
        <v>41080</v>
      </c>
      <c r="B87" s="392">
        <v>101.50530000000001</v>
      </c>
    </row>
    <row r="88" spans="1:3" hidden="1" x14ac:dyDescent="0.3">
      <c r="A88" s="391">
        <v>41081</v>
      </c>
      <c r="B88" s="392">
        <v>101.98779999999999</v>
      </c>
    </row>
    <row r="89" spans="1:3" hidden="1" x14ac:dyDescent="0.3">
      <c r="A89" s="391">
        <v>41082</v>
      </c>
      <c r="B89" s="392">
        <v>102.28749999999999</v>
      </c>
    </row>
    <row r="90" spans="1:3" hidden="1" x14ac:dyDescent="0.3">
      <c r="A90" s="391">
        <v>41085</v>
      </c>
      <c r="B90" s="392">
        <v>102.5296</v>
      </c>
    </row>
    <row r="91" spans="1:3" hidden="1" x14ac:dyDescent="0.3">
      <c r="A91" s="391">
        <v>41086</v>
      </c>
      <c r="B91" s="392">
        <v>102.3459</v>
      </c>
    </row>
    <row r="92" spans="1:3" hidden="1" x14ac:dyDescent="0.3">
      <c r="A92" s="391">
        <v>41087</v>
      </c>
      <c r="B92" s="392">
        <v>102.21120000000001</v>
      </c>
    </row>
    <row r="93" spans="1:3" hidden="1" x14ac:dyDescent="0.3">
      <c r="A93" s="391">
        <v>41088</v>
      </c>
      <c r="B93" s="392">
        <v>102.3432</v>
      </c>
    </row>
    <row r="94" spans="1:3" x14ac:dyDescent="0.3">
      <c r="A94" s="391">
        <v>41089</v>
      </c>
      <c r="B94" s="392">
        <v>101.2362</v>
      </c>
      <c r="C94" s="393">
        <f>AVERAGE(B31:B94)</f>
        <v>100.68454687500001</v>
      </c>
    </row>
    <row r="95" spans="1:3" hidden="1" x14ac:dyDescent="0.3">
      <c r="A95" s="391">
        <v>41092</v>
      </c>
      <c r="B95" s="392">
        <v>101.268</v>
      </c>
    </row>
    <row r="96" spans="1:3" hidden="1" x14ac:dyDescent="0.3">
      <c r="A96" s="391">
        <v>41093</v>
      </c>
      <c r="B96" s="392">
        <v>100.9843</v>
      </c>
    </row>
    <row r="97" spans="1:2" hidden="1" x14ac:dyDescent="0.3">
      <c r="A97" s="391">
        <v>41095</v>
      </c>
      <c r="B97" s="392">
        <v>101.5378</v>
      </c>
    </row>
    <row r="98" spans="1:2" hidden="1" x14ac:dyDescent="0.3">
      <c r="A98" s="391">
        <v>41096</v>
      </c>
      <c r="B98" s="392">
        <v>102.0288</v>
      </c>
    </row>
    <row r="99" spans="1:2" hidden="1" x14ac:dyDescent="0.3">
      <c r="A99" s="391">
        <v>41099</v>
      </c>
      <c r="B99" s="392">
        <v>102.02670000000001</v>
      </c>
    </row>
    <row r="100" spans="1:2" hidden="1" x14ac:dyDescent="0.3">
      <c r="A100" s="391">
        <v>41100</v>
      </c>
      <c r="B100" s="392">
        <v>101.8737</v>
      </c>
    </row>
    <row r="101" spans="1:2" hidden="1" x14ac:dyDescent="0.3">
      <c r="A101" s="391">
        <v>41101</v>
      </c>
      <c r="B101" s="392">
        <v>101.929</v>
      </c>
    </row>
    <row r="102" spans="1:2" hidden="1" x14ac:dyDescent="0.3">
      <c r="A102" s="391">
        <v>41102</v>
      </c>
      <c r="B102" s="392">
        <v>102.2591</v>
      </c>
    </row>
    <row r="103" spans="1:2" hidden="1" x14ac:dyDescent="0.3">
      <c r="A103" s="391">
        <v>41103</v>
      </c>
      <c r="B103" s="392">
        <v>101.895</v>
      </c>
    </row>
    <row r="104" spans="1:2" hidden="1" x14ac:dyDescent="0.3">
      <c r="A104" s="391">
        <v>41106</v>
      </c>
      <c r="B104" s="392">
        <v>101.7199</v>
      </c>
    </row>
    <row r="105" spans="1:2" hidden="1" x14ac:dyDescent="0.3">
      <c r="A105" s="391">
        <v>41107</v>
      </c>
      <c r="B105" s="392">
        <v>101.68170000000001</v>
      </c>
    </row>
    <row r="106" spans="1:2" hidden="1" x14ac:dyDescent="0.3">
      <c r="A106" s="391">
        <v>41108</v>
      </c>
      <c r="B106" s="392">
        <v>101.42100000000001</v>
      </c>
    </row>
    <row r="107" spans="1:2" hidden="1" x14ac:dyDescent="0.3">
      <c r="A107" s="391">
        <v>41109</v>
      </c>
      <c r="B107" s="392">
        <v>101.3719</v>
      </c>
    </row>
    <row r="108" spans="1:2" hidden="1" x14ac:dyDescent="0.3">
      <c r="A108" s="391">
        <v>41110</v>
      </c>
      <c r="B108" s="392">
        <v>101.6909</v>
      </c>
    </row>
    <row r="109" spans="1:2" hidden="1" x14ac:dyDescent="0.3">
      <c r="A109" s="391">
        <v>41113</v>
      </c>
      <c r="B109" s="392">
        <v>102.27849999999999</v>
      </c>
    </row>
    <row r="110" spans="1:2" hidden="1" x14ac:dyDescent="0.3">
      <c r="A110" s="391">
        <v>41114</v>
      </c>
      <c r="B110" s="392">
        <v>102.61669999999999</v>
      </c>
    </row>
    <row r="111" spans="1:2" hidden="1" x14ac:dyDescent="0.3">
      <c r="A111" s="391">
        <v>41115</v>
      </c>
      <c r="B111" s="392">
        <v>102.4038</v>
      </c>
    </row>
    <row r="112" spans="1:2" hidden="1" x14ac:dyDescent="0.3">
      <c r="A112" s="391">
        <v>41116</v>
      </c>
      <c r="B112" s="392">
        <v>101.7149</v>
      </c>
    </row>
    <row r="113" spans="1:2" hidden="1" x14ac:dyDescent="0.3">
      <c r="A113" s="391">
        <v>41117</v>
      </c>
      <c r="B113" s="392">
        <v>101.2814</v>
      </c>
    </row>
    <row r="114" spans="1:2" hidden="1" x14ac:dyDescent="0.3">
      <c r="A114" s="391">
        <v>41120</v>
      </c>
      <c r="B114" s="392">
        <v>101.39490000000001</v>
      </c>
    </row>
    <row r="115" spans="1:2" hidden="1" x14ac:dyDescent="0.3">
      <c r="A115" s="391">
        <v>41121</v>
      </c>
      <c r="B115" s="392">
        <v>101.15649999999999</v>
      </c>
    </row>
    <row r="116" spans="1:2" hidden="1" x14ac:dyDescent="0.3">
      <c r="A116" s="391">
        <v>41122</v>
      </c>
      <c r="B116" s="392">
        <v>101.2042</v>
      </c>
    </row>
    <row r="117" spans="1:2" hidden="1" x14ac:dyDescent="0.3">
      <c r="A117" s="391">
        <v>41123</v>
      </c>
      <c r="B117" s="392">
        <v>101.739</v>
      </c>
    </row>
    <row r="118" spans="1:2" hidden="1" x14ac:dyDescent="0.3">
      <c r="A118" s="391">
        <v>41124</v>
      </c>
      <c r="B118" s="392">
        <v>100.9294</v>
      </c>
    </row>
    <row r="119" spans="1:2" hidden="1" x14ac:dyDescent="0.3">
      <c r="A119" s="391">
        <v>41127</v>
      </c>
      <c r="B119" s="392">
        <v>100.73520000000001</v>
      </c>
    </row>
    <row r="120" spans="1:2" hidden="1" x14ac:dyDescent="0.3">
      <c r="A120" s="391">
        <v>41128</v>
      </c>
      <c r="B120" s="392">
        <v>100.8216</v>
      </c>
    </row>
    <row r="121" spans="1:2" hidden="1" x14ac:dyDescent="0.3">
      <c r="A121" s="391">
        <v>41129</v>
      </c>
      <c r="B121" s="392">
        <v>100.8456</v>
      </c>
    </row>
    <row r="122" spans="1:2" hidden="1" x14ac:dyDescent="0.3">
      <c r="A122" s="391">
        <v>41130</v>
      </c>
      <c r="B122" s="392">
        <v>100.9088</v>
      </c>
    </row>
    <row r="123" spans="1:2" hidden="1" x14ac:dyDescent="0.3">
      <c r="A123" s="391">
        <v>41131</v>
      </c>
      <c r="B123" s="392">
        <v>100.82769999999999</v>
      </c>
    </row>
    <row r="124" spans="1:2" hidden="1" x14ac:dyDescent="0.3">
      <c r="A124" s="391">
        <v>41134</v>
      </c>
      <c r="B124" s="392">
        <v>100.9145</v>
      </c>
    </row>
    <row r="125" spans="1:2" hidden="1" x14ac:dyDescent="0.3">
      <c r="A125" s="391">
        <v>41135</v>
      </c>
      <c r="B125" s="392">
        <v>100.9375</v>
      </c>
    </row>
    <row r="126" spans="1:2" hidden="1" x14ac:dyDescent="0.3">
      <c r="A126" s="391">
        <v>41136</v>
      </c>
      <c r="B126" s="392">
        <v>101.0187</v>
      </c>
    </row>
    <row r="127" spans="1:2" hidden="1" x14ac:dyDescent="0.3">
      <c r="A127" s="391">
        <v>41137</v>
      </c>
      <c r="B127" s="392">
        <v>100.92529999999999</v>
      </c>
    </row>
    <row r="128" spans="1:2" hidden="1" x14ac:dyDescent="0.3">
      <c r="A128" s="391">
        <v>41138</v>
      </c>
      <c r="B128" s="392">
        <v>101.0568</v>
      </c>
    </row>
    <row r="129" spans="1:2" hidden="1" x14ac:dyDescent="0.3">
      <c r="A129" s="391">
        <v>41141</v>
      </c>
      <c r="B129" s="392">
        <v>100.9736</v>
      </c>
    </row>
    <row r="130" spans="1:2" hidden="1" x14ac:dyDescent="0.3">
      <c r="A130" s="391">
        <v>41142</v>
      </c>
      <c r="B130" s="392">
        <v>100.64830000000001</v>
      </c>
    </row>
    <row r="131" spans="1:2" hidden="1" x14ac:dyDescent="0.3">
      <c r="A131" s="391">
        <v>41143</v>
      </c>
      <c r="B131" s="392">
        <v>100.76900000000001</v>
      </c>
    </row>
    <row r="132" spans="1:2" hidden="1" x14ac:dyDescent="0.3">
      <c r="A132" s="391">
        <v>41144</v>
      </c>
      <c r="B132" s="392">
        <v>100.425</v>
      </c>
    </row>
    <row r="133" spans="1:2" hidden="1" x14ac:dyDescent="0.3">
      <c r="A133" s="391">
        <v>41145</v>
      </c>
      <c r="B133" s="392">
        <v>100.601</v>
      </c>
    </row>
    <row r="134" spans="1:2" hidden="1" x14ac:dyDescent="0.3">
      <c r="A134" s="391">
        <v>41148</v>
      </c>
      <c r="B134" s="392">
        <v>100.6481</v>
      </c>
    </row>
    <row r="135" spans="1:2" hidden="1" x14ac:dyDescent="0.3">
      <c r="A135" s="391">
        <v>41149</v>
      </c>
      <c r="B135" s="392">
        <v>100.54519999999999</v>
      </c>
    </row>
    <row r="136" spans="1:2" hidden="1" x14ac:dyDescent="0.3">
      <c r="A136" s="391">
        <v>41150</v>
      </c>
      <c r="B136" s="392">
        <v>100.7349</v>
      </c>
    </row>
    <row r="137" spans="1:2" hidden="1" x14ac:dyDescent="0.3">
      <c r="A137" s="391">
        <v>41151</v>
      </c>
      <c r="B137" s="392">
        <v>100.9716</v>
      </c>
    </row>
    <row r="138" spans="1:2" hidden="1" x14ac:dyDescent="0.3">
      <c r="A138" s="391">
        <v>41152</v>
      </c>
      <c r="B138" s="392">
        <v>100.5155</v>
      </c>
    </row>
    <row r="139" spans="1:2" hidden="1" x14ac:dyDescent="0.3">
      <c r="A139" s="391">
        <v>41156</v>
      </c>
      <c r="B139" s="392">
        <v>100.50149999999999</v>
      </c>
    </row>
    <row r="140" spans="1:2" hidden="1" x14ac:dyDescent="0.3">
      <c r="A140" s="391">
        <v>41157</v>
      </c>
      <c r="B140" s="392">
        <v>100.4661</v>
      </c>
    </row>
    <row r="141" spans="1:2" hidden="1" x14ac:dyDescent="0.3">
      <c r="A141" s="391">
        <v>41158</v>
      </c>
      <c r="B141" s="392">
        <v>100.2385</v>
      </c>
    </row>
    <row r="142" spans="1:2" hidden="1" x14ac:dyDescent="0.3">
      <c r="A142" s="391">
        <v>41159</v>
      </c>
      <c r="B142" s="392">
        <v>99.682500000000005</v>
      </c>
    </row>
    <row r="143" spans="1:2" hidden="1" x14ac:dyDescent="0.3">
      <c r="A143" s="391">
        <v>41162</v>
      </c>
      <c r="B143" s="392">
        <v>99.638599999999997</v>
      </c>
    </row>
    <row r="144" spans="1:2" hidden="1" x14ac:dyDescent="0.3">
      <c r="A144" s="391">
        <v>41163</v>
      </c>
      <c r="B144" s="392">
        <v>99.386899999999997</v>
      </c>
    </row>
    <row r="145" spans="1:3" hidden="1" x14ac:dyDescent="0.3">
      <c r="A145" s="391">
        <v>41164</v>
      </c>
      <c r="B145" s="392">
        <v>99.3626</v>
      </c>
    </row>
    <row r="146" spans="1:3" hidden="1" x14ac:dyDescent="0.3">
      <c r="A146" s="391">
        <v>41165</v>
      </c>
      <c r="B146" s="392">
        <v>99.275099999999995</v>
      </c>
    </row>
    <row r="147" spans="1:3" hidden="1" x14ac:dyDescent="0.3">
      <c r="A147" s="391">
        <v>41166</v>
      </c>
      <c r="B147" s="392">
        <v>98.417299999999997</v>
      </c>
    </row>
    <row r="148" spans="1:3" hidden="1" x14ac:dyDescent="0.3">
      <c r="A148" s="391">
        <v>41169</v>
      </c>
      <c r="B148" s="392">
        <v>98.563299999999998</v>
      </c>
    </row>
    <row r="149" spans="1:3" hidden="1" x14ac:dyDescent="0.3">
      <c r="A149" s="391">
        <v>41170</v>
      </c>
      <c r="B149" s="392">
        <v>98.794899999999998</v>
      </c>
    </row>
    <row r="150" spans="1:3" hidden="1" x14ac:dyDescent="0.3">
      <c r="A150" s="391">
        <v>41171</v>
      </c>
      <c r="B150" s="392">
        <v>98.746300000000005</v>
      </c>
    </row>
    <row r="151" spans="1:3" hidden="1" x14ac:dyDescent="0.3">
      <c r="A151" s="391">
        <v>41172</v>
      </c>
      <c r="B151" s="392">
        <v>99.039500000000004</v>
      </c>
    </row>
    <row r="152" spans="1:3" hidden="1" x14ac:dyDescent="0.3">
      <c r="A152" s="391">
        <v>41173</v>
      </c>
      <c r="B152" s="392">
        <v>98.809399999999997</v>
      </c>
    </row>
    <row r="153" spans="1:3" hidden="1" x14ac:dyDescent="0.3">
      <c r="A153" s="391">
        <v>41176</v>
      </c>
      <c r="B153" s="392">
        <v>99.106099999999998</v>
      </c>
    </row>
    <row r="154" spans="1:3" hidden="1" x14ac:dyDescent="0.3">
      <c r="A154" s="391">
        <v>41177</v>
      </c>
      <c r="B154" s="392">
        <v>98.883200000000002</v>
      </c>
    </row>
    <row r="155" spans="1:3" hidden="1" x14ac:dyDescent="0.3">
      <c r="A155" s="391">
        <v>41178</v>
      </c>
      <c r="B155" s="392">
        <v>99.267700000000005</v>
      </c>
    </row>
    <row r="156" spans="1:3" hidden="1" x14ac:dyDescent="0.3">
      <c r="A156" s="391">
        <v>41179</v>
      </c>
      <c r="B156" s="392">
        <v>99.014099999999999</v>
      </c>
    </row>
    <row r="157" spans="1:3" x14ac:dyDescent="0.3">
      <c r="A157" s="391">
        <v>41180</v>
      </c>
      <c r="B157" s="392">
        <v>99.064499999999995</v>
      </c>
      <c r="C157" s="393">
        <f>AVERAGE(B95:B157)</f>
        <v>100.6744301587302</v>
      </c>
    </row>
    <row r="158" spans="1:3" hidden="1" x14ac:dyDescent="0.3">
      <c r="A158" s="391">
        <v>41183</v>
      </c>
      <c r="B158" s="392">
        <v>98.930599999999998</v>
      </c>
    </row>
    <row r="159" spans="1:3" hidden="1" x14ac:dyDescent="0.3">
      <c r="A159" s="391">
        <v>41184</v>
      </c>
      <c r="B159" s="392">
        <v>98.876199999999997</v>
      </c>
    </row>
    <row r="160" spans="1:3" hidden="1" x14ac:dyDescent="0.3">
      <c r="A160" s="391">
        <v>41185</v>
      </c>
      <c r="B160" s="392">
        <v>99.096900000000005</v>
      </c>
    </row>
    <row r="161" spans="1:2" hidden="1" x14ac:dyDescent="0.3">
      <c r="A161" s="391">
        <v>41186</v>
      </c>
      <c r="B161" s="392">
        <v>98.720600000000005</v>
      </c>
    </row>
    <row r="162" spans="1:2" hidden="1" x14ac:dyDescent="0.3">
      <c r="A162" s="391">
        <v>41187</v>
      </c>
      <c r="B162" s="392">
        <v>98.5214</v>
      </c>
    </row>
    <row r="163" spans="1:2" hidden="1" x14ac:dyDescent="0.3">
      <c r="A163" s="391">
        <v>41191</v>
      </c>
      <c r="B163" s="392">
        <v>99.105500000000006</v>
      </c>
    </row>
    <row r="164" spans="1:2" hidden="1" x14ac:dyDescent="0.3">
      <c r="A164" s="391">
        <v>41192</v>
      </c>
      <c r="B164" s="392">
        <v>99.119</v>
      </c>
    </row>
    <row r="165" spans="1:2" hidden="1" x14ac:dyDescent="0.3">
      <c r="A165" s="391">
        <v>41193</v>
      </c>
      <c r="B165" s="392">
        <v>98.970100000000002</v>
      </c>
    </row>
    <row r="166" spans="1:2" hidden="1" x14ac:dyDescent="0.3">
      <c r="A166" s="391">
        <v>41194</v>
      </c>
      <c r="B166" s="392">
        <v>98.8964</v>
      </c>
    </row>
    <row r="167" spans="1:2" hidden="1" x14ac:dyDescent="0.3">
      <c r="A167" s="391">
        <v>41197</v>
      </c>
      <c r="B167" s="392">
        <v>98.860200000000006</v>
      </c>
    </row>
    <row r="168" spans="1:2" hidden="1" x14ac:dyDescent="0.3">
      <c r="A168" s="391">
        <v>41198</v>
      </c>
      <c r="B168" s="392">
        <v>98.751999999999995</v>
      </c>
    </row>
    <row r="169" spans="1:2" hidden="1" x14ac:dyDescent="0.3">
      <c r="A169" s="391">
        <v>41199</v>
      </c>
      <c r="B169" s="392">
        <v>98.423500000000004</v>
      </c>
    </row>
    <row r="170" spans="1:2" hidden="1" x14ac:dyDescent="0.3">
      <c r="A170" s="391">
        <v>41200</v>
      </c>
      <c r="B170" s="392">
        <v>98.568100000000001</v>
      </c>
    </row>
    <row r="171" spans="1:2" hidden="1" x14ac:dyDescent="0.3">
      <c r="A171" s="391">
        <v>41201</v>
      </c>
      <c r="B171" s="392">
        <v>98.977999999999994</v>
      </c>
    </row>
    <row r="172" spans="1:2" hidden="1" x14ac:dyDescent="0.3">
      <c r="A172" s="391">
        <v>41204</v>
      </c>
      <c r="B172" s="392">
        <v>98.969700000000003</v>
      </c>
    </row>
    <row r="173" spans="1:2" hidden="1" x14ac:dyDescent="0.3">
      <c r="A173" s="391">
        <v>41205</v>
      </c>
      <c r="B173" s="392">
        <v>99.2727</v>
      </c>
    </row>
    <row r="174" spans="1:2" hidden="1" x14ac:dyDescent="0.3">
      <c r="A174" s="391">
        <v>41206</v>
      </c>
      <c r="B174" s="392">
        <v>99.313400000000001</v>
      </c>
    </row>
    <row r="175" spans="1:2" hidden="1" x14ac:dyDescent="0.3">
      <c r="A175" s="391">
        <v>41207</v>
      </c>
      <c r="B175" s="392">
        <v>99.198999999999998</v>
      </c>
    </row>
    <row r="176" spans="1:2" hidden="1" x14ac:dyDescent="0.3">
      <c r="A176" s="391">
        <v>41208</v>
      </c>
      <c r="B176" s="392">
        <v>99.317300000000003</v>
      </c>
    </row>
    <row r="177" spans="1:2" hidden="1" x14ac:dyDescent="0.3">
      <c r="A177" s="391">
        <v>41211</v>
      </c>
      <c r="B177" s="392">
        <v>99.493499999999997</v>
      </c>
    </row>
    <row r="178" spans="1:2" hidden="1" x14ac:dyDescent="0.3">
      <c r="A178" s="391">
        <v>41212</v>
      </c>
      <c r="B178" s="392">
        <v>99.247299999999996</v>
      </c>
    </row>
    <row r="179" spans="1:2" hidden="1" x14ac:dyDescent="0.3">
      <c r="A179" s="391">
        <v>41213</v>
      </c>
      <c r="B179" s="392">
        <v>99.323899999999995</v>
      </c>
    </row>
    <row r="180" spans="1:2" hidden="1" x14ac:dyDescent="0.3">
      <c r="A180" s="391">
        <v>41214</v>
      </c>
      <c r="B180" s="392">
        <v>99.293400000000005</v>
      </c>
    </row>
    <row r="181" spans="1:2" hidden="1" x14ac:dyDescent="0.3">
      <c r="A181" s="391">
        <v>41215</v>
      </c>
      <c r="B181" s="392">
        <v>99.453800000000001</v>
      </c>
    </row>
    <row r="182" spans="1:2" hidden="1" x14ac:dyDescent="0.3">
      <c r="A182" s="391">
        <v>41218</v>
      </c>
      <c r="B182" s="392">
        <v>99.653599999999997</v>
      </c>
    </row>
    <row r="183" spans="1:2" hidden="1" x14ac:dyDescent="0.3">
      <c r="A183" s="391">
        <v>41219</v>
      </c>
      <c r="B183" s="392">
        <v>99.464699999999993</v>
      </c>
    </row>
    <row r="184" spans="1:2" hidden="1" x14ac:dyDescent="0.3">
      <c r="A184" s="391">
        <v>41220</v>
      </c>
      <c r="B184" s="392">
        <v>99.611199999999997</v>
      </c>
    </row>
    <row r="185" spans="1:2" hidden="1" x14ac:dyDescent="0.3">
      <c r="A185" s="391">
        <v>41221</v>
      </c>
      <c r="B185" s="392">
        <v>99.698400000000007</v>
      </c>
    </row>
    <row r="186" spans="1:2" hidden="1" x14ac:dyDescent="0.3">
      <c r="A186" s="391">
        <v>41222</v>
      </c>
      <c r="B186" s="392">
        <v>99.838499999999996</v>
      </c>
    </row>
    <row r="187" spans="1:2" hidden="1" x14ac:dyDescent="0.3">
      <c r="A187" s="391">
        <v>41226</v>
      </c>
      <c r="B187" s="392">
        <v>99.871600000000001</v>
      </c>
    </row>
    <row r="188" spans="1:2" hidden="1" x14ac:dyDescent="0.3">
      <c r="A188" s="391">
        <v>41227</v>
      </c>
      <c r="B188" s="392">
        <v>99.926599999999993</v>
      </c>
    </row>
    <row r="189" spans="1:2" hidden="1" x14ac:dyDescent="0.3">
      <c r="A189" s="391">
        <v>41228</v>
      </c>
      <c r="B189" s="392">
        <v>100.0339</v>
      </c>
    </row>
    <row r="190" spans="1:2" hidden="1" x14ac:dyDescent="0.3">
      <c r="A190" s="391">
        <v>41229</v>
      </c>
      <c r="B190" s="392">
        <v>100.1683</v>
      </c>
    </row>
    <row r="191" spans="1:2" hidden="1" x14ac:dyDescent="0.3">
      <c r="A191" s="391">
        <v>41232</v>
      </c>
      <c r="B191" s="392">
        <v>99.718900000000005</v>
      </c>
    </row>
    <row r="192" spans="1:2" hidden="1" x14ac:dyDescent="0.3">
      <c r="A192" s="391">
        <v>41233</v>
      </c>
      <c r="B192" s="392">
        <v>99.705399999999997</v>
      </c>
    </row>
    <row r="193" spans="1:2" hidden="1" x14ac:dyDescent="0.3">
      <c r="A193" s="391">
        <v>41234</v>
      </c>
      <c r="B193" s="392">
        <v>99.812299999999993</v>
      </c>
    </row>
    <row r="194" spans="1:2" hidden="1" x14ac:dyDescent="0.3">
      <c r="A194" s="391">
        <v>41236</v>
      </c>
      <c r="B194" s="392">
        <v>99.421899999999994</v>
      </c>
    </row>
    <row r="195" spans="1:2" hidden="1" x14ac:dyDescent="0.3">
      <c r="A195" s="391">
        <v>41239</v>
      </c>
      <c r="B195" s="392">
        <v>99.427800000000005</v>
      </c>
    </row>
    <row r="196" spans="1:2" hidden="1" x14ac:dyDescent="0.3">
      <c r="A196" s="391">
        <v>41240</v>
      </c>
      <c r="B196" s="392">
        <v>99.413399999999996</v>
      </c>
    </row>
    <row r="197" spans="1:2" hidden="1" x14ac:dyDescent="0.3">
      <c r="A197" s="391">
        <v>41241</v>
      </c>
      <c r="B197" s="392">
        <v>99.489199999999997</v>
      </c>
    </row>
    <row r="198" spans="1:2" hidden="1" x14ac:dyDescent="0.3">
      <c r="A198" s="391">
        <v>41242</v>
      </c>
      <c r="B198" s="392">
        <v>99.363799999999998</v>
      </c>
    </row>
    <row r="199" spans="1:2" hidden="1" x14ac:dyDescent="0.3">
      <c r="A199" s="391">
        <v>41243</v>
      </c>
      <c r="B199" s="392">
        <v>99.255099999999999</v>
      </c>
    </row>
    <row r="200" spans="1:2" hidden="1" x14ac:dyDescent="0.3">
      <c r="A200" s="391">
        <v>41246</v>
      </c>
      <c r="B200" s="392">
        <v>99.164500000000004</v>
      </c>
    </row>
    <row r="201" spans="1:2" hidden="1" x14ac:dyDescent="0.3">
      <c r="A201" s="391">
        <v>41247</v>
      </c>
      <c r="B201" s="392">
        <v>99.126400000000004</v>
      </c>
    </row>
    <row r="202" spans="1:2" hidden="1" x14ac:dyDescent="0.3">
      <c r="A202" s="391">
        <v>41248</v>
      </c>
      <c r="B202" s="392">
        <v>99.096999999999994</v>
      </c>
    </row>
    <row r="203" spans="1:2" hidden="1" x14ac:dyDescent="0.3">
      <c r="A203" s="391">
        <v>41249</v>
      </c>
      <c r="B203" s="392">
        <v>99.222099999999998</v>
      </c>
    </row>
    <row r="204" spans="1:2" hidden="1" x14ac:dyDescent="0.3">
      <c r="A204" s="391">
        <v>41250</v>
      </c>
      <c r="B204" s="392">
        <v>99.204800000000006</v>
      </c>
    </row>
    <row r="205" spans="1:2" hidden="1" x14ac:dyDescent="0.3">
      <c r="A205" s="391">
        <v>41253</v>
      </c>
      <c r="B205" s="392">
        <v>99.122900000000001</v>
      </c>
    </row>
    <row r="206" spans="1:2" hidden="1" x14ac:dyDescent="0.3">
      <c r="A206" s="391">
        <v>41254</v>
      </c>
      <c r="B206" s="392">
        <v>99.017700000000005</v>
      </c>
    </row>
    <row r="207" spans="1:2" hidden="1" x14ac:dyDescent="0.3">
      <c r="A207" s="391">
        <v>41255</v>
      </c>
      <c r="B207" s="392">
        <v>98.957999999999998</v>
      </c>
    </row>
    <row r="208" spans="1:2" hidden="1" x14ac:dyDescent="0.3">
      <c r="A208" s="391">
        <v>41256</v>
      </c>
      <c r="B208" s="392">
        <v>98.954899999999995</v>
      </c>
    </row>
    <row r="209" spans="1:3" hidden="1" x14ac:dyDescent="0.3">
      <c r="A209" s="391">
        <v>41257</v>
      </c>
      <c r="B209" s="392">
        <v>98.903099999999995</v>
      </c>
    </row>
    <row r="210" spans="1:3" hidden="1" x14ac:dyDescent="0.3">
      <c r="A210" s="391">
        <v>41260</v>
      </c>
      <c r="B210" s="392">
        <v>98.814800000000005</v>
      </c>
    </row>
    <row r="211" spans="1:3" hidden="1" x14ac:dyDescent="0.3">
      <c r="A211" s="391">
        <v>41261</v>
      </c>
      <c r="B211" s="392">
        <v>98.704499999999996</v>
      </c>
    </row>
    <row r="212" spans="1:3" hidden="1" x14ac:dyDescent="0.3">
      <c r="A212" s="391">
        <v>41262</v>
      </c>
      <c r="B212" s="392">
        <v>98.673400000000001</v>
      </c>
    </row>
    <row r="213" spans="1:3" hidden="1" x14ac:dyDescent="0.3">
      <c r="A213" s="391">
        <v>41263</v>
      </c>
      <c r="B213" s="392">
        <v>98.781899999999993</v>
      </c>
    </row>
    <row r="214" spans="1:3" hidden="1" x14ac:dyDescent="0.3">
      <c r="A214" s="391">
        <v>41264</v>
      </c>
      <c r="B214" s="392">
        <v>99.130899999999997</v>
      </c>
    </row>
    <row r="215" spans="1:3" hidden="1" x14ac:dyDescent="0.3">
      <c r="A215" s="391">
        <v>41267</v>
      </c>
      <c r="B215" s="392">
        <v>99.216499999999996</v>
      </c>
    </row>
    <row r="216" spans="1:3" hidden="1" x14ac:dyDescent="0.3">
      <c r="A216" s="391">
        <v>41269</v>
      </c>
      <c r="B216" s="392">
        <v>99.242900000000006</v>
      </c>
    </row>
    <row r="217" spans="1:3" hidden="1" x14ac:dyDescent="0.3">
      <c r="A217" s="391">
        <v>41270</v>
      </c>
      <c r="B217" s="392">
        <v>99.279700000000005</v>
      </c>
    </row>
    <row r="218" spans="1:3" hidden="1" x14ac:dyDescent="0.3">
      <c r="A218" s="391">
        <v>41271</v>
      </c>
      <c r="B218" s="392">
        <v>99.214799999999997</v>
      </c>
    </row>
    <row r="219" spans="1:3" x14ac:dyDescent="0.3">
      <c r="A219" s="391">
        <v>41274</v>
      </c>
      <c r="B219" s="392">
        <v>99.267099999999999</v>
      </c>
      <c r="C219" s="393">
        <f>AVERAGE(B158:B219)</f>
        <v>99.220564516129031</v>
      </c>
    </row>
    <row r="220" spans="1:3" hidden="1" x14ac:dyDescent="0.3">
      <c r="A220" s="391">
        <v>41276</v>
      </c>
      <c r="B220" s="392">
        <v>98.870199999999997</v>
      </c>
    </row>
    <row r="221" spans="1:3" hidden="1" x14ac:dyDescent="0.3">
      <c r="A221" s="391">
        <v>41277</v>
      </c>
      <c r="B221" s="392">
        <v>98.9773</v>
      </c>
    </row>
    <row r="222" spans="1:3" hidden="1" x14ac:dyDescent="0.3">
      <c r="A222" s="391">
        <v>41278</v>
      </c>
      <c r="B222" s="392">
        <v>99.281300000000002</v>
      </c>
    </row>
    <row r="223" spans="1:3" hidden="1" x14ac:dyDescent="0.3">
      <c r="A223" s="391">
        <v>41281</v>
      </c>
      <c r="B223" s="392">
        <v>99.157600000000002</v>
      </c>
    </row>
    <row r="224" spans="1:3" hidden="1" x14ac:dyDescent="0.3">
      <c r="A224" s="391">
        <v>41282</v>
      </c>
      <c r="B224" s="392">
        <v>99.223399999999998</v>
      </c>
    </row>
    <row r="225" spans="1:2" hidden="1" x14ac:dyDescent="0.3">
      <c r="A225" s="391">
        <v>41283</v>
      </c>
      <c r="B225" s="392">
        <v>99.1691</v>
      </c>
    </row>
    <row r="226" spans="1:2" hidden="1" x14ac:dyDescent="0.3">
      <c r="A226" s="391">
        <v>41284</v>
      </c>
      <c r="B226" s="392">
        <v>98.8048</v>
      </c>
    </row>
    <row r="227" spans="1:2" hidden="1" x14ac:dyDescent="0.3">
      <c r="A227" s="391">
        <v>41285</v>
      </c>
      <c r="B227" s="392">
        <v>98.693899999999999</v>
      </c>
    </row>
    <row r="228" spans="1:2" hidden="1" x14ac:dyDescent="0.3">
      <c r="A228" s="391">
        <v>41288</v>
      </c>
      <c r="B228" s="392">
        <v>98.641999999999996</v>
      </c>
    </row>
    <row r="229" spans="1:2" hidden="1" x14ac:dyDescent="0.3">
      <c r="A229" s="391">
        <v>41289</v>
      </c>
      <c r="B229" s="392">
        <v>98.664299999999997</v>
      </c>
    </row>
    <row r="230" spans="1:2" hidden="1" x14ac:dyDescent="0.3">
      <c r="A230" s="391">
        <v>41290</v>
      </c>
      <c r="B230" s="392">
        <v>98.728700000000003</v>
      </c>
    </row>
    <row r="231" spans="1:2" hidden="1" x14ac:dyDescent="0.3">
      <c r="A231" s="391">
        <v>41291</v>
      </c>
      <c r="B231" s="392">
        <v>98.665999999999997</v>
      </c>
    </row>
    <row r="232" spans="1:2" hidden="1" x14ac:dyDescent="0.3">
      <c r="A232" s="391">
        <v>41292</v>
      </c>
      <c r="B232" s="392">
        <v>98.985500000000002</v>
      </c>
    </row>
    <row r="233" spans="1:2" hidden="1" x14ac:dyDescent="0.3">
      <c r="A233" s="391">
        <v>41296</v>
      </c>
      <c r="B233" s="392">
        <v>98.906599999999997</v>
      </c>
    </row>
    <row r="234" spans="1:2" hidden="1" x14ac:dyDescent="0.3">
      <c r="A234" s="391">
        <v>41297</v>
      </c>
      <c r="B234" s="392">
        <v>98.946299999999994</v>
      </c>
    </row>
    <row r="235" spans="1:2" hidden="1" x14ac:dyDescent="0.3">
      <c r="A235" s="391">
        <v>41298</v>
      </c>
      <c r="B235" s="392">
        <v>99.015100000000004</v>
      </c>
    </row>
    <row r="236" spans="1:2" hidden="1" x14ac:dyDescent="0.3">
      <c r="A236" s="391">
        <v>41299</v>
      </c>
      <c r="B236" s="392">
        <v>99.199600000000004</v>
      </c>
    </row>
    <row r="237" spans="1:2" hidden="1" x14ac:dyDescent="0.3">
      <c r="A237" s="391">
        <v>41302</v>
      </c>
      <c r="B237" s="392">
        <v>99.374200000000002</v>
      </c>
    </row>
    <row r="238" spans="1:2" hidden="1" x14ac:dyDescent="0.3">
      <c r="A238" s="391">
        <v>41303</v>
      </c>
      <c r="B238" s="392">
        <v>99.072900000000004</v>
      </c>
    </row>
    <row r="239" spans="1:2" hidden="1" x14ac:dyDescent="0.3">
      <c r="A239" s="391">
        <v>41304</v>
      </c>
      <c r="B239" s="392">
        <v>99.0197</v>
      </c>
    </row>
    <row r="240" spans="1:2" hidden="1" x14ac:dyDescent="0.3">
      <c r="A240" s="391">
        <v>41305</v>
      </c>
      <c r="B240" s="392">
        <v>98.953299999999999</v>
      </c>
    </row>
    <row r="241" spans="1:2" hidden="1" x14ac:dyDescent="0.3">
      <c r="A241" s="391">
        <v>41306</v>
      </c>
      <c r="B241" s="392">
        <v>98.851100000000002</v>
      </c>
    </row>
    <row r="242" spans="1:2" hidden="1" x14ac:dyDescent="0.3">
      <c r="A242" s="391">
        <v>41309</v>
      </c>
      <c r="B242" s="392">
        <v>99.145399999999995</v>
      </c>
    </row>
    <row r="243" spans="1:2" hidden="1" x14ac:dyDescent="0.3">
      <c r="A243" s="391">
        <v>41310</v>
      </c>
      <c r="B243" s="392">
        <v>99.032799999999995</v>
      </c>
    </row>
    <row r="244" spans="1:2" hidden="1" x14ac:dyDescent="0.3">
      <c r="A244" s="391">
        <v>41311</v>
      </c>
      <c r="B244" s="392">
        <v>99.184299999999993</v>
      </c>
    </row>
    <row r="245" spans="1:2" hidden="1" x14ac:dyDescent="0.3">
      <c r="A245" s="391">
        <v>41312</v>
      </c>
      <c r="B245" s="392">
        <v>99.465299999999999</v>
      </c>
    </row>
    <row r="246" spans="1:2" hidden="1" x14ac:dyDescent="0.3">
      <c r="A246" s="391">
        <v>41313</v>
      </c>
      <c r="B246" s="392">
        <v>99.483599999999996</v>
      </c>
    </row>
    <row r="247" spans="1:2" hidden="1" x14ac:dyDescent="0.3">
      <c r="A247" s="391">
        <v>41316</v>
      </c>
      <c r="B247" s="392">
        <v>99.750399999999999</v>
      </c>
    </row>
    <row r="248" spans="1:2" hidden="1" x14ac:dyDescent="0.3">
      <c r="A248" s="391">
        <v>41317</v>
      </c>
      <c r="B248" s="392">
        <v>99.5809</v>
      </c>
    </row>
    <row r="249" spans="1:2" hidden="1" x14ac:dyDescent="0.3">
      <c r="A249" s="391">
        <v>41318</v>
      </c>
      <c r="B249" s="392">
        <v>99.558099999999996</v>
      </c>
    </row>
    <row r="250" spans="1:2" hidden="1" x14ac:dyDescent="0.3">
      <c r="A250" s="391">
        <v>41319</v>
      </c>
      <c r="B250" s="392">
        <v>99.652000000000001</v>
      </c>
    </row>
    <row r="251" spans="1:2" hidden="1" x14ac:dyDescent="0.3">
      <c r="A251" s="391">
        <v>41320</v>
      </c>
      <c r="B251" s="392">
        <v>99.729900000000001</v>
      </c>
    </row>
    <row r="252" spans="1:2" hidden="1" x14ac:dyDescent="0.3">
      <c r="A252" s="391">
        <v>41324</v>
      </c>
      <c r="B252" s="392">
        <v>99.781700000000001</v>
      </c>
    </row>
    <row r="253" spans="1:2" hidden="1" x14ac:dyDescent="0.3">
      <c r="A253" s="391">
        <v>41325</v>
      </c>
      <c r="B253" s="392">
        <v>99.917400000000001</v>
      </c>
    </row>
    <row r="254" spans="1:2" hidden="1" x14ac:dyDescent="0.3">
      <c r="A254" s="391">
        <v>41326</v>
      </c>
      <c r="B254" s="392">
        <v>100.3043</v>
      </c>
    </row>
    <row r="255" spans="1:2" hidden="1" x14ac:dyDescent="0.3">
      <c r="A255" s="391">
        <v>41327</v>
      </c>
      <c r="B255" s="392">
        <v>100.3708</v>
      </c>
    </row>
    <row r="256" spans="1:2" hidden="1" x14ac:dyDescent="0.3">
      <c r="A256" s="391">
        <v>41330</v>
      </c>
      <c r="B256" s="392">
        <v>100.429</v>
      </c>
    </row>
    <row r="257" spans="1:2" hidden="1" x14ac:dyDescent="0.3">
      <c r="A257" s="391">
        <v>41331</v>
      </c>
      <c r="B257" s="392">
        <v>100.65560000000001</v>
      </c>
    </row>
    <row r="258" spans="1:2" hidden="1" x14ac:dyDescent="0.3">
      <c r="A258" s="391">
        <v>41332</v>
      </c>
      <c r="B258" s="392">
        <v>100.4597</v>
      </c>
    </row>
    <row r="259" spans="1:2" hidden="1" x14ac:dyDescent="0.3">
      <c r="A259" s="391">
        <v>41333</v>
      </c>
      <c r="B259" s="392">
        <v>100.5103</v>
      </c>
    </row>
    <row r="260" spans="1:2" hidden="1" x14ac:dyDescent="0.3">
      <c r="A260" s="391">
        <v>41334</v>
      </c>
      <c r="B260" s="392">
        <v>100.8282</v>
      </c>
    </row>
    <row r="261" spans="1:2" hidden="1" x14ac:dyDescent="0.3">
      <c r="A261" s="391">
        <v>41337</v>
      </c>
      <c r="B261" s="392">
        <v>100.8563</v>
      </c>
    </row>
    <row r="262" spans="1:2" hidden="1" x14ac:dyDescent="0.3">
      <c r="A262" s="391">
        <v>41338</v>
      </c>
      <c r="B262" s="392">
        <v>100.7097</v>
      </c>
    </row>
    <row r="263" spans="1:2" hidden="1" x14ac:dyDescent="0.3">
      <c r="A263" s="391">
        <v>41339</v>
      </c>
      <c r="B263" s="392">
        <v>100.8051</v>
      </c>
    </row>
    <row r="264" spans="1:2" hidden="1" x14ac:dyDescent="0.3">
      <c r="A264" s="391">
        <v>41340</v>
      </c>
      <c r="B264" s="392">
        <v>100.75920000000001</v>
      </c>
    </row>
    <row r="265" spans="1:2" hidden="1" x14ac:dyDescent="0.3">
      <c r="A265" s="391">
        <v>41341</v>
      </c>
      <c r="B265" s="392">
        <v>100.834</v>
      </c>
    </row>
    <row r="266" spans="1:2" hidden="1" x14ac:dyDescent="0.3">
      <c r="A266" s="391">
        <v>41344</v>
      </c>
      <c r="B266" s="392">
        <v>100.7491</v>
      </c>
    </row>
    <row r="267" spans="1:2" hidden="1" x14ac:dyDescent="0.3">
      <c r="A267" s="391">
        <v>41345</v>
      </c>
      <c r="B267" s="392">
        <v>100.5911</v>
      </c>
    </row>
    <row r="268" spans="1:2" hidden="1" x14ac:dyDescent="0.3">
      <c r="A268" s="391">
        <v>41346</v>
      </c>
      <c r="B268" s="392">
        <v>100.6824</v>
      </c>
    </row>
    <row r="269" spans="1:2" hidden="1" x14ac:dyDescent="0.3">
      <c r="A269" s="391">
        <v>41347</v>
      </c>
      <c r="B269" s="392">
        <v>100.7032</v>
      </c>
    </row>
    <row r="270" spans="1:2" hidden="1" x14ac:dyDescent="0.3">
      <c r="A270" s="391">
        <v>41348</v>
      </c>
      <c r="B270" s="392">
        <v>100.3728</v>
      </c>
    </row>
    <row r="271" spans="1:2" hidden="1" x14ac:dyDescent="0.3">
      <c r="A271" s="391">
        <v>41351</v>
      </c>
      <c r="B271" s="392">
        <v>100.5899</v>
      </c>
    </row>
    <row r="272" spans="1:2" hidden="1" x14ac:dyDescent="0.3">
      <c r="A272" s="391">
        <v>41352</v>
      </c>
      <c r="B272" s="392">
        <v>100.77119999999999</v>
      </c>
    </row>
    <row r="273" spans="1:3" hidden="1" x14ac:dyDescent="0.3">
      <c r="A273" s="391">
        <v>41353</v>
      </c>
      <c r="B273" s="392">
        <v>100.6559</v>
      </c>
    </row>
    <row r="274" spans="1:3" hidden="1" x14ac:dyDescent="0.3">
      <c r="A274" s="391">
        <v>41354</v>
      </c>
      <c r="B274" s="392">
        <v>100.5869</v>
      </c>
    </row>
    <row r="275" spans="1:3" hidden="1" x14ac:dyDescent="0.3">
      <c r="A275" s="391">
        <v>41355</v>
      </c>
      <c r="B275" s="392">
        <v>100.465</v>
      </c>
    </row>
    <row r="276" spans="1:3" hidden="1" x14ac:dyDescent="0.3">
      <c r="A276" s="391">
        <v>41358</v>
      </c>
      <c r="B276" s="392">
        <v>100.5568</v>
      </c>
    </row>
    <row r="277" spans="1:3" hidden="1" x14ac:dyDescent="0.3">
      <c r="A277" s="391">
        <v>41359</v>
      </c>
      <c r="B277" s="392">
        <v>100.4808</v>
      </c>
    </row>
    <row r="278" spans="1:3" hidden="1" x14ac:dyDescent="0.3">
      <c r="A278" s="391">
        <v>41360</v>
      </c>
      <c r="B278" s="392">
        <v>100.70269999999999</v>
      </c>
    </row>
    <row r="279" spans="1:3" hidden="1" x14ac:dyDescent="0.3">
      <c r="A279" s="391">
        <v>41361</v>
      </c>
      <c r="B279" s="392">
        <v>100.5188</v>
      </c>
    </row>
    <row r="280" spans="1:3" x14ac:dyDescent="0.3">
      <c r="A280" s="391">
        <v>41362</v>
      </c>
      <c r="B280" s="392">
        <v>100.5565</v>
      </c>
      <c r="C280" s="393">
        <f>AVERAGE(B220:B280)</f>
        <v>99.803114754098345</v>
      </c>
    </row>
    <row r="281" spans="1:3" hidden="1" x14ac:dyDescent="0.3">
      <c r="A281" s="391">
        <v>41365</v>
      </c>
      <c r="B281" s="392">
        <v>100.42529999999999</v>
      </c>
    </row>
    <row r="282" spans="1:3" hidden="1" x14ac:dyDescent="0.3">
      <c r="A282" s="391">
        <v>41366</v>
      </c>
      <c r="B282" s="392">
        <v>100.38979999999999</v>
      </c>
    </row>
    <row r="283" spans="1:3" hidden="1" x14ac:dyDescent="0.3">
      <c r="A283" s="391">
        <v>41367</v>
      </c>
      <c r="B283" s="392">
        <v>100.35599999999999</v>
      </c>
    </row>
    <row r="284" spans="1:3" hidden="1" x14ac:dyDescent="0.3">
      <c r="A284" s="391">
        <v>41368</v>
      </c>
      <c r="B284" s="392">
        <v>100.66800000000001</v>
      </c>
    </row>
    <row r="285" spans="1:3" hidden="1" x14ac:dyDescent="0.3">
      <c r="A285" s="391">
        <v>41369</v>
      </c>
      <c r="B285" s="392">
        <v>100.3877</v>
      </c>
    </row>
    <row r="286" spans="1:3" hidden="1" x14ac:dyDescent="0.3">
      <c r="A286" s="391">
        <v>41372</v>
      </c>
      <c r="B286" s="392">
        <v>100.51309999999999</v>
      </c>
    </row>
    <row r="287" spans="1:3" hidden="1" x14ac:dyDescent="0.3">
      <c r="A287" s="391">
        <v>41373</v>
      </c>
      <c r="B287" s="392">
        <v>100.2427</v>
      </c>
    </row>
    <row r="288" spans="1:3" hidden="1" x14ac:dyDescent="0.3">
      <c r="A288" s="391">
        <v>41374</v>
      </c>
      <c r="B288" s="392">
        <v>100.22580000000001</v>
      </c>
    </row>
    <row r="289" spans="1:2" hidden="1" x14ac:dyDescent="0.3">
      <c r="A289" s="391">
        <v>41375</v>
      </c>
      <c r="B289" s="392">
        <v>99.972399999999993</v>
      </c>
    </row>
    <row r="290" spans="1:2" hidden="1" x14ac:dyDescent="0.3">
      <c r="A290" s="391">
        <v>41376</v>
      </c>
      <c r="B290" s="392">
        <v>100.0677</v>
      </c>
    </row>
    <row r="291" spans="1:2" hidden="1" x14ac:dyDescent="0.3">
      <c r="A291" s="391">
        <v>41379</v>
      </c>
      <c r="B291" s="392">
        <v>100.1923</v>
      </c>
    </row>
    <row r="292" spans="1:2" hidden="1" x14ac:dyDescent="0.3">
      <c r="A292" s="391">
        <v>41380</v>
      </c>
      <c r="B292" s="392">
        <v>100.07170000000001</v>
      </c>
    </row>
    <row r="293" spans="1:2" hidden="1" x14ac:dyDescent="0.3">
      <c r="A293" s="391">
        <v>41381</v>
      </c>
      <c r="B293" s="392">
        <v>100.3612</v>
      </c>
    </row>
    <row r="294" spans="1:2" hidden="1" x14ac:dyDescent="0.3">
      <c r="A294" s="391">
        <v>41382</v>
      </c>
      <c r="B294" s="392">
        <v>100.4063</v>
      </c>
    </row>
    <row r="295" spans="1:2" hidden="1" x14ac:dyDescent="0.3">
      <c r="A295" s="391">
        <v>41383</v>
      </c>
      <c r="B295" s="392">
        <v>100.4434</v>
      </c>
    </row>
    <row r="296" spans="1:2" hidden="1" x14ac:dyDescent="0.3">
      <c r="A296" s="391">
        <v>41386</v>
      </c>
      <c r="B296" s="392">
        <v>100.5941</v>
      </c>
    </row>
    <row r="297" spans="1:2" hidden="1" x14ac:dyDescent="0.3">
      <c r="A297" s="391">
        <v>41387</v>
      </c>
      <c r="B297" s="392">
        <v>100.61969999999999</v>
      </c>
    </row>
    <row r="298" spans="1:2" hidden="1" x14ac:dyDescent="0.3">
      <c r="A298" s="391">
        <v>41388</v>
      </c>
      <c r="B298" s="392">
        <v>100.6858</v>
      </c>
    </row>
    <row r="299" spans="1:2" hidden="1" x14ac:dyDescent="0.3">
      <c r="A299" s="391">
        <v>41389</v>
      </c>
      <c r="B299" s="392">
        <v>100.2696</v>
      </c>
    </row>
    <row r="300" spans="1:2" hidden="1" x14ac:dyDescent="0.3">
      <c r="A300" s="391">
        <v>41390</v>
      </c>
      <c r="B300" s="392">
        <v>100.1284</v>
      </c>
    </row>
    <row r="301" spans="1:2" hidden="1" x14ac:dyDescent="0.3">
      <c r="A301" s="391">
        <v>41393</v>
      </c>
      <c r="B301" s="392">
        <v>99.872299999999996</v>
      </c>
    </row>
    <row r="302" spans="1:2" hidden="1" x14ac:dyDescent="0.3">
      <c r="A302" s="391">
        <v>41394</v>
      </c>
      <c r="B302" s="392">
        <v>99.608099999999993</v>
      </c>
    </row>
    <row r="303" spans="1:2" hidden="1" x14ac:dyDescent="0.3">
      <c r="A303" s="391">
        <v>41395</v>
      </c>
      <c r="B303" s="392">
        <v>99.674099999999996</v>
      </c>
    </row>
    <row r="304" spans="1:2" hidden="1" x14ac:dyDescent="0.3">
      <c r="A304" s="391">
        <v>41396</v>
      </c>
      <c r="B304" s="392">
        <v>99.848500000000001</v>
      </c>
    </row>
    <row r="305" spans="1:2" hidden="1" x14ac:dyDescent="0.3">
      <c r="A305" s="391">
        <v>41397</v>
      </c>
      <c r="B305" s="392">
        <v>99.738699999999994</v>
      </c>
    </row>
    <row r="306" spans="1:2" hidden="1" x14ac:dyDescent="0.3">
      <c r="A306" s="391">
        <v>41400</v>
      </c>
      <c r="B306" s="392">
        <v>99.867199999999997</v>
      </c>
    </row>
    <row r="307" spans="1:2" hidden="1" x14ac:dyDescent="0.3">
      <c r="A307" s="391">
        <v>41401</v>
      </c>
      <c r="B307" s="392">
        <v>99.726100000000002</v>
      </c>
    </row>
    <row r="308" spans="1:2" hidden="1" x14ac:dyDescent="0.3">
      <c r="A308" s="391">
        <v>41402</v>
      </c>
      <c r="B308" s="392">
        <v>99.373500000000007</v>
      </c>
    </row>
    <row r="309" spans="1:2" hidden="1" x14ac:dyDescent="0.3">
      <c r="A309" s="391">
        <v>41403</v>
      </c>
      <c r="B309" s="392">
        <v>99.485699999999994</v>
      </c>
    </row>
    <row r="310" spans="1:2" hidden="1" x14ac:dyDescent="0.3">
      <c r="A310" s="391">
        <v>41404</v>
      </c>
      <c r="B310" s="392">
        <v>100.45699999999999</v>
      </c>
    </row>
    <row r="311" spans="1:2" hidden="1" x14ac:dyDescent="0.3">
      <c r="A311" s="391">
        <v>41407</v>
      </c>
      <c r="B311" s="392">
        <v>100.4875</v>
      </c>
    </row>
    <row r="312" spans="1:2" hidden="1" x14ac:dyDescent="0.3">
      <c r="A312" s="391">
        <v>41408</v>
      </c>
      <c r="B312" s="392">
        <v>100.57210000000001</v>
      </c>
    </row>
    <row r="313" spans="1:2" hidden="1" x14ac:dyDescent="0.3">
      <c r="A313" s="391">
        <v>41409</v>
      </c>
      <c r="B313" s="392">
        <v>100.9813</v>
      </c>
    </row>
    <row r="314" spans="1:2" hidden="1" x14ac:dyDescent="0.3">
      <c r="A314" s="391">
        <v>41410</v>
      </c>
      <c r="B314" s="392">
        <v>100.8861</v>
      </c>
    </row>
    <row r="315" spans="1:2" hidden="1" x14ac:dyDescent="0.3">
      <c r="A315" s="391">
        <v>41411</v>
      </c>
      <c r="B315" s="392">
        <v>101.3582</v>
      </c>
    </row>
    <row r="316" spans="1:2" hidden="1" x14ac:dyDescent="0.3">
      <c r="A316" s="391">
        <v>41414</v>
      </c>
      <c r="B316" s="392">
        <v>101.22629999999999</v>
      </c>
    </row>
    <row r="317" spans="1:2" hidden="1" x14ac:dyDescent="0.3">
      <c r="A317" s="391">
        <v>41415</v>
      </c>
      <c r="B317" s="392">
        <v>101.139</v>
      </c>
    </row>
    <row r="318" spans="1:2" hidden="1" x14ac:dyDescent="0.3">
      <c r="A318" s="391">
        <v>41416</v>
      </c>
      <c r="B318" s="392">
        <v>101.4666</v>
      </c>
    </row>
    <row r="319" spans="1:2" hidden="1" x14ac:dyDescent="0.3">
      <c r="A319" s="391">
        <v>41417</v>
      </c>
      <c r="B319" s="392">
        <v>101.3947</v>
      </c>
    </row>
    <row r="320" spans="1:2" hidden="1" x14ac:dyDescent="0.3">
      <c r="A320" s="391">
        <v>41418</v>
      </c>
      <c r="B320" s="392">
        <v>101.4562</v>
      </c>
    </row>
    <row r="321" spans="1:2" hidden="1" x14ac:dyDescent="0.3">
      <c r="A321" s="391">
        <v>41422</v>
      </c>
      <c r="B321" s="392">
        <v>101.7539</v>
      </c>
    </row>
    <row r="322" spans="1:2" hidden="1" x14ac:dyDescent="0.3">
      <c r="A322" s="391">
        <v>41423</v>
      </c>
      <c r="B322" s="392">
        <v>101.7159</v>
      </c>
    </row>
    <row r="323" spans="1:2" hidden="1" x14ac:dyDescent="0.3">
      <c r="A323" s="391">
        <v>41424</v>
      </c>
      <c r="B323" s="392">
        <v>101.62739999999999</v>
      </c>
    </row>
    <row r="324" spans="1:2" hidden="1" x14ac:dyDescent="0.3">
      <c r="A324" s="391">
        <v>41425</v>
      </c>
      <c r="B324" s="392">
        <v>101.82689999999999</v>
      </c>
    </row>
    <row r="325" spans="1:2" hidden="1" x14ac:dyDescent="0.3">
      <c r="A325" s="391">
        <v>41428</v>
      </c>
      <c r="B325" s="392">
        <v>101.3869</v>
      </c>
    </row>
    <row r="326" spans="1:2" hidden="1" x14ac:dyDescent="0.3">
      <c r="A326" s="391">
        <v>41429</v>
      </c>
      <c r="B326" s="392">
        <v>101.5176</v>
      </c>
    </row>
    <row r="327" spans="1:2" hidden="1" x14ac:dyDescent="0.3">
      <c r="A327" s="391">
        <v>41430</v>
      </c>
      <c r="B327" s="392">
        <v>101.4877</v>
      </c>
    </row>
    <row r="328" spans="1:2" hidden="1" x14ac:dyDescent="0.3">
      <c r="A328" s="391">
        <v>41431</v>
      </c>
      <c r="B328" s="392">
        <v>101.0663</v>
      </c>
    </row>
    <row r="329" spans="1:2" hidden="1" x14ac:dyDescent="0.3">
      <c r="A329" s="391">
        <v>41432</v>
      </c>
      <c r="B329" s="392">
        <v>100.8522</v>
      </c>
    </row>
    <row r="330" spans="1:2" hidden="1" x14ac:dyDescent="0.3">
      <c r="A330" s="391">
        <v>41435</v>
      </c>
      <c r="B330" s="392">
        <v>101.258</v>
      </c>
    </row>
    <row r="331" spans="1:2" hidden="1" x14ac:dyDescent="0.3">
      <c r="A331" s="391">
        <v>41436</v>
      </c>
      <c r="B331" s="392">
        <v>101.0789</v>
      </c>
    </row>
    <row r="332" spans="1:2" hidden="1" x14ac:dyDescent="0.3">
      <c r="A332" s="391">
        <v>41437</v>
      </c>
      <c r="B332" s="392">
        <v>100.7483</v>
      </c>
    </row>
    <row r="333" spans="1:2" hidden="1" x14ac:dyDescent="0.3">
      <c r="A333" s="391">
        <v>41438</v>
      </c>
      <c r="B333" s="392">
        <v>100.61020000000001</v>
      </c>
    </row>
    <row r="334" spans="1:2" hidden="1" x14ac:dyDescent="0.3">
      <c r="A334" s="391">
        <v>41439</v>
      </c>
      <c r="B334" s="392">
        <v>100.4331</v>
      </c>
    </row>
    <row r="335" spans="1:2" hidden="1" x14ac:dyDescent="0.3">
      <c r="A335" s="391">
        <v>41442</v>
      </c>
      <c r="B335" s="392">
        <v>100.5793</v>
      </c>
    </row>
    <row r="336" spans="1:2" hidden="1" x14ac:dyDescent="0.3">
      <c r="A336" s="391">
        <v>41443</v>
      </c>
      <c r="B336" s="392">
        <v>100.8035</v>
      </c>
    </row>
    <row r="337" spans="1:3" hidden="1" x14ac:dyDescent="0.3">
      <c r="A337" s="391">
        <v>41444</v>
      </c>
      <c r="B337" s="392">
        <v>100.7389</v>
      </c>
    </row>
    <row r="338" spans="1:3" hidden="1" x14ac:dyDescent="0.3">
      <c r="A338" s="391">
        <v>41445</v>
      </c>
      <c r="B338" s="392">
        <v>102.4098</v>
      </c>
    </row>
    <row r="339" spans="1:3" hidden="1" x14ac:dyDescent="0.3">
      <c r="A339" s="391">
        <v>41446</v>
      </c>
      <c r="B339" s="392">
        <v>102.7028</v>
      </c>
    </row>
    <row r="340" spans="1:3" hidden="1" x14ac:dyDescent="0.3">
      <c r="A340" s="391">
        <v>41449</v>
      </c>
      <c r="B340" s="392">
        <v>102.8686</v>
      </c>
    </row>
    <row r="341" spans="1:3" hidden="1" x14ac:dyDescent="0.3">
      <c r="A341" s="391">
        <v>41450</v>
      </c>
      <c r="B341" s="392">
        <v>102.6056</v>
      </c>
    </row>
    <row r="342" spans="1:3" hidden="1" x14ac:dyDescent="0.3">
      <c r="A342" s="391">
        <v>41451</v>
      </c>
      <c r="B342" s="392">
        <v>102.6665</v>
      </c>
    </row>
    <row r="343" spans="1:3" hidden="1" x14ac:dyDescent="0.3">
      <c r="A343" s="391">
        <v>41452</v>
      </c>
      <c r="B343" s="392">
        <v>102.5044</v>
      </c>
    </row>
    <row r="344" spans="1:3" x14ac:dyDescent="0.3">
      <c r="A344" s="391">
        <v>41453</v>
      </c>
      <c r="B344" s="392">
        <v>102.538</v>
      </c>
      <c r="C344" s="393">
        <f>AVERAGE(B281:B344)</f>
        <v>100.83470156250004</v>
      </c>
    </row>
    <row r="345" spans="1:3" hidden="1" x14ac:dyDescent="0.3">
      <c r="A345" s="391">
        <v>41456</v>
      </c>
      <c r="B345" s="392">
        <v>102.32259999999999</v>
      </c>
    </row>
    <row r="346" spans="1:3" hidden="1" x14ac:dyDescent="0.3">
      <c r="A346" s="391">
        <v>41457</v>
      </c>
      <c r="B346" s="392">
        <v>102.6238</v>
      </c>
    </row>
    <row r="347" spans="1:3" hidden="1" x14ac:dyDescent="0.3">
      <c r="A347" s="391">
        <v>41458</v>
      </c>
      <c r="B347" s="392">
        <v>102.7094</v>
      </c>
    </row>
    <row r="348" spans="1:3" hidden="1" x14ac:dyDescent="0.3">
      <c r="A348" s="391">
        <v>41460</v>
      </c>
      <c r="B348" s="392">
        <v>103.2779</v>
      </c>
    </row>
    <row r="349" spans="1:3" hidden="1" x14ac:dyDescent="0.3">
      <c r="A349" s="391">
        <v>41463</v>
      </c>
      <c r="B349" s="392">
        <v>103.2136</v>
      </c>
    </row>
    <row r="350" spans="1:3" hidden="1" x14ac:dyDescent="0.3">
      <c r="A350" s="391">
        <v>41464</v>
      </c>
      <c r="B350" s="392">
        <v>103.14749999999999</v>
      </c>
    </row>
    <row r="351" spans="1:3" hidden="1" x14ac:dyDescent="0.3">
      <c r="A351" s="391">
        <v>41465</v>
      </c>
      <c r="B351" s="392">
        <v>102.9628</v>
      </c>
    </row>
    <row r="352" spans="1:3" hidden="1" x14ac:dyDescent="0.3">
      <c r="A352" s="391">
        <v>41466</v>
      </c>
      <c r="B352" s="392">
        <v>102.1588</v>
      </c>
    </row>
    <row r="353" spans="1:2" hidden="1" x14ac:dyDescent="0.3">
      <c r="A353" s="391">
        <v>41467</v>
      </c>
      <c r="B353" s="392">
        <v>102.2149</v>
      </c>
    </row>
    <row r="354" spans="1:2" hidden="1" x14ac:dyDescent="0.3">
      <c r="A354" s="391">
        <v>41470</v>
      </c>
      <c r="B354" s="392">
        <v>102.182</v>
      </c>
    </row>
    <row r="355" spans="1:2" hidden="1" x14ac:dyDescent="0.3">
      <c r="A355" s="391">
        <v>41471</v>
      </c>
      <c r="B355" s="392">
        <v>101.7238</v>
      </c>
    </row>
    <row r="356" spans="1:2" hidden="1" x14ac:dyDescent="0.3">
      <c r="A356" s="391">
        <v>41472</v>
      </c>
      <c r="B356" s="392">
        <v>101.7473</v>
      </c>
    </row>
    <row r="357" spans="1:2" hidden="1" x14ac:dyDescent="0.3">
      <c r="A357" s="391">
        <v>41473</v>
      </c>
      <c r="B357" s="392">
        <v>101.9061</v>
      </c>
    </row>
    <row r="358" spans="1:2" hidden="1" x14ac:dyDescent="0.3">
      <c r="A358" s="391">
        <v>41474</v>
      </c>
      <c r="B358" s="392">
        <v>101.70489999999999</v>
      </c>
    </row>
    <row r="359" spans="1:2" hidden="1" x14ac:dyDescent="0.3">
      <c r="A359" s="391">
        <v>41477</v>
      </c>
      <c r="B359" s="392">
        <v>101.4611</v>
      </c>
    </row>
    <row r="360" spans="1:2" hidden="1" x14ac:dyDescent="0.3">
      <c r="A360" s="391">
        <v>41478</v>
      </c>
      <c r="B360" s="392">
        <v>101.4008</v>
      </c>
    </row>
    <row r="361" spans="1:2" hidden="1" x14ac:dyDescent="0.3">
      <c r="A361" s="391">
        <v>41479</v>
      </c>
      <c r="B361" s="392">
        <v>101.5633</v>
      </c>
    </row>
    <row r="362" spans="1:2" hidden="1" x14ac:dyDescent="0.3">
      <c r="A362" s="391">
        <v>41480</v>
      </c>
      <c r="B362" s="392">
        <v>101.54300000000001</v>
      </c>
    </row>
    <row r="363" spans="1:2" hidden="1" x14ac:dyDescent="0.3">
      <c r="A363" s="391">
        <v>41481</v>
      </c>
      <c r="B363" s="392">
        <v>101.42440000000001</v>
      </c>
    </row>
    <row r="364" spans="1:2" hidden="1" x14ac:dyDescent="0.3">
      <c r="A364" s="391">
        <v>41484</v>
      </c>
      <c r="B364" s="392">
        <v>101.42659999999999</v>
      </c>
    </row>
    <row r="365" spans="1:2" hidden="1" x14ac:dyDescent="0.3">
      <c r="A365" s="391">
        <v>41485</v>
      </c>
      <c r="B365" s="392">
        <v>101.6514</v>
      </c>
    </row>
    <row r="366" spans="1:2" hidden="1" x14ac:dyDescent="0.3">
      <c r="A366" s="391">
        <v>41486</v>
      </c>
      <c r="B366" s="392">
        <v>101.82510000000001</v>
      </c>
    </row>
    <row r="367" spans="1:2" hidden="1" x14ac:dyDescent="0.3">
      <c r="A367" s="391">
        <v>41487</v>
      </c>
      <c r="B367" s="392">
        <v>102.0504</v>
      </c>
    </row>
    <row r="368" spans="1:2" hidden="1" x14ac:dyDescent="0.3">
      <c r="A368" s="391">
        <v>41488</v>
      </c>
      <c r="B368" s="392">
        <v>101.8267</v>
      </c>
    </row>
    <row r="369" spans="1:2" hidden="1" x14ac:dyDescent="0.3">
      <c r="A369" s="391">
        <v>41491</v>
      </c>
      <c r="B369" s="392">
        <v>101.7406</v>
      </c>
    </row>
    <row r="370" spans="1:2" hidden="1" x14ac:dyDescent="0.3">
      <c r="A370" s="391">
        <v>41492</v>
      </c>
      <c r="B370" s="392">
        <v>101.5585</v>
      </c>
    </row>
    <row r="371" spans="1:2" hidden="1" x14ac:dyDescent="0.3">
      <c r="A371" s="391">
        <v>41493</v>
      </c>
      <c r="B371" s="392">
        <v>101.51</v>
      </c>
    </row>
    <row r="372" spans="1:2" hidden="1" x14ac:dyDescent="0.3">
      <c r="A372" s="391">
        <v>41494</v>
      </c>
      <c r="B372" s="392">
        <v>101.08969999999999</v>
      </c>
    </row>
    <row r="373" spans="1:2" hidden="1" x14ac:dyDescent="0.3">
      <c r="A373" s="391">
        <v>41495</v>
      </c>
      <c r="B373" s="392">
        <v>101.0887</v>
      </c>
    </row>
    <row r="374" spans="1:2" hidden="1" x14ac:dyDescent="0.3">
      <c r="A374" s="391">
        <v>41498</v>
      </c>
      <c r="B374" s="392">
        <v>101.1704</v>
      </c>
    </row>
    <row r="375" spans="1:2" hidden="1" x14ac:dyDescent="0.3">
      <c r="A375" s="391">
        <v>41499</v>
      </c>
      <c r="B375" s="392">
        <v>101.73609999999999</v>
      </c>
    </row>
    <row r="376" spans="1:2" hidden="1" x14ac:dyDescent="0.3">
      <c r="A376" s="391">
        <v>41500</v>
      </c>
      <c r="B376" s="392">
        <v>101.65049999999999</v>
      </c>
    </row>
    <row r="377" spans="1:2" hidden="1" x14ac:dyDescent="0.3">
      <c r="A377" s="391">
        <v>41501</v>
      </c>
      <c r="B377" s="392">
        <v>101.7715</v>
      </c>
    </row>
    <row r="378" spans="1:2" hidden="1" x14ac:dyDescent="0.3">
      <c r="A378" s="391">
        <v>41502</v>
      </c>
      <c r="B378" s="392">
        <v>101.6917</v>
      </c>
    </row>
    <row r="379" spans="1:2" hidden="1" x14ac:dyDescent="0.3">
      <c r="A379" s="391">
        <v>41505</v>
      </c>
      <c r="B379" s="392">
        <v>101.9552</v>
      </c>
    </row>
    <row r="380" spans="1:2" hidden="1" x14ac:dyDescent="0.3">
      <c r="A380" s="391">
        <v>41506</v>
      </c>
      <c r="B380" s="392">
        <v>101.8468</v>
      </c>
    </row>
    <row r="381" spans="1:2" hidden="1" x14ac:dyDescent="0.3">
      <c r="A381" s="391">
        <v>41507</v>
      </c>
      <c r="B381" s="392">
        <v>102.32980000000001</v>
      </c>
    </row>
    <row r="382" spans="1:2" hidden="1" x14ac:dyDescent="0.3">
      <c r="A382" s="391">
        <v>41508</v>
      </c>
      <c r="B382" s="392">
        <v>102.56</v>
      </c>
    </row>
    <row r="383" spans="1:2" hidden="1" x14ac:dyDescent="0.3">
      <c r="A383" s="391">
        <v>41509</v>
      </c>
      <c r="B383" s="392">
        <v>102.2212</v>
      </c>
    </row>
    <row r="384" spans="1:2" hidden="1" x14ac:dyDescent="0.3">
      <c r="A384" s="391">
        <v>41512</v>
      </c>
      <c r="B384" s="392">
        <v>102.45780000000001</v>
      </c>
    </row>
    <row r="385" spans="1:2" hidden="1" x14ac:dyDescent="0.3">
      <c r="A385" s="391">
        <v>41513</v>
      </c>
      <c r="B385" s="392">
        <v>102.6865</v>
      </c>
    </row>
    <row r="386" spans="1:2" hidden="1" x14ac:dyDescent="0.3">
      <c r="A386" s="391">
        <v>41514</v>
      </c>
      <c r="B386" s="392">
        <v>102.6979</v>
      </c>
    </row>
    <row r="387" spans="1:2" hidden="1" x14ac:dyDescent="0.3">
      <c r="A387" s="391">
        <v>41515</v>
      </c>
      <c r="B387" s="392">
        <v>102.9091</v>
      </c>
    </row>
    <row r="388" spans="1:2" hidden="1" x14ac:dyDescent="0.3">
      <c r="A388" s="391">
        <v>41516</v>
      </c>
      <c r="B388" s="392">
        <v>103.0227</v>
      </c>
    </row>
    <row r="389" spans="1:2" hidden="1" x14ac:dyDescent="0.3">
      <c r="A389" s="391">
        <v>41520</v>
      </c>
      <c r="B389" s="392">
        <v>103.24550000000001</v>
      </c>
    </row>
    <row r="390" spans="1:2" hidden="1" x14ac:dyDescent="0.3">
      <c r="A390" s="391">
        <v>41521</v>
      </c>
      <c r="B390" s="392">
        <v>102.8677</v>
      </c>
    </row>
    <row r="391" spans="1:2" hidden="1" x14ac:dyDescent="0.3">
      <c r="A391" s="391">
        <v>41522</v>
      </c>
      <c r="B391" s="392">
        <v>103.20529999999999</v>
      </c>
    </row>
    <row r="392" spans="1:2" hidden="1" x14ac:dyDescent="0.3">
      <c r="A392" s="391">
        <v>41523</v>
      </c>
      <c r="B392" s="392">
        <v>102.5591</v>
      </c>
    </row>
    <row r="393" spans="1:2" hidden="1" x14ac:dyDescent="0.3">
      <c r="A393" s="391">
        <v>41526</v>
      </c>
      <c r="B393" s="392">
        <v>102.31619999999999</v>
      </c>
    </row>
    <row r="394" spans="1:2" hidden="1" x14ac:dyDescent="0.3">
      <c r="A394" s="391">
        <v>41527</v>
      </c>
      <c r="B394" s="392">
        <v>102.2471</v>
      </c>
    </row>
    <row r="395" spans="1:2" hidden="1" x14ac:dyDescent="0.3">
      <c r="A395" s="391">
        <v>41528</v>
      </c>
      <c r="B395" s="392">
        <v>102.0214</v>
      </c>
    </row>
    <row r="396" spans="1:2" hidden="1" x14ac:dyDescent="0.3">
      <c r="A396" s="391">
        <v>41529</v>
      </c>
      <c r="B396" s="392">
        <v>101.8931</v>
      </c>
    </row>
    <row r="397" spans="1:2" hidden="1" x14ac:dyDescent="0.3">
      <c r="A397" s="391">
        <v>41530</v>
      </c>
      <c r="B397" s="392">
        <v>101.97190000000001</v>
      </c>
    </row>
    <row r="398" spans="1:2" hidden="1" x14ac:dyDescent="0.3">
      <c r="A398" s="391">
        <v>41533</v>
      </c>
      <c r="B398" s="392">
        <v>101.5909</v>
      </c>
    </row>
    <row r="399" spans="1:2" hidden="1" x14ac:dyDescent="0.3">
      <c r="A399" s="391">
        <v>41534</v>
      </c>
      <c r="B399" s="392">
        <v>101.5177</v>
      </c>
    </row>
    <row r="400" spans="1:2" hidden="1" x14ac:dyDescent="0.3">
      <c r="A400" s="391">
        <v>41535</v>
      </c>
      <c r="B400" s="392">
        <v>101.5564</v>
      </c>
    </row>
    <row r="401" spans="1:3" hidden="1" x14ac:dyDescent="0.3">
      <c r="A401" s="391">
        <v>41536</v>
      </c>
      <c r="B401" s="392">
        <v>100.6621</v>
      </c>
    </row>
    <row r="402" spans="1:3" hidden="1" x14ac:dyDescent="0.3">
      <c r="A402" s="391">
        <v>41537</v>
      </c>
      <c r="B402" s="392">
        <v>100.8676</v>
      </c>
    </row>
    <row r="403" spans="1:3" hidden="1" x14ac:dyDescent="0.3">
      <c r="A403" s="391">
        <v>41540</v>
      </c>
      <c r="B403" s="392">
        <v>100.8939</v>
      </c>
    </row>
    <row r="404" spans="1:3" hidden="1" x14ac:dyDescent="0.3">
      <c r="A404" s="391">
        <v>41541</v>
      </c>
      <c r="B404" s="392">
        <v>101.0544</v>
      </c>
    </row>
    <row r="405" spans="1:3" hidden="1" x14ac:dyDescent="0.3">
      <c r="A405" s="391">
        <v>41542</v>
      </c>
      <c r="B405" s="392">
        <v>101.0647</v>
      </c>
    </row>
    <row r="406" spans="1:3" hidden="1" x14ac:dyDescent="0.3">
      <c r="A406" s="391">
        <v>41543</v>
      </c>
      <c r="B406" s="392">
        <v>101.2972</v>
      </c>
    </row>
    <row r="407" spans="1:3" hidden="1" x14ac:dyDescent="0.3">
      <c r="A407" s="391">
        <v>41544</v>
      </c>
      <c r="B407" s="392">
        <v>101.27719999999999</v>
      </c>
    </row>
    <row r="408" spans="1:3" x14ac:dyDescent="0.3">
      <c r="A408" s="391">
        <v>41547</v>
      </c>
      <c r="B408" s="392">
        <v>101.24250000000001</v>
      </c>
      <c r="C408" s="393">
        <f>AVERAGE(B345:B408)</f>
        <v>101.95491875000002</v>
      </c>
    </row>
    <row r="409" spans="1:3" hidden="1" x14ac:dyDescent="0.3">
      <c r="A409" s="391">
        <v>41548</v>
      </c>
      <c r="B409" s="392">
        <v>101.2551</v>
      </c>
    </row>
    <row r="410" spans="1:3" hidden="1" x14ac:dyDescent="0.3">
      <c r="A410" s="391">
        <v>41549</v>
      </c>
      <c r="B410" s="392">
        <v>101.0722</v>
      </c>
    </row>
    <row r="411" spans="1:3" hidden="1" x14ac:dyDescent="0.3">
      <c r="A411" s="391">
        <v>41550</v>
      </c>
      <c r="B411" s="392">
        <v>101.0421</v>
      </c>
    </row>
    <row r="412" spans="1:3" hidden="1" x14ac:dyDescent="0.3">
      <c r="A412" s="391">
        <v>41551</v>
      </c>
      <c r="B412" s="392">
        <v>100.9285</v>
      </c>
    </row>
    <row r="413" spans="1:3" hidden="1" x14ac:dyDescent="0.3">
      <c r="A413" s="391">
        <v>41554</v>
      </c>
      <c r="B413" s="392">
        <v>100.95529999999999</v>
      </c>
    </row>
    <row r="414" spans="1:3" hidden="1" x14ac:dyDescent="0.3">
      <c r="A414" s="391">
        <v>41555</v>
      </c>
      <c r="B414" s="392">
        <v>101.0453</v>
      </c>
    </row>
    <row r="415" spans="1:3" hidden="1" x14ac:dyDescent="0.3">
      <c r="A415" s="391">
        <v>41556</v>
      </c>
      <c r="B415" s="392">
        <v>101.35509999999999</v>
      </c>
    </row>
    <row r="416" spans="1:3" hidden="1" x14ac:dyDescent="0.3">
      <c r="A416" s="391">
        <v>41557</v>
      </c>
      <c r="B416" s="392">
        <v>101.11969999999999</v>
      </c>
    </row>
    <row r="417" spans="1:2" hidden="1" x14ac:dyDescent="0.3">
      <c r="A417" s="391">
        <v>41558</v>
      </c>
      <c r="B417" s="392">
        <v>101.12439999999999</v>
      </c>
    </row>
    <row r="418" spans="1:2" hidden="1" x14ac:dyDescent="0.3">
      <c r="A418" s="391">
        <v>41562</v>
      </c>
      <c r="B418" s="392">
        <v>100.99639999999999</v>
      </c>
    </row>
    <row r="419" spans="1:2" hidden="1" x14ac:dyDescent="0.3">
      <c r="A419" s="391">
        <v>41563</v>
      </c>
      <c r="B419" s="392">
        <v>100.916</v>
      </c>
    </row>
    <row r="420" spans="1:2" hidden="1" x14ac:dyDescent="0.3">
      <c r="A420" s="391">
        <v>41564</v>
      </c>
      <c r="B420" s="392">
        <v>100.2627</v>
      </c>
    </row>
    <row r="421" spans="1:2" hidden="1" x14ac:dyDescent="0.3">
      <c r="A421" s="391">
        <v>41565</v>
      </c>
      <c r="B421" s="392">
        <v>100.2303</v>
      </c>
    </row>
    <row r="422" spans="1:2" hidden="1" x14ac:dyDescent="0.3">
      <c r="A422" s="391">
        <v>41568</v>
      </c>
      <c r="B422" s="392">
        <v>100.48480000000001</v>
      </c>
    </row>
    <row r="423" spans="1:2" hidden="1" x14ac:dyDescent="0.3">
      <c r="A423" s="391">
        <v>41569</v>
      </c>
      <c r="B423" s="392">
        <v>100.19759999999999</v>
      </c>
    </row>
    <row r="424" spans="1:2" hidden="1" x14ac:dyDescent="0.3">
      <c r="A424" s="391">
        <v>41570</v>
      </c>
      <c r="B424" s="392">
        <v>100.2975</v>
      </c>
    </row>
    <row r="425" spans="1:2" hidden="1" x14ac:dyDescent="0.3">
      <c r="A425" s="391">
        <v>41571</v>
      </c>
      <c r="B425" s="392">
        <v>100.3888</v>
      </c>
    </row>
    <row r="426" spans="1:2" hidden="1" x14ac:dyDescent="0.3">
      <c r="A426" s="391">
        <v>41572</v>
      </c>
      <c r="B426" s="392">
        <v>100.3541</v>
      </c>
    </row>
    <row r="427" spans="1:2" hidden="1" x14ac:dyDescent="0.3">
      <c r="A427" s="391">
        <v>41575</v>
      </c>
      <c r="B427" s="392">
        <v>100.38290000000001</v>
      </c>
    </row>
    <row r="428" spans="1:2" hidden="1" x14ac:dyDescent="0.3">
      <c r="A428" s="391">
        <v>41576</v>
      </c>
      <c r="B428" s="392">
        <v>100.5044</v>
      </c>
    </row>
    <row r="429" spans="1:2" hidden="1" x14ac:dyDescent="0.3">
      <c r="A429" s="391">
        <v>41577</v>
      </c>
      <c r="B429" s="392">
        <v>100.5098</v>
      </c>
    </row>
    <row r="430" spans="1:2" hidden="1" x14ac:dyDescent="0.3">
      <c r="A430" s="391">
        <v>41578</v>
      </c>
      <c r="B430" s="392">
        <v>100.9573</v>
      </c>
    </row>
    <row r="431" spans="1:2" hidden="1" x14ac:dyDescent="0.3">
      <c r="A431" s="391">
        <v>41579</v>
      </c>
      <c r="B431" s="392">
        <v>101.3904</v>
      </c>
    </row>
    <row r="432" spans="1:2" hidden="1" x14ac:dyDescent="0.3">
      <c r="A432" s="391">
        <v>41582</v>
      </c>
      <c r="B432" s="392">
        <v>101.1754</v>
      </c>
    </row>
    <row r="433" spans="1:2" hidden="1" x14ac:dyDescent="0.3">
      <c r="A433" s="391">
        <v>41583</v>
      </c>
      <c r="B433" s="392">
        <v>101.4592</v>
      </c>
    </row>
    <row r="434" spans="1:2" hidden="1" x14ac:dyDescent="0.3">
      <c r="A434" s="391">
        <v>41584</v>
      </c>
      <c r="B434" s="392">
        <v>101.3404</v>
      </c>
    </row>
    <row r="435" spans="1:2" hidden="1" x14ac:dyDescent="0.3">
      <c r="A435" s="391">
        <v>41585</v>
      </c>
      <c r="B435" s="392">
        <v>101.646</v>
      </c>
    </row>
    <row r="436" spans="1:2" hidden="1" x14ac:dyDescent="0.3">
      <c r="A436" s="391">
        <v>41586</v>
      </c>
      <c r="B436" s="392">
        <v>101.9044</v>
      </c>
    </row>
    <row r="437" spans="1:2" hidden="1" x14ac:dyDescent="0.3">
      <c r="A437" s="391">
        <v>41590</v>
      </c>
      <c r="B437" s="392">
        <v>102.026</v>
      </c>
    </row>
    <row r="438" spans="1:2" hidden="1" x14ac:dyDescent="0.3">
      <c r="A438" s="391">
        <v>41591</v>
      </c>
      <c r="B438" s="392">
        <v>101.7543</v>
      </c>
    </row>
    <row r="439" spans="1:2" hidden="1" x14ac:dyDescent="0.3">
      <c r="A439" s="391">
        <v>41592</v>
      </c>
      <c r="B439" s="392">
        <v>101.6932</v>
      </c>
    </row>
    <row r="440" spans="1:2" hidden="1" x14ac:dyDescent="0.3">
      <c r="A440" s="391">
        <v>41593</v>
      </c>
      <c r="B440" s="392">
        <v>101.5531</v>
      </c>
    </row>
    <row r="441" spans="1:2" hidden="1" x14ac:dyDescent="0.3">
      <c r="A441" s="391">
        <v>41596</v>
      </c>
      <c r="B441" s="392">
        <v>101.245</v>
      </c>
    </row>
    <row r="442" spans="1:2" hidden="1" x14ac:dyDescent="0.3">
      <c r="A442" s="391">
        <v>41597</v>
      </c>
      <c r="B442" s="392">
        <v>101.3259</v>
      </c>
    </row>
    <row r="443" spans="1:2" hidden="1" x14ac:dyDescent="0.3">
      <c r="A443" s="391">
        <v>41598</v>
      </c>
      <c r="B443" s="392">
        <v>101.529</v>
      </c>
    </row>
    <row r="444" spans="1:2" hidden="1" x14ac:dyDescent="0.3">
      <c r="A444" s="391">
        <v>41599</v>
      </c>
      <c r="B444" s="392">
        <v>101.84910000000001</v>
      </c>
    </row>
    <row r="445" spans="1:2" hidden="1" x14ac:dyDescent="0.3">
      <c r="A445" s="391">
        <v>41600</v>
      </c>
      <c r="B445" s="392">
        <v>101.69889999999999</v>
      </c>
    </row>
    <row r="446" spans="1:2" hidden="1" x14ac:dyDescent="0.3">
      <c r="A446" s="391">
        <v>41603</v>
      </c>
      <c r="B446" s="392">
        <v>101.82599999999999</v>
      </c>
    </row>
    <row r="447" spans="1:2" hidden="1" x14ac:dyDescent="0.3">
      <c r="A447" s="391">
        <v>41604</v>
      </c>
      <c r="B447" s="392">
        <v>101.80970000000001</v>
      </c>
    </row>
    <row r="448" spans="1:2" hidden="1" x14ac:dyDescent="0.3">
      <c r="A448" s="391">
        <v>41605</v>
      </c>
      <c r="B448" s="392">
        <v>101.988</v>
      </c>
    </row>
    <row r="449" spans="1:2" hidden="1" x14ac:dyDescent="0.3">
      <c r="A449" s="391">
        <v>41607</v>
      </c>
      <c r="B449" s="392">
        <v>101.93819999999999</v>
      </c>
    </row>
    <row r="450" spans="1:2" hidden="1" x14ac:dyDescent="0.3">
      <c r="A450" s="391">
        <v>41610</v>
      </c>
      <c r="B450" s="392">
        <v>102.1892</v>
      </c>
    </row>
    <row r="451" spans="1:2" hidden="1" x14ac:dyDescent="0.3">
      <c r="A451" s="391">
        <v>41611</v>
      </c>
      <c r="B451" s="392">
        <v>102.1301</v>
      </c>
    </row>
    <row r="452" spans="1:2" hidden="1" x14ac:dyDescent="0.3">
      <c r="A452" s="391">
        <v>41612</v>
      </c>
      <c r="B452" s="392">
        <v>102.1956</v>
      </c>
    </row>
    <row r="453" spans="1:2" hidden="1" x14ac:dyDescent="0.3">
      <c r="A453" s="391">
        <v>41613</v>
      </c>
      <c r="B453" s="392">
        <v>101.7861</v>
      </c>
    </row>
    <row r="454" spans="1:2" hidden="1" x14ac:dyDescent="0.3">
      <c r="A454" s="391">
        <v>41614</v>
      </c>
      <c r="B454" s="392">
        <v>101.6772</v>
      </c>
    </row>
    <row r="455" spans="1:2" hidden="1" x14ac:dyDescent="0.3">
      <c r="A455" s="391">
        <v>41617</v>
      </c>
      <c r="B455" s="392">
        <v>101.4011</v>
      </c>
    </row>
    <row r="456" spans="1:2" hidden="1" x14ac:dyDescent="0.3">
      <c r="A456" s="391">
        <v>41618</v>
      </c>
      <c r="B456" s="392">
        <v>101.33799999999999</v>
      </c>
    </row>
    <row r="457" spans="1:2" hidden="1" x14ac:dyDescent="0.3">
      <c r="A457" s="391">
        <v>41619</v>
      </c>
      <c r="B457" s="392">
        <v>101.35590000000001</v>
      </c>
    </row>
    <row r="458" spans="1:2" hidden="1" x14ac:dyDescent="0.3">
      <c r="A458" s="391">
        <v>41620</v>
      </c>
      <c r="B458" s="392">
        <v>101.6964</v>
      </c>
    </row>
    <row r="459" spans="1:2" hidden="1" x14ac:dyDescent="0.3">
      <c r="A459" s="391">
        <v>41621</v>
      </c>
      <c r="B459" s="392">
        <v>101.63200000000001</v>
      </c>
    </row>
    <row r="460" spans="1:2" hidden="1" x14ac:dyDescent="0.3">
      <c r="A460" s="391">
        <v>41624</v>
      </c>
      <c r="B460" s="392">
        <v>101.4982</v>
      </c>
    </row>
    <row r="461" spans="1:2" hidden="1" x14ac:dyDescent="0.3">
      <c r="A461" s="391">
        <v>41625</v>
      </c>
      <c r="B461" s="392">
        <v>101.5727</v>
      </c>
    </row>
    <row r="462" spans="1:2" hidden="1" x14ac:dyDescent="0.3">
      <c r="A462" s="391">
        <v>41626</v>
      </c>
      <c r="B462" s="392">
        <v>101.7045</v>
      </c>
    </row>
    <row r="463" spans="1:2" hidden="1" x14ac:dyDescent="0.3">
      <c r="A463" s="391">
        <v>41627</v>
      </c>
      <c r="B463" s="392">
        <v>102.0389</v>
      </c>
    </row>
    <row r="464" spans="1:2" hidden="1" x14ac:dyDescent="0.3">
      <c r="A464" s="391">
        <v>41628</v>
      </c>
      <c r="B464" s="392">
        <v>102.02500000000001</v>
      </c>
    </row>
    <row r="465" spans="1:3" hidden="1" x14ac:dyDescent="0.3">
      <c r="A465" s="391">
        <v>41631</v>
      </c>
      <c r="B465" s="392">
        <v>101.8811</v>
      </c>
    </row>
    <row r="466" spans="1:3" hidden="1" x14ac:dyDescent="0.3">
      <c r="A466" s="391">
        <v>41632</v>
      </c>
      <c r="B466" s="392">
        <v>101.9863</v>
      </c>
    </row>
    <row r="467" spans="1:3" hidden="1" x14ac:dyDescent="0.3">
      <c r="A467" s="391">
        <v>41634</v>
      </c>
      <c r="B467" s="392">
        <v>102.08240000000001</v>
      </c>
    </row>
    <row r="468" spans="1:3" hidden="1" x14ac:dyDescent="0.3">
      <c r="A468" s="391">
        <v>41635</v>
      </c>
      <c r="B468" s="392">
        <v>102.0068</v>
      </c>
    </row>
    <row r="469" spans="1:3" hidden="1" x14ac:dyDescent="0.3">
      <c r="A469" s="391">
        <v>41638</v>
      </c>
      <c r="B469" s="392">
        <v>101.7971</v>
      </c>
    </row>
    <row r="470" spans="1:3" x14ac:dyDescent="0.3">
      <c r="A470" s="391">
        <v>41639</v>
      </c>
      <c r="B470" s="392">
        <v>101.85899999999999</v>
      </c>
      <c r="C470" s="393">
        <f>AVERAGE(B409:B470)</f>
        <v>101.37719516129027</v>
      </c>
    </row>
    <row r="471" spans="1:3" hidden="1" x14ac:dyDescent="0.3">
      <c r="A471" s="391">
        <v>41641</v>
      </c>
      <c r="B471" s="392">
        <v>102.1103</v>
      </c>
    </row>
    <row r="472" spans="1:3" hidden="1" x14ac:dyDescent="0.3">
      <c r="A472" s="391">
        <v>41642</v>
      </c>
      <c r="B472" s="392">
        <v>102.15479999999999</v>
      </c>
    </row>
    <row r="473" spans="1:3" hidden="1" x14ac:dyDescent="0.3">
      <c r="A473" s="391">
        <v>41645</v>
      </c>
      <c r="B473" s="392">
        <v>102.2205</v>
      </c>
    </row>
    <row r="474" spans="1:3" hidden="1" x14ac:dyDescent="0.3">
      <c r="A474" s="391">
        <v>41646</v>
      </c>
      <c r="B474" s="392">
        <v>102.3396</v>
      </c>
    </row>
    <row r="475" spans="1:3" hidden="1" x14ac:dyDescent="0.3">
      <c r="A475" s="391">
        <v>41647</v>
      </c>
      <c r="B475" s="392">
        <v>102.5153</v>
      </c>
    </row>
    <row r="476" spans="1:3" hidden="1" x14ac:dyDescent="0.3">
      <c r="A476" s="391">
        <v>41648</v>
      </c>
      <c r="B476" s="392">
        <v>102.6219</v>
      </c>
    </row>
    <row r="477" spans="1:3" hidden="1" x14ac:dyDescent="0.3">
      <c r="A477" s="391">
        <v>41649</v>
      </c>
      <c r="B477" s="392">
        <v>102.2769</v>
      </c>
    </row>
    <row r="478" spans="1:3" hidden="1" x14ac:dyDescent="0.3">
      <c r="A478" s="391">
        <v>41652</v>
      </c>
      <c r="B478" s="392">
        <v>102.15479999999999</v>
      </c>
    </row>
    <row r="479" spans="1:3" hidden="1" x14ac:dyDescent="0.3">
      <c r="A479" s="391">
        <v>41653</v>
      </c>
      <c r="B479" s="392">
        <v>102.28400000000001</v>
      </c>
    </row>
    <row r="480" spans="1:3" hidden="1" x14ac:dyDescent="0.3">
      <c r="A480" s="391">
        <v>41654</v>
      </c>
      <c r="B480" s="392">
        <v>102.6096</v>
      </c>
    </row>
    <row r="481" spans="1:2" hidden="1" x14ac:dyDescent="0.3">
      <c r="A481" s="391">
        <v>41655</v>
      </c>
      <c r="B481" s="392">
        <v>102.8309</v>
      </c>
    </row>
    <row r="482" spans="1:2" hidden="1" x14ac:dyDescent="0.3">
      <c r="A482" s="391">
        <v>41656</v>
      </c>
      <c r="B482" s="392">
        <v>102.86709999999999</v>
      </c>
    </row>
    <row r="483" spans="1:2" hidden="1" x14ac:dyDescent="0.3">
      <c r="A483" s="391">
        <v>41660</v>
      </c>
      <c r="B483" s="392">
        <v>102.988</v>
      </c>
    </row>
    <row r="484" spans="1:2" hidden="1" x14ac:dyDescent="0.3">
      <c r="A484" s="391">
        <v>41661</v>
      </c>
      <c r="B484" s="392">
        <v>103.1598</v>
      </c>
    </row>
    <row r="485" spans="1:2" hidden="1" x14ac:dyDescent="0.3">
      <c r="A485" s="391">
        <v>41662</v>
      </c>
      <c r="B485" s="392">
        <v>103.17019999999999</v>
      </c>
    </row>
    <row r="486" spans="1:2" hidden="1" x14ac:dyDescent="0.3">
      <c r="A486" s="391">
        <v>41663</v>
      </c>
      <c r="B486" s="392">
        <v>103.1923</v>
      </c>
    </row>
    <row r="487" spans="1:2" hidden="1" x14ac:dyDescent="0.3">
      <c r="A487" s="391">
        <v>41666</v>
      </c>
      <c r="B487" s="392">
        <v>103.2561</v>
      </c>
    </row>
    <row r="488" spans="1:2" hidden="1" x14ac:dyDescent="0.3">
      <c r="A488" s="391">
        <v>41667</v>
      </c>
      <c r="B488" s="392">
        <v>103.2212</v>
      </c>
    </row>
    <row r="489" spans="1:2" hidden="1" x14ac:dyDescent="0.3">
      <c r="A489" s="391">
        <v>41668</v>
      </c>
      <c r="B489" s="392">
        <v>103.20650000000001</v>
      </c>
    </row>
    <row r="490" spans="1:2" hidden="1" x14ac:dyDescent="0.3">
      <c r="A490" s="391">
        <v>41669</v>
      </c>
      <c r="B490" s="392">
        <v>103.47839999999999</v>
      </c>
    </row>
    <row r="491" spans="1:2" hidden="1" x14ac:dyDescent="0.3">
      <c r="A491" s="391">
        <v>41670</v>
      </c>
      <c r="B491" s="392">
        <v>103.5382</v>
      </c>
    </row>
    <row r="492" spans="1:2" hidden="1" x14ac:dyDescent="0.3">
      <c r="A492" s="391">
        <v>41673</v>
      </c>
      <c r="B492" s="392">
        <v>103.6114</v>
      </c>
    </row>
    <row r="493" spans="1:2" hidden="1" x14ac:dyDescent="0.3">
      <c r="A493" s="391">
        <v>41674</v>
      </c>
      <c r="B493" s="392">
        <v>103.3946</v>
      </c>
    </row>
    <row r="494" spans="1:2" hidden="1" x14ac:dyDescent="0.3">
      <c r="A494" s="391">
        <v>41675</v>
      </c>
      <c r="B494" s="392">
        <v>103.36360000000001</v>
      </c>
    </row>
    <row r="495" spans="1:2" hidden="1" x14ac:dyDescent="0.3">
      <c r="A495" s="391">
        <v>41676</v>
      </c>
      <c r="B495" s="392">
        <v>103.0534</v>
      </c>
    </row>
    <row r="496" spans="1:2" hidden="1" x14ac:dyDescent="0.3">
      <c r="A496" s="391">
        <v>41677</v>
      </c>
      <c r="B496" s="392">
        <v>103.0979</v>
      </c>
    </row>
    <row r="497" spans="1:2" hidden="1" x14ac:dyDescent="0.3">
      <c r="A497" s="391">
        <v>41680</v>
      </c>
      <c r="B497" s="392">
        <v>103.0635</v>
      </c>
    </row>
    <row r="498" spans="1:2" hidden="1" x14ac:dyDescent="0.3">
      <c r="A498" s="391">
        <v>41681</v>
      </c>
      <c r="B498" s="392">
        <v>102.9863</v>
      </c>
    </row>
    <row r="499" spans="1:2" hidden="1" x14ac:dyDescent="0.3">
      <c r="A499" s="391">
        <v>41682</v>
      </c>
      <c r="B499" s="392">
        <v>102.97320000000001</v>
      </c>
    </row>
    <row r="500" spans="1:2" hidden="1" x14ac:dyDescent="0.3">
      <c r="A500" s="391">
        <v>41683</v>
      </c>
      <c r="B500" s="392">
        <v>102.8824</v>
      </c>
    </row>
    <row r="501" spans="1:2" hidden="1" x14ac:dyDescent="0.3">
      <c r="A501" s="391">
        <v>41684</v>
      </c>
      <c r="B501" s="392">
        <v>102.63630000000001</v>
      </c>
    </row>
    <row r="502" spans="1:2" hidden="1" x14ac:dyDescent="0.3">
      <c r="A502" s="391">
        <v>41688</v>
      </c>
      <c r="B502" s="392">
        <v>102.5705</v>
      </c>
    </row>
    <row r="503" spans="1:2" hidden="1" x14ac:dyDescent="0.3">
      <c r="A503" s="391">
        <v>41689</v>
      </c>
      <c r="B503" s="392">
        <v>102.76439999999999</v>
      </c>
    </row>
    <row r="504" spans="1:2" hidden="1" x14ac:dyDescent="0.3">
      <c r="A504" s="391">
        <v>41690</v>
      </c>
      <c r="B504" s="392">
        <v>103.0535</v>
      </c>
    </row>
    <row r="505" spans="1:2" hidden="1" x14ac:dyDescent="0.3">
      <c r="A505" s="391">
        <v>41691</v>
      </c>
      <c r="B505" s="392">
        <v>103.02970000000001</v>
      </c>
    </row>
    <row r="506" spans="1:2" hidden="1" x14ac:dyDescent="0.3">
      <c r="A506" s="391">
        <v>41694</v>
      </c>
      <c r="B506" s="392">
        <v>102.80970000000001</v>
      </c>
    </row>
    <row r="507" spans="1:2" hidden="1" x14ac:dyDescent="0.3">
      <c r="A507" s="391">
        <v>41695</v>
      </c>
      <c r="B507" s="392">
        <v>102.91549999999999</v>
      </c>
    </row>
    <row r="508" spans="1:2" hidden="1" x14ac:dyDescent="0.3">
      <c r="A508" s="391">
        <v>41696</v>
      </c>
      <c r="B508" s="392">
        <v>103.212</v>
      </c>
    </row>
    <row r="509" spans="1:2" hidden="1" x14ac:dyDescent="0.3">
      <c r="A509" s="391">
        <v>41697</v>
      </c>
      <c r="B509" s="392">
        <v>103.12220000000001</v>
      </c>
    </row>
    <row r="510" spans="1:2" hidden="1" x14ac:dyDescent="0.3">
      <c r="A510" s="391">
        <v>41698</v>
      </c>
      <c r="B510" s="392">
        <v>102.85550000000001</v>
      </c>
    </row>
    <row r="511" spans="1:2" hidden="1" x14ac:dyDescent="0.3">
      <c r="A511" s="391">
        <v>41701</v>
      </c>
      <c r="B511" s="392">
        <v>103.0763</v>
      </c>
    </row>
    <row r="512" spans="1:2" hidden="1" x14ac:dyDescent="0.3">
      <c r="A512" s="391">
        <v>41702</v>
      </c>
      <c r="B512" s="392">
        <v>103.1185</v>
      </c>
    </row>
    <row r="513" spans="1:2" hidden="1" x14ac:dyDescent="0.3">
      <c r="A513" s="391">
        <v>41703</v>
      </c>
      <c r="B513" s="392">
        <v>102.92440000000001</v>
      </c>
    </row>
    <row r="514" spans="1:2" hidden="1" x14ac:dyDescent="0.3">
      <c r="A514" s="391">
        <v>41704</v>
      </c>
      <c r="B514" s="392">
        <v>102.4346</v>
      </c>
    </row>
    <row r="515" spans="1:2" hidden="1" x14ac:dyDescent="0.3">
      <c r="A515" s="391">
        <v>41705</v>
      </c>
      <c r="B515" s="392">
        <v>102.7033</v>
      </c>
    </row>
    <row r="516" spans="1:2" hidden="1" x14ac:dyDescent="0.3">
      <c r="A516" s="391">
        <v>41708</v>
      </c>
      <c r="B516" s="392">
        <v>102.8321</v>
      </c>
    </row>
    <row r="517" spans="1:2" hidden="1" x14ac:dyDescent="0.3">
      <c r="A517" s="391">
        <v>41709</v>
      </c>
      <c r="B517" s="392">
        <v>102.85129999999999</v>
      </c>
    </row>
    <row r="518" spans="1:2" hidden="1" x14ac:dyDescent="0.3">
      <c r="A518" s="391">
        <v>41710</v>
      </c>
      <c r="B518" s="392">
        <v>102.9306</v>
      </c>
    </row>
    <row r="519" spans="1:2" hidden="1" x14ac:dyDescent="0.3">
      <c r="A519" s="391">
        <v>41711</v>
      </c>
      <c r="B519" s="392">
        <v>102.6533</v>
      </c>
    </row>
    <row r="520" spans="1:2" hidden="1" x14ac:dyDescent="0.3">
      <c r="A520" s="391">
        <v>41712</v>
      </c>
      <c r="B520" s="392">
        <v>102.7204</v>
      </c>
    </row>
    <row r="521" spans="1:2" hidden="1" x14ac:dyDescent="0.3">
      <c r="A521" s="391">
        <v>41715</v>
      </c>
      <c r="B521" s="392">
        <v>102.6943</v>
      </c>
    </row>
    <row r="522" spans="1:2" hidden="1" x14ac:dyDescent="0.3">
      <c r="A522" s="391">
        <v>41716</v>
      </c>
      <c r="B522" s="392">
        <v>102.77200000000001</v>
      </c>
    </row>
    <row r="523" spans="1:2" hidden="1" x14ac:dyDescent="0.3">
      <c r="A523" s="391">
        <v>41717</v>
      </c>
      <c r="B523" s="392">
        <v>102.879</v>
      </c>
    </row>
    <row r="524" spans="1:2" hidden="1" x14ac:dyDescent="0.3">
      <c r="A524" s="391">
        <v>41718</v>
      </c>
      <c r="B524" s="392">
        <v>103.5496</v>
      </c>
    </row>
    <row r="525" spans="1:2" hidden="1" x14ac:dyDescent="0.3">
      <c r="A525" s="391">
        <v>41719</v>
      </c>
      <c r="B525" s="392">
        <v>103.4122</v>
      </c>
    </row>
    <row r="526" spans="1:2" hidden="1" x14ac:dyDescent="0.3">
      <c r="A526" s="391">
        <v>41722</v>
      </c>
      <c r="B526" s="392">
        <v>103.2731</v>
      </c>
    </row>
    <row r="527" spans="1:2" hidden="1" x14ac:dyDescent="0.3">
      <c r="A527" s="391">
        <v>41723</v>
      </c>
      <c r="B527" s="392">
        <v>103.1549</v>
      </c>
    </row>
    <row r="528" spans="1:2" hidden="1" x14ac:dyDescent="0.3">
      <c r="A528" s="391">
        <v>41724</v>
      </c>
      <c r="B528" s="392">
        <v>103.0579</v>
      </c>
    </row>
    <row r="529" spans="1:3" hidden="1" x14ac:dyDescent="0.3">
      <c r="A529" s="391">
        <v>41725</v>
      </c>
      <c r="B529" s="392">
        <v>102.87869999999999</v>
      </c>
    </row>
    <row r="530" spans="1:3" hidden="1" x14ac:dyDescent="0.3">
      <c r="A530" s="391">
        <v>41726</v>
      </c>
      <c r="B530" s="392">
        <v>102.9109</v>
      </c>
    </row>
    <row r="531" spans="1:3" x14ac:dyDescent="0.3">
      <c r="A531" s="391">
        <v>41729</v>
      </c>
      <c r="B531" s="392">
        <v>102.7788</v>
      </c>
      <c r="C531" s="393">
        <f>AVERAGE(B471:B531)</f>
        <v>102.90488852459015</v>
      </c>
    </row>
    <row r="532" spans="1:3" hidden="1" x14ac:dyDescent="0.3">
      <c r="A532" s="391">
        <v>41730</v>
      </c>
      <c r="B532" s="392">
        <v>102.6357</v>
      </c>
    </row>
    <row r="533" spans="1:3" hidden="1" x14ac:dyDescent="0.3">
      <c r="A533" s="391">
        <v>41731</v>
      </c>
      <c r="B533" s="392">
        <v>102.8309</v>
      </c>
    </row>
    <row r="534" spans="1:3" hidden="1" x14ac:dyDescent="0.3">
      <c r="A534" s="391">
        <v>41732</v>
      </c>
      <c r="B534" s="392">
        <v>103.0416</v>
      </c>
    </row>
    <row r="535" spans="1:3" hidden="1" x14ac:dyDescent="0.3">
      <c r="A535" s="391">
        <v>41733</v>
      </c>
      <c r="B535" s="392">
        <v>102.7456</v>
      </c>
    </row>
    <row r="536" spans="1:3" hidden="1" x14ac:dyDescent="0.3">
      <c r="A536" s="391">
        <v>41736</v>
      </c>
      <c r="B536" s="392">
        <v>102.6225</v>
      </c>
    </row>
    <row r="537" spans="1:3" hidden="1" x14ac:dyDescent="0.3">
      <c r="A537" s="391">
        <v>41737</v>
      </c>
      <c r="B537" s="392">
        <v>102.175</v>
      </c>
    </row>
    <row r="538" spans="1:3" hidden="1" x14ac:dyDescent="0.3">
      <c r="A538" s="391">
        <v>41738</v>
      </c>
      <c r="B538" s="392">
        <v>102.1842</v>
      </c>
    </row>
    <row r="539" spans="1:3" hidden="1" x14ac:dyDescent="0.3">
      <c r="A539" s="391">
        <v>41739</v>
      </c>
      <c r="B539" s="392">
        <v>102.0372</v>
      </c>
    </row>
    <row r="540" spans="1:3" hidden="1" x14ac:dyDescent="0.3">
      <c r="A540" s="391">
        <v>41740</v>
      </c>
      <c r="B540" s="392">
        <v>102.15989999999999</v>
      </c>
    </row>
    <row r="541" spans="1:3" hidden="1" x14ac:dyDescent="0.3">
      <c r="A541" s="391">
        <v>41743</v>
      </c>
      <c r="B541" s="392">
        <v>102.34829999999999</v>
      </c>
    </row>
    <row r="542" spans="1:3" hidden="1" x14ac:dyDescent="0.3">
      <c r="A542" s="391">
        <v>41744</v>
      </c>
      <c r="B542" s="392">
        <v>102.4997</v>
      </c>
    </row>
    <row r="543" spans="1:3" hidden="1" x14ac:dyDescent="0.3">
      <c r="A543" s="391">
        <v>41745</v>
      </c>
      <c r="B543" s="392">
        <v>102.4897</v>
      </c>
    </row>
    <row r="544" spans="1:3" hidden="1" x14ac:dyDescent="0.3">
      <c r="A544" s="391">
        <v>41746</v>
      </c>
      <c r="B544" s="392">
        <v>102.4285</v>
      </c>
    </row>
    <row r="545" spans="1:2" hidden="1" x14ac:dyDescent="0.3">
      <c r="A545" s="391">
        <v>41747</v>
      </c>
      <c r="B545" s="392">
        <v>102.4996</v>
      </c>
    </row>
    <row r="546" spans="1:2" hidden="1" x14ac:dyDescent="0.3">
      <c r="A546" s="391">
        <v>41750</v>
      </c>
      <c r="B546" s="392">
        <v>102.5825</v>
      </c>
    </row>
    <row r="547" spans="1:2" hidden="1" x14ac:dyDescent="0.3">
      <c r="A547" s="391">
        <v>41751</v>
      </c>
      <c r="B547" s="392">
        <v>102.6511</v>
      </c>
    </row>
    <row r="548" spans="1:2" hidden="1" x14ac:dyDescent="0.3">
      <c r="A548" s="391">
        <v>41752</v>
      </c>
      <c r="B548" s="392">
        <v>102.71639999999999</v>
      </c>
    </row>
    <row r="549" spans="1:2" hidden="1" x14ac:dyDescent="0.3">
      <c r="A549" s="391">
        <v>41753</v>
      </c>
      <c r="B549" s="392">
        <v>102.7139</v>
      </c>
    </row>
    <row r="550" spans="1:2" hidden="1" x14ac:dyDescent="0.3">
      <c r="A550" s="391">
        <v>41754</v>
      </c>
      <c r="B550" s="392">
        <v>102.7586</v>
      </c>
    </row>
    <row r="551" spans="1:2" hidden="1" x14ac:dyDescent="0.3">
      <c r="A551" s="391">
        <v>41757</v>
      </c>
      <c r="B551" s="392">
        <v>102.7247</v>
      </c>
    </row>
    <row r="552" spans="1:2" hidden="1" x14ac:dyDescent="0.3">
      <c r="A552" s="391">
        <v>41758</v>
      </c>
      <c r="B552" s="392">
        <v>102.6219</v>
      </c>
    </row>
    <row r="553" spans="1:2" hidden="1" x14ac:dyDescent="0.3">
      <c r="A553" s="391">
        <v>41759</v>
      </c>
      <c r="B553" s="392">
        <v>102.4924</v>
      </c>
    </row>
    <row r="554" spans="1:2" hidden="1" x14ac:dyDescent="0.3">
      <c r="A554" s="391">
        <v>41760</v>
      </c>
      <c r="B554" s="392">
        <v>102.47280000000001</v>
      </c>
    </row>
    <row r="555" spans="1:2" hidden="1" x14ac:dyDescent="0.3">
      <c r="A555" s="391">
        <v>41761</v>
      </c>
      <c r="B555" s="392">
        <v>102.41679999999999</v>
      </c>
    </row>
    <row r="556" spans="1:2" hidden="1" x14ac:dyDescent="0.3">
      <c r="A556" s="391">
        <v>41764</v>
      </c>
      <c r="B556" s="392">
        <v>102.3125</v>
      </c>
    </row>
    <row r="557" spans="1:2" hidden="1" x14ac:dyDescent="0.3">
      <c r="A557" s="391">
        <v>41765</v>
      </c>
      <c r="B557" s="392">
        <v>101.9957</v>
      </c>
    </row>
    <row r="558" spans="1:2" hidden="1" x14ac:dyDescent="0.3">
      <c r="A558" s="391">
        <v>41766</v>
      </c>
      <c r="B558" s="392">
        <v>101.9927</v>
      </c>
    </row>
    <row r="559" spans="1:2" hidden="1" x14ac:dyDescent="0.3">
      <c r="A559" s="391">
        <v>41767</v>
      </c>
      <c r="B559" s="392">
        <v>101.91930000000001</v>
      </c>
    </row>
    <row r="560" spans="1:2" hidden="1" x14ac:dyDescent="0.3">
      <c r="A560" s="391">
        <v>41768</v>
      </c>
      <c r="B560" s="392">
        <v>102.2056</v>
      </c>
    </row>
    <row r="561" spans="1:2" hidden="1" x14ac:dyDescent="0.3">
      <c r="A561" s="391">
        <v>41771</v>
      </c>
      <c r="B561" s="392">
        <v>102.2119</v>
      </c>
    </row>
    <row r="562" spans="1:2" hidden="1" x14ac:dyDescent="0.3">
      <c r="A562" s="391">
        <v>41772</v>
      </c>
      <c r="B562" s="392">
        <v>102.2137</v>
      </c>
    </row>
    <row r="563" spans="1:2" hidden="1" x14ac:dyDescent="0.3">
      <c r="A563" s="391">
        <v>41773</v>
      </c>
      <c r="B563" s="392">
        <v>102.1208</v>
      </c>
    </row>
    <row r="564" spans="1:2" hidden="1" x14ac:dyDescent="0.3">
      <c r="A564" s="391">
        <v>41774</v>
      </c>
      <c r="B564" s="392">
        <v>102.2371</v>
      </c>
    </row>
    <row r="565" spans="1:2" hidden="1" x14ac:dyDescent="0.3">
      <c r="A565" s="391">
        <v>41775</v>
      </c>
      <c r="B565" s="392">
        <v>102.1418</v>
      </c>
    </row>
    <row r="566" spans="1:2" hidden="1" x14ac:dyDescent="0.3">
      <c r="A566" s="391">
        <v>41778</v>
      </c>
      <c r="B566" s="392">
        <v>102.0334</v>
      </c>
    </row>
    <row r="567" spans="1:2" hidden="1" x14ac:dyDescent="0.3">
      <c r="A567" s="391">
        <v>41779</v>
      </c>
      <c r="B567" s="392">
        <v>102.2064</v>
      </c>
    </row>
    <row r="568" spans="1:2" hidden="1" x14ac:dyDescent="0.3">
      <c r="A568" s="391">
        <v>41780</v>
      </c>
      <c r="B568" s="392">
        <v>102.28879999999999</v>
      </c>
    </row>
    <row r="569" spans="1:2" hidden="1" x14ac:dyDescent="0.3">
      <c r="A569" s="391">
        <v>41781</v>
      </c>
      <c r="B569" s="392">
        <v>102.2243</v>
      </c>
    </row>
    <row r="570" spans="1:2" hidden="1" x14ac:dyDescent="0.3">
      <c r="A570" s="391">
        <v>41782</v>
      </c>
      <c r="B570" s="392">
        <v>102.2355</v>
      </c>
    </row>
    <row r="571" spans="1:2" hidden="1" x14ac:dyDescent="0.3">
      <c r="A571" s="391">
        <v>41786</v>
      </c>
      <c r="B571" s="392">
        <v>102.3892</v>
      </c>
    </row>
    <row r="572" spans="1:2" hidden="1" x14ac:dyDescent="0.3">
      <c r="A572" s="391">
        <v>41787</v>
      </c>
      <c r="B572" s="392">
        <v>102.42789999999999</v>
      </c>
    </row>
    <row r="573" spans="1:2" hidden="1" x14ac:dyDescent="0.3">
      <c r="A573" s="391">
        <v>41788</v>
      </c>
      <c r="B573" s="392">
        <v>102.2308</v>
      </c>
    </row>
    <row r="574" spans="1:2" hidden="1" x14ac:dyDescent="0.3">
      <c r="A574" s="391">
        <v>41789</v>
      </c>
      <c r="B574" s="392">
        <v>102.31440000000001</v>
      </c>
    </row>
    <row r="575" spans="1:2" hidden="1" x14ac:dyDescent="0.3">
      <c r="A575" s="391">
        <v>41792</v>
      </c>
      <c r="B575" s="392">
        <v>102.55970000000001</v>
      </c>
    </row>
    <row r="576" spans="1:2" hidden="1" x14ac:dyDescent="0.3">
      <c r="A576" s="391">
        <v>41793</v>
      </c>
      <c r="B576" s="392">
        <v>102.61669999999999</v>
      </c>
    </row>
    <row r="577" spans="1:2" hidden="1" x14ac:dyDescent="0.3">
      <c r="A577" s="391">
        <v>41794</v>
      </c>
      <c r="B577" s="392">
        <v>102.6845</v>
      </c>
    </row>
    <row r="578" spans="1:2" hidden="1" x14ac:dyDescent="0.3">
      <c r="A578" s="391">
        <v>41795</v>
      </c>
      <c r="B578" s="392">
        <v>102.532</v>
      </c>
    </row>
    <row r="579" spans="1:2" hidden="1" x14ac:dyDescent="0.3">
      <c r="A579" s="391">
        <v>41796</v>
      </c>
      <c r="B579" s="392">
        <v>102.4483</v>
      </c>
    </row>
    <row r="580" spans="1:2" hidden="1" x14ac:dyDescent="0.3">
      <c r="A580" s="391">
        <v>41799</v>
      </c>
      <c r="B580" s="392">
        <v>102.4897</v>
      </c>
    </row>
    <row r="581" spans="1:2" hidden="1" x14ac:dyDescent="0.3">
      <c r="A581" s="391">
        <v>41800</v>
      </c>
      <c r="B581" s="392">
        <v>102.575</v>
      </c>
    </row>
    <row r="582" spans="1:2" hidden="1" x14ac:dyDescent="0.3">
      <c r="A582" s="391">
        <v>41801</v>
      </c>
      <c r="B582" s="392">
        <v>102.49720000000001</v>
      </c>
    </row>
    <row r="583" spans="1:2" hidden="1" x14ac:dyDescent="0.3">
      <c r="A583" s="391">
        <v>41802</v>
      </c>
      <c r="B583" s="392">
        <v>102.3312</v>
      </c>
    </row>
    <row r="584" spans="1:2" hidden="1" x14ac:dyDescent="0.3">
      <c r="A584" s="391">
        <v>41803</v>
      </c>
      <c r="B584" s="392">
        <v>102.43300000000001</v>
      </c>
    </row>
    <row r="585" spans="1:2" hidden="1" x14ac:dyDescent="0.3">
      <c r="A585" s="391">
        <v>41806</v>
      </c>
      <c r="B585" s="392">
        <v>102.4098</v>
      </c>
    </row>
    <row r="586" spans="1:2" hidden="1" x14ac:dyDescent="0.3">
      <c r="A586" s="391">
        <v>41807</v>
      </c>
      <c r="B586" s="392">
        <v>102.64</v>
      </c>
    </row>
    <row r="587" spans="1:2" hidden="1" x14ac:dyDescent="0.3">
      <c r="A587" s="391">
        <v>41808</v>
      </c>
      <c r="B587" s="392">
        <v>102.6083</v>
      </c>
    </row>
    <row r="588" spans="1:2" hidden="1" x14ac:dyDescent="0.3">
      <c r="A588" s="391">
        <v>41809</v>
      </c>
      <c r="B588" s="392">
        <v>102.3019</v>
      </c>
    </row>
    <row r="589" spans="1:2" hidden="1" x14ac:dyDescent="0.3">
      <c r="A589" s="391">
        <v>41810</v>
      </c>
      <c r="B589" s="392">
        <v>102.3164</v>
      </c>
    </row>
    <row r="590" spans="1:2" hidden="1" x14ac:dyDescent="0.3">
      <c r="A590" s="391">
        <v>41813</v>
      </c>
      <c r="B590" s="392">
        <v>102.1785</v>
      </c>
    </row>
    <row r="591" spans="1:2" hidden="1" x14ac:dyDescent="0.3">
      <c r="A591" s="391">
        <v>41814</v>
      </c>
      <c r="B591" s="392">
        <v>102.2522</v>
      </c>
    </row>
    <row r="592" spans="1:2" hidden="1" x14ac:dyDescent="0.3">
      <c r="A592" s="391">
        <v>41815</v>
      </c>
      <c r="B592" s="392">
        <v>102.1417</v>
      </c>
    </row>
    <row r="593" spans="1:3" hidden="1" x14ac:dyDescent="0.3">
      <c r="A593" s="391">
        <v>41816</v>
      </c>
      <c r="B593" s="392">
        <v>102.09099999999999</v>
      </c>
    </row>
    <row r="594" spans="1:3" hidden="1" x14ac:dyDescent="0.3">
      <c r="A594" s="391">
        <v>41817</v>
      </c>
      <c r="B594" s="392">
        <v>101.9323</v>
      </c>
    </row>
    <row r="595" spans="1:3" x14ac:dyDescent="0.3">
      <c r="A595" s="391">
        <v>41820</v>
      </c>
      <c r="B595" s="392">
        <v>101.72880000000001</v>
      </c>
      <c r="C595" s="393">
        <f>AVERAGE(B532:B595)</f>
        <v>102.37999218750001</v>
      </c>
    </row>
    <row r="596" spans="1:3" hidden="1" x14ac:dyDescent="0.3">
      <c r="A596" s="391">
        <v>41821</v>
      </c>
      <c r="B596" s="392">
        <v>101.6677</v>
      </c>
    </row>
    <row r="597" spans="1:3" hidden="1" x14ac:dyDescent="0.3">
      <c r="A597" s="391">
        <v>41822</v>
      </c>
      <c r="B597" s="392">
        <v>101.7916</v>
      </c>
    </row>
    <row r="598" spans="1:3" hidden="1" x14ac:dyDescent="0.3">
      <c r="A598" s="391">
        <v>41823</v>
      </c>
      <c r="B598" s="392">
        <v>101.86</v>
      </c>
    </row>
    <row r="599" spans="1:3" hidden="1" x14ac:dyDescent="0.3">
      <c r="A599" s="391">
        <v>41827</v>
      </c>
      <c r="B599" s="392">
        <v>101.9126</v>
      </c>
    </row>
    <row r="600" spans="1:3" hidden="1" x14ac:dyDescent="0.3">
      <c r="A600" s="391">
        <v>41828</v>
      </c>
      <c r="B600" s="392">
        <v>101.8434</v>
      </c>
    </row>
    <row r="601" spans="1:3" hidden="1" x14ac:dyDescent="0.3">
      <c r="A601" s="391">
        <v>41829</v>
      </c>
      <c r="B601" s="392">
        <v>101.7409</v>
      </c>
    </row>
    <row r="602" spans="1:3" hidden="1" x14ac:dyDescent="0.3">
      <c r="A602" s="391">
        <v>41830</v>
      </c>
      <c r="B602" s="392">
        <v>101.83</v>
      </c>
    </row>
    <row r="603" spans="1:3" hidden="1" x14ac:dyDescent="0.3">
      <c r="A603" s="391">
        <v>41831</v>
      </c>
      <c r="B603" s="392">
        <v>101.9362</v>
      </c>
    </row>
    <row r="604" spans="1:3" hidden="1" x14ac:dyDescent="0.3">
      <c r="A604" s="391">
        <v>41834</v>
      </c>
      <c r="B604" s="392">
        <v>101.9349</v>
      </c>
    </row>
    <row r="605" spans="1:3" hidden="1" x14ac:dyDescent="0.3">
      <c r="A605" s="391">
        <v>41835</v>
      </c>
      <c r="B605" s="392">
        <v>102.119</v>
      </c>
    </row>
    <row r="606" spans="1:3" hidden="1" x14ac:dyDescent="0.3">
      <c r="A606" s="391">
        <v>41836</v>
      </c>
      <c r="B606" s="392">
        <v>102.13800000000001</v>
      </c>
    </row>
    <row r="607" spans="1:3" hidden="1" x14ac:dyDescent="0.3">
      <c r="A607" s="391">
        <v>41837</v>
      </c>
      <c r="B607" s="392">
        <v>102.2072</v>
      </c>
    </row>
    <row r="608" spans="1:3" hidden="1" x14ac:dyDescent="0.3">
      <c r="A608" s="391">
        <v>41838</v>
      </c>
      <c r="B608" s="392">
        <v>102.212</v>
      </c>
    </row>
    <row r="609" spans="1:2" hidden="1" x14ac:dyDescent="0.3">
      <c r="A609" s="391">
        <v>41841</v>
      </c>
      <c r="B609" s="392">
        <v>102.1521</v>
      </c>
    </row>
    <row r="610" spans="1:2" hidden="1" x14ac:dyDescent="0.3">
      <c r="A610" s="391">
        <v>41842</v>
      </c>
      <c r="B610" s="392">
        <v>102.1596</v>
      </c>
    </row>
    <row r="611" spans="1:2" hidden="1" x14ac:dyDescent="0.3">
      <c r="A611" s="391">
        <v>41843</v>
      </c>
      <c r="B611" s="392">
        <v>102.11020000000001</v>
      </c>
    </row>
    <row r="612" spans="1:2" hidden="1" x14ac:dyDescent="0.3">
      <c r="A612" s="391">
        <v>41844</v>
      </c>
      <c r="B612" s="392">
        <v>102.2007</v>
      </c>
    </row>
    <row r="613" spans="1:2" hidden="1" x14ac:dyDescent="0.3">
      <c r="A613" s="391">
        <v>41845</v>
      </c>
      <c r="B613" s="392">
        <v>102.3342</v>
      </c>
    </row>
    <row r="614" spans="1:2" hidden="1" x14ac:dyDescent="0.3">
      <c r="A614" s="391">
        <v>41848</v>
      </c>
      <c r="B614" s="392">
        <v>102.3416</v>
      </c>
    </row>
    <row r="615" spans="1:2" hidden="1" x14ac:dyDescent="0.3">
      <c r="A615" s="391">
        <v>41849</v>
      </c>
      <c r="B615" s="392">
        <v>102.5414</v>
      </c>
    </row>
    <row r="616" spans="1:2" hidden="1" x14ac:dyDescent="0.3">
      <c r="A616" s="391">
        <v>41850</v>
      </c>
      <c r="B616" s="392">
        <v>102.834</v>
      </c>
    </row>
    <row r="617" spans="1:2" hidden="1" x14ac:dyDescent="0.3">
      <c r="A617" s="391">
        <v>41851</v>
      </c>
      <c r="B617" s="392">
        <v>102.9487</v>
      </c>
    </row>
    <row r="618" spans="1:2" hidden="1" x14ac:dyDescent="0.3">
      <c r="A618" s="391">
        <v>41852</v>
      </c>
      <c r="B618" s="392">
        <v>102.9901</v>
      </c>
    </row>
    <row r="619" spans="1:2" hidden="1" x14ac:dyDescent="0.3">
      <c r="A619" s="391">
        <v>41855</v>
      </c>
      <c r="B619" s="392">
        <v>102.95820000000001</v>
      </c>
    </row>
    <row r="620" spans="1:2" hidden="1" x14ac:dyDescent="0.3">
      <c r="A620" s="391">
        <v>41856</v>
      </c>
      <c r="B620" s="392">
        <v>103.1742</v>
      </c>
    </row>
    <row r="621" spans="1:2" hidden="1" x14ac:dyDescent="0.3">
      <c r="A621" s="391">
        <v>41857</v>
      </c>
      <c r="B621" s="392">
        <v>103.1105</v>
      </c>
    </row>
    <row r="622" spans="1:2" hidden="1" x14ac:dyDescent="0.3">
      <c r="A622" s="391">
        <v>41858</v>
      </c>
      <c r="B622" s="392">
        <v>103.1447</v>
      </c>
    </row>
    <row r="623" spans="1:2" hidden="1" x14ac:dyDescent="0.3">
      <c r="A623" s="391">
        <v>41859</v>
      </c>
      <c r="B623" s="392">
        <v>103.0834</v>
      </c>
    </row>
    <row r="624" spans="1:2" hidden="1" x14ac:dyDescent="0.3">
      <c r="A624" s="391">
        <v>41862</v>
      </c>
      <c r="B624" s="392">
        <v>102.9449</v>
      </c>
    </row>
    <row r="625" spans="1:2" hidden="1" x14ac:dyDescent="0.3">
      <c r="A625" s="391">
        <v>41863</v>
      </c>
      <c r="B625" s="392">
        <v>102.9984</v>
      </c>
    </row>
    <row r="626" spans="1:2" hidden="1" x14ac:dyDescent="0.3">
      <c r="A626" s="391">
        <v>41864</v>
      </c>
      <c r="B626" s="392">
        <v>102.9276</v>
      </c>
    </row>
    <row r="627" spans="1:2" hidden="1" x14ac:dyDescent="0.3">
      <c r="A627" s="391">
        <v>41865</v>
      </c>
      <c r="B627" s="392">
        <v>102.8129</v>
      </c>
    </row>
    <row r="628" spans="1:2" hidden="1" x14ac:dyDescent="0.3">
      <c r="A628" s="391">
        <v>41866</v>
      </c>
      <c r="B628" s="392">
        <v>102.73699999999999</v>
      </c>
    </row>
    <row r="629" spans="1:2" hidden="1" x14ac:dyDescent="0.3">
      <c r="A629" s="391">
        <v>41869</v>
      </c>
      <c r="B629" s="392">
        <v>102.69029999999999</v>
      </c>
    </row>
    <row r="630" spans="1:2" hidden="1" x14ac:dyDescent="0.3">
      <c r="A630" s="391">
        <v>41870</v>
      </c>
      <c r="B630" s="392">
        <v>102.867</v>
      </c>
    </row>
    <row r="631" spans="1:2" hidden="1" x14ac:dyDescent="0.3">
      <c r="A631" s="391">
        <v>41871</v>
      </c>
      <c r="B631" s="392">
        <v>103.0363</v>
      </c>
    </row>
    <row r="632" spans="1:2" hidden="1" x14ac:dyDescent="0.3">
      <c r="A632" s="391">
        <v>41872</v>
      </c>
      <c r="B632" s="392">
        <v>103.12260000000001</v>
      </c>
    </row>
    <row r="633" spans="1:2" hidden="1" x14ac:dyDescent="0.3">
      <c r="A633" s="391">
        <v>41873</v>
      </c>
      <c r="B633" s="392">
        <v>103.24460000000001</v>
      </c>
    </row>
    <row r="634" spans="1:2" hidden="1" x14ac:dyDescent="0.3">
      <c r="A634" s="391">
        <v>41876</v>
      </c>
      <c r="B634" s="392">
        <v>103.3638</v>
      </c>
    </row>
    <row r="635" spans="1:2" hidden="1" x14ac:dyDescent="0.3">
      <c r="A635" s="391">
        <v>41877</v>
      </c>
      <c r="B635" s="392">
        <v>103.30759999999999</v>
      </c>
    </row>
    <row r="636" spans="1:2" hidden="1" x14ac:dyDescent="0.3">
      <c r="A636" s="391">
        <v>41878</v>
      </c>
      <c r="B636" s="392">
        <v>103.1242</v>
      </c>
    </row>
    <row r="637" spans="1:2" hidden="1" x14ac:dyDescent="0.3">
      <c r="A637" s="391">
        <v>41879</v>
      </c>
      <c r="B637" s="392">
        <v>103.1527</v>
      </c>
    </row>
    <row r="638" spans="1:2" hidden="1" x14ac:dyDescent="0.3">
      <c r="A638" s="391">
        <v>41880</v>
      </c>
      <c r="B638" s="392">
        <v>103.18640000000001</v>
      </c>
    </row>
    <row r="639" spans="1:2" hidden="1" x14ac:dyDescent="0.3">
      <c r="A639" s="391">
        <v>41884</v>
      </c>
      <c r="B639" s="392">
        <v>103.5415</v>
      </c>
    </row>
    <row r="640" spans="1:2" hidden="1" x14ac:dyDescent="0.3">
      <c r="A640" s="391">
        <v>41885</v>
      </c>
      <c r="B640" s="392">
        <v>103.3301</v>
      </c>
    </row>
    <row r="641" spans="1:2" hidden="1" x14ac:dyDescent="0.3">
      <c r="A641" s="391">
        <v>41886</v>
      </c>
      <c r="B641" s="392">
        <v>103.72029999999999</v>
      </c>
    </row>
    <row r="642" spans="1:2" hidden="1" x14ac:dyDescent="0.3">
      <c r="A642" s="391">
        <v>41887</v>
      </c>
      <c r="B642" s="392">
        <v>103.6729</v>
      </c>
    </row>
    <row r="643" spans="1:2" hidden="1" x14ac:dyDescent="0.3">
      <c r="A643" s="391">
        <v>41890</v>
      </c>
      <c r="B643" s="392">
        <v>103.8462</v>
      </c>
    </row>
    <row r="644" spans="1:2" hidden="1" x14ac:dyDescent="0.3">
      <c r="A644" s="391">
        <v>41891</v>
      </c>
      <c r="B644" s="392">
        <v>104.31</v>
      </c>
    </row>
    <row r="645" spans="1:2" hidden="1" x14ac:dyDescent="0.3">
      <c r="A645" s="391">
        <v>41892</v>
      </c>
      <c r="B645" s="392">
        <v>104.3013</v>
      </c>
    </row>
    <row r="646" spans="1:2" hidden="1" x14ac:dyDescent="0.3">
      <c r="A646" s="391">
        <v>41893</v>
      </c>
      <c r="B646" s="392">
        <v>104.3625</v>
      </c>
    </row>
    <row r="647" spans="1:2" hidden="1" x14ac:dyDescent="0.3">
      <c r="A647" s="391">
        <v>41894</v>
      </c>
      <c r="B647" s="392">
        <v>104.5256</v>
      </c>
    </row>
    <row r="648" spans="1:2" hidden="1" x14ac:dyDescent="0.3">
      <c r="A648" s="391">
        <v>41897</v>
      </c>
      <c r="B648" s="392">
        <v>104.60509999999999</v>
      </c>
    </row>
    <row r="649" spans="1:2" hidden="1" x14ac:dyDescent="0.3">
      <c r="A649" s="391">
        <v>41898</v>
      </c>
      <c r="B649" s="392">
        <v>104.34520000000001</v>
      </c>
    </row>
    <row r="650" spans="1:2" hidden="1" x14ac:dyDescent="0.3">
      <c r="A650" s="391">
        <v>41899</v>
      </c>
      <c r="B650" s="392">
        <v>104.4092</v>
      </c>
    </row>
    <row r="651" spans="1:2" hidden="1" x14ac:dyDescent="0.3">
      <c r="A651" s="391">
        <v>41900</v>
      </c>
      <c r="B651" s="392">
        <v>104.65009999999999</v>
      </c>
    </row>
    <row r="652" spans="1:2" hidden="1" x14ac:dyDescent="0.3">
      <c r="A652" s="391">
        <v>41901</v>
      </c>
      <c r="B652" s="392">
        <v>104.852</v>
      </c>
    </row>
    <row r="653" spans="1:2" hidden="1" x14ac:dyDescent="0.3">
      <c r="A653" s="391">
        <v>41904</v>
      </c>
      <c r="B653" s="392">
        <v>104.977</v>
      </c>
    </row>
    <row r="654" spans="1:2" hidden="1" x14ac:dyDescent="0.3">
      <c r="A654" s="391">
        <v>41905</v>
      </c>
      <c r="B654" s="392">
        <v>105.01179999999999</v>
      </c>
    </row>
    <row r="655" spans="1:2" hidden="1" x14ac:dyDescent="0.3">
      <c r="A655" s="391">
        <v>41906</v>
      </c>
      <c r="B655" s="392">
        <v>105.14230000000001</v>
      </c>
    </row>
    <row r="656" spans="1:2" hidden="1" x14ac:dyDescent="0.3">
      <c r="A656" s="391">
        <v>41907</v>
      </c>
      <c r="B656" s="392">
        <v>105.3914</v>
      </c>
    </row>
    <row r="657" spans="1:3" hidden="1" x14ac:dyDescent="0.3">
      <c r="A657" s="391">
        <v>41908</v>
      </c>
      <c r="B657" s="392">
        <v>105.70050000000001</v>
      </c>
    </row>
    <row r="658" spans="1:3" hidden="1" x14ac:dyDescent="0.3">
      <c r="A658" s="391">
        <v>41911</v>
      </c>
      <c r="B658" s="392">
        <v>105.8965</v>
      </c>
    </row>
    <row r="659" spans="1:3" x14ac:dyDescent="0.3">
      <c r="A659" s="391">
        <v>41912</v>
      </c>
      <c r="B659" s="392">
        <v>106.0459</v>
      </c>
      <c r="C659" s="393">
        <f>AVERAGE(B596:B659)</f>
        <v>103.24110625</v>
      </c>
    </row>
    <row r="660" spans="1:3" hidden="1" x14ac:dyDescent="0.3">
      <c r="A660" s="391">
        <v>41913</v>
      </c>
      <c r="B660" s="392">
        <v>106.06529999999999</v>
      </c>
    </row>
    <row r="661" spans="1:3" hidden="1" x14ac:dyDescent="0.3">
      <c r="A661" s="391">
        <v>41914</v>
      </c>
      <c r="B661" s="392">
        <v>105.81740000000001</v>
      </c>
    </row>
    <row r="662" spans="1:3" hidden="1" x14ac:dyDescent="0.3">
      <c r="A662" s="391">
        <v>41915</v>
      </c>
      <c r="B662" s="392">
        <v>106.48260000000001</v>
      </c>
    </row>
    <row r="663" spans="1:3" hidden="1" x14ac:dyDescent="0.3">
      <c r="A663" s="391">
        <v>41918</v>
      </c>
      <c r="B663" s="392">
        <v>106.0706</v>
      </c>
    </row>
    <row r="664" spans="1:3" hidden="1" x14ac:dyDescent="0.3">
      <c r="A664" s="391">
        <v>41919</v>
      </c>
      <c r="B664" s="392">
        <v>105.97029999999999</v>
      </c>
    </row>
    <row r="665" spans="1:3" hidden="1" x14ac:dyDescent="0.3">
      <c r="A665" s="391">
        <v>41920</v>
      </c>
      <c r="B665" s="392">
        <v>106.03100000000001</v>
      </c>
    </row>
    <row r="666" spans="1:3" hidden="1" x14ac:dyDescent="0.3">
      <c r="A666" s="391">
        <v>41921</v>
      </c>
      <c r="B666" s="392">
        <v>105.6867</v>
      </c>
    </row>
    <row r="667" spans="1:3" hidden="1" x14ac:dyDescent="0.3">
      <c r="A667" s="391">
        <v>41922</v>
      </c>
      <c r="B667" s="392">
        <v>105.9348</v>
      </c>
    </row>
    <row r="668" spans="1:3" hidden="1" x14ac:dyDescent="0.3">
      <c r="A668" s="391">
        <v>41926</v>
      </c>
      <c r="B668" s="392">
        <v>105.8929</v>
      </c>
    </row>
    <row r="669" spans="1:3" hidden="1" x14ac:dyDescent="0.3">
      <c r="A669" s="391">
        <v>41927</v>
      </c>
      <c r="B669" s="392">
        <v>105.8387</v>
      </c>
    </row>
    <row r="670" spans="1:3" hidden="1" x14ac:dyDescent="0.3">
      <c r="A670" s="391">
        <v>41928</v>
      </c>
      <c r="B670" s="392">
        <v>105.7859</v>
      </c>
    </row>
    <row r="671" spans="1:3" hidden="1" x14ac:dyDescent="0.3">
      <c r="A671" s="391">
        <v>41929</v>
      </c>
      <c r="B671" s="392">
        <v>105.8073</v>
      </c>
    </row>
    <row r="672" spans="1:3" hidden="1" x14ac:dyDescent="0.3">
      <c r="A672" s="391">
        <v>41932</v>
      </c>
      <c r="B672" s="392">
        <v>105.78400000000001</v>
      </c>
    </row>
    <row r="673" spans="1:2" hidden="1" x14ac:dyDescent="0.3">
      <c r="A673" s="391">
        <v>41933</v>
      </c>
      <c r="B673" s="392">
        <v>105.7405</v>
      </c>
    </row>
    <row r="674" spans="1:2" hidden="1" x14ac:dyDescent="0.3">
      <c r="A674" s="391">
        <v>41934</v>
      </c>
      <c r="B674" s="392">
        <v>105.9534</v>
      </c>
    </row>
    <row r="675" spans="1:2" hidden="1" x14ac:dyDescent="0.3">
      <c r="A675" s="391">
        <v>41935</v>
      </c>
      <c r="B675" s="392">
        <v>106.1087</v>
      </c>
    </row>
    <row r="676" spans="1:2" hidden="1" x14ac:dyDescent="0.3">
      <c r="A676" s="391">
        <v>41936</v>
      </c>
      <c r="B676" s="392">
        <v>105.9913</v>
      </c>
    </row>
    <row r="677" spans="1:2" hidden="1" x14ac:dyDescent="0.3">
      <c r="A677" s="391">
        <v>41939</v>
      </c>
      <c r="B677" s="392">
        <v>106.0561</v>
      </c>
    </row>
    <row r="678" spans="1:2" hidden="1" x14ac:dyDescent="0.3">
      <c r="A678" s="391">
        <v>41940</v>
      </c>
      <c r="B678" s="392">
        <v>105.7422</v>
      </c>
    </row>
    <row r="679" spans="1:2" hidden="1" x14ac:dyDescent="0.3">
      <c r="A679" s="391">
        <v>41941</v>
      </c>
      <c r="B679" s="392">
        <v>105.5414</v>
      </c>
    </row>
    <row r="680" spans="1:2" hidden="1" x14ac:dyDescent="0.3">
      <c r="A680" s="391">
        <v>41942</v>
      </c>
      <c r="B680" s="392">
        <v>105.96339999999999</v>
      </c>
    </row>
    <row r="681" spans="1:2" hidden="1" x14ac:dyDescent="0.3">
      <c r="A681" s="391">
        <v>41943</v>
      </c>
      <c r="B681" s="392">
        <v>106.6606</v>
      </c>
    </row>
    <row r="682" spans="1:2" hidden="1" x14ac:dyDescent="0.3">
      <c r="A682" s="391">
        <v>41946</v>
      </c>
      <c r="B682" s="392">
        <v>107.1002</v>
      </c>
    </row>
    <row r="683" spans="1:2" hidden="1" x14ac:dyDescent="0.3">
      <c r="A683" s="391">
        <v>41947</v>
      </c>
      <c r="B683" s="392">
        <v>107.1183</v>
      </c>
    </row>
    <row r="684" spans="1:2" hidden="1" x14ac:dyDescent="0.3">
      <c r="A684" s="391">
        <v>41948</v>
      </c>
      <c r="B684" s="392">
        <v>107.40779999999999</v>
      </c>
    </row>
    <row r="685" spans="1:2" hidden="1" x14ac:dyDescent="0.3">
      <c r="A685" s="391">
        <v>41949</v>
      </c>
      <c r="B685" s="392">
        <v>107.7351</v>
      </c>
    </row>
    <row r="686" spans="1:2" hidden="1" x14ac:dyDescent="0.3">
      <c r="A686" s="391">
        <v>41950</v>
      </c>
      <c r="B686" s="392">
        <v>107.6473</v>
      </c>
    </row>
    <row r="687" spans="1:2" hidden="1" x14ac:dyDescent="0.3">
      <c r="A687" s="391">
        <v>41953</v>
      </c>
      <c r="B687" s="392">
        <v>107.53619999999999</v>
      </c>
    </row>
    <row r="688" spans="1:2" hidden="1" x14ac:dyDescent="0.3">
      <c r="A688" s="391">
        <v>41955</v>
      </c>
      <c r="B688" s="392">
        <v>107.5179</v>
      </c>
    </row>
    <row r="689" spans="1:2" hidden="1" x14ac:dyDescent="0.3">
      <c r="A689" s="391">
        <v>41956</v>
      </c>
      <c r="B689" s="392">
        <v>107.7285</v>
      </c>
    </row>
    <row r="690" spans="1:2" hidden="1" x14ac:dyDescent="0.3">
      <c r="A690" s="391">
        <v>41957</v>
      </c>
      <c r="B690" s="392">
        <v>107.7483</v>
      </c>
    </row>
    <row r="691" spans="1:2" hidden="1" x14ac:dyDescent="0.3">
      <c r="A691" s="391">
        <v>41960</v>
      </c>
      <c r="B691" s="392">
        <v>107.8593</v>
      </c>
    </row>
    <row r="692" spans="1:2" hidden="1" x14ac:dyDescent="0.3">
      <c r="A692" s="391">
        <v>41961</v>
      </c>
      <c r="B692" s="392">
        <v>107.64570000000001</v>
      </c>
    </row>
    <row r="693" spans="1:2" hidden="1" x14ac:dyDescent="0.3">
      <c r="A693" s="391">
        <v>41962</v>
      </c>
      <c r="B693" s="392">
        <v>107.8857</v>
      </c>
    </row>
    <row r="694" spans="1:2" hidden="1" x14ac:dyDescent="0.3">
      <c r="A694" s="391">
        <v>41963</v>
      </c>
      <c r="B694" s="392">
        <v>107.9037</v>
      </c>
    </row>
    <row r="695" spans="1:2" hidden="1" x14ac:dyDescent="0.3">
      <c r="A695" s="391">
        <v>41964</v>
      </c>
      <c r="B695" s="392">
        <v>107.9372</v>
      </c>
    </row>
    <row r="696" spans="1:2" hidden="1" x14ac:dyDescent="0.3">
      <c r="A696" s="391">
        <v>41967</v>
      </c>
      <c r="B696" s="392">
        <v>108.077</v>
      </c>
    </row>
    <row r="697" spans="1:2" hidden="1" x14ac:dyDescent="0.3">
      <c r="A697" s="391">
        <v>41968</v>
      </c>
      <c r="B697" s="392">
        <v>107.9473</v>
      </c>
    </row>
    <row r="698" spans="1:2" hidden="1" x14ac:dyDescent="0.3">
      <c r="A698" s="391">
        <v>41969</v>
      </c>
      <c r="B698" s="392">
        <v>107.8798</v>
      </c>
    </row>
    <row r="699" spans="1:2" hidden="1" x14ac:dyDescent="0.3">
      <c r="A699" s="391">
        <v>41971</v>
      </c>
      <c r="B699" s="392">
        <v>108.792</v>
      </c>
    </row>
    <row r="700" spans="1:2" hidden="1" x14ac:dyDescent="0.3">
      <c r="A700" s="391">
        <v>41974</v>
      </c>
      <c r="B700" s="392">
        <v>108.6889</v>
      </c>
    </row>
    <row r="701" spans="1:2" hidden="1" x14ac:dyDescent="0.3">
      <c r="A701" s="391">
        <v>41975</v>
      </c>
      <c r="B701" s="392">
        <v>109.2679</v>
      </c>
    </row>
    <row r="702" spans="1:2" hidden="1" x14ac:dyDescent="0.3">
      <c r="A702" s="391">
        <v>41976</v>
      </c>
      <c r="B702" s="392">
        <v>109.3944</v>
      </c>
    </row>
    <row r="703" spans="1:2" hidden="1" x14ac:dyDescent="0.3">
      <c r="A703" s="391">
        <v>41977</v>
      </c>
      <c r="B703" s="392">
        <v>109.2371</v>
      </c>
    </row>
    <row r="704" spans="1:2" hidden="1" x14ac:dyDescent="0.3">
      <c r="A704" s="391">
        <v>41978</v>
      </c>
      <c r="B704" s="392">
        <v>109.9212</v>
      </c>
    </row>
    <row r="705" spans="1:2" hidden="1" x14ac:dyDescent="0.3">
      <c r="A705" s="391">
        <v>41981</v>
      </c>
      <c r="B705" s="392">
        <v>110.1698</v>
      </c>
    </row>
    <row r="706" spans="1:2" hidden="1" x14ac:dyDescent="0.3">
      <c r="A706" s="391">
        <v>41982</v>
      </c>
      <c r="B706" s="392">
        <v>109.68689999999999</v>
      </c>
    </row>
    <row r="707" spans="1:2" hidden="1" x14ac:dyDescent="0.3">
      <c r="A707" s="391">
        <v>41983</v>
      </c>
      <c r="B707" s="392">
        <v>109.8901</v>
      </c>
    </row>
    <row r="708" spans="1:2" hidden="1" x14ac:dyDescent="0.3">
      <c r="A708" s="391">
        <v>41984</v>
      </c>
      <c r="B708" s="392">
        <v>110.34139999999999</v>
      </c>
    </row>
    <row r="709" spans="1:2" hidden="1" x14ac:dyDescent="0.3">
      <c r="A709" s="391">
        <v>41985</v>
      </c>
      <c r="B709" s="392">
        <v>110.3087</v>
      </c>
    </row>
    <row r="710" spans="1:2" hidden="1" x14ac:dyDescent="0.3">
      <c r="A710" s="391">
        <v>41988</v>
      </c>
      <c r="B710" s="392">
        <v>110.6752</v>
      </c>
    </row>
    <row r="711" spans="1:2" hidden="1" x14ac:dyDescent="0.3">
      <c r="A711" s="391">
        <v>41989</v>
      </c>
      <c r="B711" s="392">
        <v>110.5547</v>
      </c>
    </row>
    <row r="712" spans="1:2" hidden="1" x14ac:dyDescent="0.3">
      <c r="A712" s="391">
        <v>41990</v>
      </c>
      <c r="B712" s="392">
        <v>110.511</v>
      </c>
    </row>
    <row r="713" spans="1:2" hidden="1" x14ac:dyDescent="0.3">
      <c r="A713" s="391">
        <v>41991</v>
      </c>
      <c r="B713" s="392">
        <v>110.7454</v>
      </c>
    </row>
    <row r="714" spans="1:2" hidden="1" x14ac:dyDescent="0.3">
      <c r="A714" s="391">
        <v>41992</v>
      </c>
      <c r="B714" s="392">
        <v>111.0141</v>
      </c>
    </row>
    <row r="715" spans="1:2" hidden="1" x14ac:dyDescent="0.3">
      <c r="A715" s="391">
        <v>41995</v>
      </c>
      <c r="B715" s="392">
        <v>110.9087</v>
      </c>
    </row>
    <row r="716" spans="1:2" hidden="1" x14ac:dyDescent="0.3">
      <c r="A716" s="391">
        <v>41996</v>
      </c>
      <c r="B716" s="392">
        <v>111.2568</v>
      </c>
    </row>
    <row r="717" spans="1:2" hidden="1" x14ac:dyDescent="0.3">
      <c r="A717" s="391">
        <v>41997</v>
      </c>
      <c r="B717" s="392">
        <v>111.18980000000001</v>
      </c>
    </row>
    <row r="718" spans="1:2" hidden="1" x14ac:dyDescent="0.3">
      <c r="A718" s="391">
        <v>41999</v>
      </c>
      <c r="B718" s="392">
        <v>111.17489999999999</v>
      </c>
    </row>
    <row r="719" spans="1:2" hidden="1" x14ac:dyDescent="0.3">
      <c r="A719" s="391">
        <v>42002</v>
      </c>
      <c r="B719" s="392">
        <v>111.32989999999999</v>
      </c>
    </row>
    <row r="720" spans="1:2" hidden="1" x14ac:dyDescent="0.3">
      <c r="A720" s="391">
        <v>42003</v>
      </c>
      <c r="B720" s="392">
        <v>111.00360000000001</v>
      </c>
    </row>
    <row r="721" spans="1:3" x14ac:dyDescent="0.3">
      <c r="A721" s="391">
        <v>42004</v>
      </c>
      <c r="B721" s="392">
        <v>111.2766</v>
      </c>
      <c r="C721" s="393">
        <f>AVERAGE(B660:B721)</f>
        <v>108.04741129032256</v>
      </c>
    </row>
    <row r="722" spans="1:3" hidden="1" x14ac:dyDescent="0.3">
      <c r="A722" s="391">
        <v>42006</v>
      </c>
      <c r="B722" s="392">
        <v>111.8409</v>
      </c>
    </row>
    <row r="723" spans="1:3" hidden="1" x14ac:dyDescent="0.3">
      <c r="A723" s="391">
        <v>42009</v>
      </c>
      <c r="B723" s="392">
        <v>112.4825</v>
      </c>
    </row>
    <row r="724" spans="1:3" hidden="1" x14ac:dyDescent="0.3">
      <c r="A724" s="391">
        <v>42010</v>
      </c>
      <c r="B724" s="392">
        <v>112.2582</v>
      </c>
    </row>
    <row r="725" spans="1:3" hidden="1" x14ac:dyDescent="0.3">
      <c r="A725" s="391">
        <v>42011</v>
      </c>
      <c r="B725" s="392">
        <v>112.5917</v>
      </c>
    </row>
    <row r="726" spans="1:3" hidden="1" x14ac:dyDescent="0.3">
      <c r="A726" s="391">
        <v>42012</v>
      </c>
      <c r="B726" s="392">
        <v>112.2166</v>
      </c>
    </row>
    <row r="727" spans="1:3" hidden="1" x14ac:dyDescent="0.3">
      <c r="A727" s="391">
        <v>42013</v>
      </c>
      <c r="B727" s="392">
        <v>112.0617</v>
      </c>
    </row>
    <row r="728" spans="1:3" hidden="1" x14ac:dyDescent="0.3">
      <c r="A728" s="391">
        <v>42016</v>
      </c>
      <c r="B728" s="392">
        <v>112.1751</v>
      </c>
    </row>
    <row r="729" spans="1:3" hidden="1" x14ac:dyDescent="0.3">
      <c r="A729" s="391">
        <v>42017</v>
      </c>
      <c r="B729" s="392">
        <v>112.2195</v>
      </c>
    </row>
    <row r="730" spans="1:3" hidden="1" x14ac:dyDescent="0.3">
      <c r="A730" s="391">
        <v>42018</v>
      </c>
      <c r="B730" s="392">
        <v>112.0339</v>
      </c>
    </row>
    <row r="731" spans="1:3" hidden="1" x14ac:dyDescent="0.3">
      <c r="A731" s="391">
        <v>42019</v>
      </c>
      <c r="B731" s="392">
        <v>112.04819999999999</v>
      </c>
    </row>
    <row r="732" spans="1:3" hidden="1" x14ac:dyDescent="0.3">
      <c r="A732" s="391">
        <v>42020</v>
      </c>
      <c r="B732" s="392">
        <v>112.21599999999999</v>
      </c>
    </row>
    <row r="733" spans="1:3" hidden="1" x14ac:dyDescent="0.3">
      <c r="A733" s="391">
        <v>42024</v>
      </c>
      <c r="B733" s="392">
        <v>112.5458</v>
      </c>
    </row>
    <row r="734" spans="1:3" hidden="1" x14ac:dyDescent="0.3">
      <c r="A734" s="391">
        <v>42025</v>
      </c>
      <c r="B734" s="392">
        <v>112.76220000000001</v>
      </c>
    </row>
    <row r="735" spans="1:3" hidden="1" x14ac:dyDescent="0.3">
      <c r="A735" s="391">
        <v>42026</v>
      </c>
      <c r="B735" s="392">
        <v>112.8767</v>
      </c>
    </row>
    <row r="736" spans="1:3" hidden="1" x14ac:dyDescent="0.3">
      <c r="A736" s="391">
        <v>42027</v>
      </c>
      <c r="B736" s="392">
        <v>113.31870000000001</v>
      </c>
    </row>
    <row r="737" spans="1:2" hidden="1" x14ac:dyDescent="0.3">
      <c r="A737" s="391">
        <v>42030</v>
      </c>
      <c r="B737" s="392">
        <v>113.5214</v>
      </c>
    </row>
    <row r="738" spans="1:2" hidden="1" x14ac:dyDescent="0.3">
      <c r="A738" s="391">
        <v>42031</v>
      </c>
      <c r="B738" s="392">
        <v>113.1746</v>
      </c>
    </row>
    <row r="739" spans="1:2" hidden="1" x14ac:dyDescent="0.3">
      <c r="A739" s="391">
        <v>42032</v>
      </c>
      <c r="B739" s="392">
        <v>113.5069</v>
      </c>
    </row>
    <row r="740" spans="1:2" hidden="1" x14ac:dyDescent="0.3">
      <c r="A740" s="391">
        <v>42033</v>
      </c>
      <c r="B740" s="392">
        <v>114.30759999999999</v>
      </c>
    </row>
    <row r="741" spans="1:2" hidden="1" x14ac:dyDescent="0.3">
      <c r="A741" s="391">
        <v>42034</v>
      </c>
      <c r="B741" s="392">
        <v>114.63160000000001</v>
      </c>
    </row>
    <row r="742" spans="1:2" hidden="1" x14ac:dyDescent="0.3">
      <c r="A742" s="391">
        <v>42037</v>
      </c>
      <c r="B742" s="392">
        <v>114.249</v>
      </c>
    </row>
    <row r="743" spans="1:2" hidden="1" x14ac:dyDescent="0.3">
      <c r="A743" s="391">
        <v>42038</v>
      </c>
      <c r="B743" s="392">
        <v>113.62439999999999</v>
      </c>
    </row>
    <row r="744" spans="1:2" hidden="1" x14ac:dyDescent="0.3">
      <c r="A744" s="391">
        <v>42039</v>
      </c>
      <c r="B744" s="392">
        <v>113.797</v>
      </c>
    </row>
    <row r="745" spans="1:2" hidden="1" x14ac:dyDescent="0.3">
      <c r="A745" s="391">
        <v>42040</v>
      </c>
      <c r="B745" s="392">
        <v>113.5214</v>
      </c>
    </row>
    <row r="746" spans="1:2" hidden="1" x14ac:dyDescent="0.3">
      <c r="A746" s="391">
        <v>42041</v>
      </c>
      <c r="B746" s="392">
        <v>114.15600000000001</v>
      </c>
    </row>
    <row r="747" spans="1:2" hidden="1" x14ac:dyDescent="0.3">
      <c r="A747" s="391">
        <v>42044</v>
      </c>
      <c r="B747" s="392">
        <v>114.0069</v>
      </c>
    </row>
    <row r="748" spans="1:2" hidden="1" x14ac:dyDescent="0.3">
      <c r="A748" s="391">
        <v>42045</v>
      </c>
      <c r="B748" s="392">
        <v>114.2997</v>
      </c>
    </row>
    <row r="749" spans="1:2" hidden="1" x14ac:dyDescent="0.3">
      <c r="A749" s="391">
        <v>42046</v>
      </c>
      <c r="B749" s="392">
        <v>114.806</v>
      </c>
    </row>
    <row r="750" spans="1:2" hidden="1" x14ac:dyDescent="0.3">
      <c r="A750" s="391">
        <v>42047</v>
      </c>
      <c r="B750" s="392">
        <v>113.9722</v>
      </c>
    </row>
    <row r="751" spans="1:2" hidden="1" x14ac:dyDescent="0.3">
      <c r="A751" s="391">
        <v>42048</v>
      </c>
      <c r="B751" s="392">
        <v>113.8477</v>
      </c>
    </row>
    <row r="752" spans="1:2" hidden="1" x14ac:dyDescent="0.3">
      <c r="A752" s="391">
        <v>42052</v>
      </c>
      <c r="B752" s="392">
        <v>113.9823</v>
      </c>
    </row>
    <row r="753" spans="1:2" hidden="1" x14ac:dyDescent="0.3">
      <c r="A753" s="391">
        <v>42053</v>
      </c>
      <c r="B753" s="392">
        <v>114.2839</v>
      </c>
    </row>
    <row r="754" spans="1:2" hidden="1" x14ac:dyDescent="0.3">
      <c r="A754" s="391">
        <v>42054</v>
      </c>
      <c r="B754" s="392">
        <v>114.1707</v>
      </c>
    </row>
    <row r="755" spans="1:2" hidden="1" x14ac:dyDescent="0.3">
      <c r="A755" s="391">
        <v>42055</v>
      </c>
      <c r="B755" s="392">
        <v>114.3643</v>
      </c>
    </row>
    <row r="756" spans="1:2" hidden="1" x14ac:dyDescent="0.3">
      <c r="A756" s="391">
        <v>42058</v>
      </c>
      <c r="B756" s="392">
        <v>114.58159999999999</v>
      </c>
    </row>
    <row r="757" spans="1:2" hidden="1" x14ac:dyDescent="0.3">
      <c r="A757" s="391">
        <v>42059</v>
      </c>
      <c r="B757" s="392">
        <v>114.5787</v>
      </c>
    </row>
    <row r="758" spans="1:2" hidden="1" x14ac:dyDescent="0.3">
      <c r="A758" s="391">
        <v>42060</v>
      </c>
      <c r="B758" s="392">
        <v>114.07389999999999</v>
      </c>
    </row>
    <row r="759" spans="1:2" hidden="1" x14ac:dyDescent="0.3">
      <c r="A759" s="391">
        <v>42061</v>
      </c>
      <c r="B759" s="392">
        <v>114.5</v>
      </c>
    </row>
    <row r="760" spans="1:2" hidden="1" x14ac:dyDescent="0.3">
      <c r="A760" s="391">
        <v>42062</v>
      </c>
      <c r="B760" s="392">
        <v>114.62909999999999</v>
      </c>
    </row>
    <row r="761" spans="1:2" hidden="1" x14ac:dyDescent="0.3">
      <c r="A761" s="391">
        <v>42065</v>
      </c>
      <c r="B761" s="392">
        <v>114.8505</v>
      </c>
    </row>
    <row r="762" spans="1:2" hidden="1" x14ac:dyDescent="0.3">
      <c r="A762" s="391">
        <v>42066</v>
      </c>
      <c r="B762" s="392">
        <v>114.58499999999999</v>
      </c>
    </row>
    <row r="763" spans="1:2" hidden="1" x14ac:dyDescent="0.3">
      <c r="A763" s="391">
        <v>42067</v>
      </c>
      <c r="B763" s="392">
        <v>115.15309999999999</v>
      </c>
    </row>
    <row r="764" spans="1:2" hidden="1" x14ac:dyDescent="0.3">
      <c r="A764" s="391">
        <v>42068</v>
      </c>
      <c r="B764" s="392">
        <v>115.47020000000001</v>
      </c>
    </row>
    <row r="765" spans="1:2" hidden="1" x14ac:dyDescent="0.3">
      <c r="A765" s="391">
        <v>42069</v>
      </c>
      <c r="B765" s="392">
        <v>116.40989999999999</v>
      </c>
    </row>
    <row r="766" spans="1:2" hidden="1" x14ac:dyDescent="0.3">
      <c r="A766" s="391">
        <v>42072</v>
      </c>
      <c r="B766" s="392">
        <v>116.50839999999999</v>
      </c>
    </row>
    <row r="767" spans="1:2" hidden="1" x14ac:dyDescent="0.3">
      <c r="A767" s="391">
        <v>42073</v>
      </c>
      <c r="B767" s="392">
        <v>117.1371</v>
      </c>
    </row>
    <row r="768" spans="1:2" hidden="1" x14ac:dyDescent="0.3">
      <c r="A768" s="391">
        <v>42074</v>
      </c>
      <c r="B768" s="392">
        <v>117.5183</v>
      </c>
    </row>
    <row r="769" spans="1:3" hidden="1" x14ac:dyDescent="0.3">
      <c r="A769" s="391">
        <v>42075</v>
      </c>
      <c r="B769" s="392">
        <v>117.1525</v>
      </c>
    </row>
    <row r="770" spans="1:3" hidden="1" x14ac:dyDescent="0.3">
      <c r="A770" s="391">
        <v>42076</v>
      </c>
      <c r="B770" s="392">
        <v>117.886</v>
      </c>
    </row>
    <row r="771" spans="1:3" hidden="1" x14ac:dyDescent="0.3">
      <c r="A771" s="391">
        <v>42079</v>
      </c>
      <c r="B771" s="392">
        <v>117.6169</v>
      </c>
    </row>
    <row r="772" spans="1:3" hidden="1" x14ac:dyDescent="0.3">
      <c r="A772" s="391">
        <v>42080</v>
      </c>
      <c r="B772" s="392">
        <v>117.51779999999999</v>
      </c>
    </row>
    <row r="773" spans="1:3" hidden="1" x14ac:dyDescent="0.3">
      <c r="A773" s="391">
        <v>42081</v>
      </c>
      <c r="B773" s="392">
        <v>117.2884</v>
      </c>
    </row>
    <row r="774" spans="1:3" hidden="1" x14ac:dyDescent="0.3">
      <c r="A774" s="391">
        <v>42082</v>
      </c>
      <c r="B774" s="392">
        <v>117.0176</v>
      </c>
    </row>
    <row r="775" spans="1:3" hidden="1" x14ac:dyDescent="0.3">
      <c r="A775" s="391">
        <v>42083</v>
      </c>
      <c r="B775" s="392">
        <v>116.0377</v>
      </c>
    </row>
    <row r="776" spans="1:3" hidden="1" x14ac:dyDescent="0.3">
      <c r="A776" s="391">
        <v>42086</v>
      </c>
      <c r="B776" s="392">
        <v>115.3673</v>
      </c>
    </row>
    <row r="777" spans="1:3" hidden="1" x14ac:dyDescent="0.3">
      <c r="A777" s="391">
        <v>42087</v>
      </c>
      <c r="B777" s="392">
        <v>115.2651</v>
      </c>
    </row>
    <row r="778" spans="1:3" hidden="1" x14ac:dyDescent="0.3">
      <c r="A778" s="391">
        <v>42088</v>
      </c>
      <c r="B778" s="392">
        <v>115.0968</v>
      </c>
    </row>
    <row r="779" spans="1:3" hidden="1" x14ac:dyDescent="0.3">
      <c r="A779" s="391">
        <v>42089</v>
      </c>
      <c r="B779" s="392">
        <v>115.3858</v>
      </c>
    </row>
    <row r="780" spans="1:3" hidden="1" x14ac:dyDescent="0.3">
      <c r="A780" s="391">
        <v>42090</v>
      </c>
      <c r="B780" s="392">
        <v>115.7286</v>
      </c>
    </row>
    <row r="781" spans="1:3" hidden="1" x14ac:dyDescent="0.3">
      <c r="A781" s="391">
        <v>42093</v>
      </c>
      <c r="B781" s="392">
        <v>116.205</v>
      </c>
    </row>
    <row r="782" spans="1:3" x14ac:dyDescent="0.3">
      <c r="A782" s="391">
        <v>42094</v>
      </c>
      <c r="B782" s="392">
        <v>116.254</v>
      </c>
      <c r="C782" s="393">
        <f>AVERAGE(B722:B782)</f>
        <v>114.4538786885246</v>
      </c>
    </row>
    <row r="783" spans="1:3" hidden="1" x14ac:dyDescent="0.3">
      <c r="A783" s="391">
        <v>42095</v>
      </c>
      <c r="B783" s="392">
        <v>115.8532</v>
      </c>
    </row>
    <row r="784" spans="1:3" hidden="1" x14ac:dyDescent="0.3">
      <c r="A784" s="391">
        <v>42096</v>
      </c>
      <c r="B784" s="392">
        <v>115.44029999999999</v>
      </c>
    </row>
    <row r="785" spans="1:2" hidden="1" x14ac:dyDescent="0.3">
      <c r="A785" s="391">
        <v>42097</v>
      </c>
      <c r="B785" s="392">
        <v>114.6553</v>
      </c>
    </row>
    <row r="786" spans="1:2" hidden="1" x14ac:dyDescent="0.3">
      <c r="A786" s="391">
        <v>42100</v>
      </c>
      <c r="B786" s="392">
        <v>114.539</v>
      </c>
    </row>
    <row r="787" spans="1:2" hidden="1" x14ac:dyDescent="0.3">
      <c r="A787" s="391">
        <v>42101</v>
      </c>
      <c r="B787" s="392">
        <v>115.2054</v>
      </c>
    </row>
    <row r="788" spans="1:2" hidden="1" x14ac:dyDescent="0.3">
      <c r="A788" s="391">
        <v>42102</v>
      </c>
      <c r="B788" s="392">
        <v>115.1771</v>
      </c>
    </row>
    <row r="789" spans="1:2" hidden="1" x14ac:dyDescent="0.3">
      <c r="A789" s="391">
        <v>42103</v>
      </c>
      <c r="B789" s="392">
        <v>115.7487</v>
      </c>
    </row>
    <row r="790" spans="1:2" hidden="1" x14ac:dyDescent="0.3">
      <c r="A790" s="391">
        <v>42104</v>
      </c>
      <c r="B790" s="392">
        <v>116.18640000000001</v>
      </c>
    </row>
    <row r="791" spans="1:2" hidden="1" x14ac:dyDescent="0.3">
      <c r="A791" s="391">
        <v>42107</v>
      </c>
      <c r="B791" s="392">
        <v>116.4913</v>
      </c>
    </row>
    <row r="792" spans="1:2" hidden="1" x14ac:dyDescent="0.3">
      <c r="A792" s="391">
        <v>42108</v>
      </c>
      <c r="B792" s="392">
        <v>115.7834</v>
      </c>
    </row>
    <row r="793" spans="1:2" hidden="1" x14ac:dyDescent="0.3">
      <c r="A793" s="391">
        <v>42109</v>
      </c>
      <c r="B793" s="392">
        <v>115.9014</v>
      </c>
    </row>
    <row r="794" spans="1:2" hidden="1" x14ac:dyDescent="0.3">
      <c r="A794" s="391">
        <v>42110</v>
      </c>
      <c r="B794" s="392">
        <v>115.0004</v>
      </c>
    </row>
    <row r="795" spans="1:2" hidden="1" x14ac:dyDescent="0.3">
      <c r="A795" s="391">
        <v>42111</v>
      </c>
      <c r="B795" s="392">
        <v>115.0753</v>
      </c>
    </row>
    <row r="796" spans="1:2" hidden="1" x14ac:dyDescent="0.3">
      <c r="A796" s="391">
        <v>42114</v>
      </c>
      <c r="B796" s="392">
        <v>115.2598</v>
      </c>
    </row>
    <row r="797" spans="1:2" hidden="1" x14ac:dyDescent="0.3">
      <c r="A797" s="391">
        <v>42115</v>
      </c>
      <c r="B797" s="392">
        <v>115.3335</v>
      </c>
    </row>
    <row r="798" spans="1:2" hidden="1" x14ac:dyDescent="0.3">
      <c r="A798" s="391">
        <v>42116</v>
      </c>
      <c r="B798" s="392">
        <v>115.33450000000001</v>
      </c>
    </row>
    <row r="799" spans="1:2" hidden="1" x14ac:dyDescent="0.3">
      <c r="A799" s="391">
        <v>42117</v>
      </c>
      <c r="B799" s="392">
        <v>114.92059999999999</v>
      </c>
    </row>
    <row r="800" spans="1:2" hidden="1" x14ac:dyDescent="0.3">
      <c r="A800" s="391">
        <v>42118</v>
      </c>
      <c r="B800" s="392">
        <v>114.6486</v>
      </c>
    </row>
    <row r="801" spans="1:2" hidden="1" x14ac:dyDescent="0.3">
      <c r="A801" s="391">
        <v>42121</v>
      </c>
      <c r="B801" s="392">
        <v>114.488</v>
      </c>
    </row>
    <row r="802" spans="1:2" hidden="1" x14ac:dyDescent="0.3">
      <c r="A802" s="391">
        <v>42122</v>
      </c>
      <c r="B802" s="392">
        <v>113.9027</v>
      </c>
    </row>
    <row r="803" spans="1:2" hidden="1" x14ac:dyDescent="0.3">
      <c r="A803" s="391">
        <v>42123</v>
      </c>
      <c r="B803" s="392">
        <v>113.3599</v>
      </c>
    </row>
    <row r="804" spans="1:2" hidden="1" x14ac:dyDescent="0.3">
      <c r="A804" s="391">
        <v>42124</v>
      </c>
      <c r="B804" s="392">
        <v>114.1061</v>
      </c>
    </row>
    <row r="805" spans="1:2" hidden="1" x14ac:dyDescent="0.3">
      <c r="A805" s="391">
        <v>42125</v>
      </c>
      <c r="B805" s="392">
        <v>114.42149999999999</v>
      </c>
    </row>
    <row r="806" spans="1:2" hidden="1" x14ac:dyDescent="0.3">
      <c r="A806" s="391">
        <v>42128</v>
      </c>
      <c r="B806" s="392">
        <v>114.4684</v>
      </c>
    </row>
    <row r="807" spans="1:2" hidden="1" x14ac:dyDescent="0.3">
      <c r="A807" s="391">
        <v>42129</v>
      </c>
      <c r="B807" s="392">
        <v>114.0382</v>
      </c>
    </row>
    <row r="808" spans="1:2" hidden="1" x14ac:dyDescent="0.3">
      <c r="A808" s="391">
        <v>42130</v>
      </c>
      <c r="B808" s="392">
        <v>113.48569999999999</v>
      </c>
    </row>
    <row r="809" spans="1:2" hidden="1" x14ac:dyDescent="0.3">
      <c r="A809" s="391">
        <v>42131</v>
      </c>
      <c r="B809" s="392">
        <v>113.99720000000001</v>
      </c>
    </row>
    <row r="810" spans="1:2" hidden="1" x14ac:dyDescent="0.3">
      <c r="A810" s="391">
        <v>42132</v>
      </c>
      <c r="B810" s="392">
        <v>113.6798</v>
      </c>
    </row>
    <row r="811" spans="1:2" hidden="1" x14ac:dyDescent="0.3">
      <c r="A811" s="391">
        <v>42135</v>
      </c>
      <c r="B811" s="392">
        <v>114.176</v>
      </c>
    </row>
    <row r="812" spans="1:2" hidden="1" x14ac:dyDescent="0.3">
      <c r="A812" s="391">
        <v>42136</v>
      </c>
      <c r="B812" s="392">
        <v>113.7607</v>
      </c>
    </row>
    <row r="813" spans="1:2" hidden="1" x14ac:dyDescent="0.3">
      <c r="A813" s="391">
        <v>42137</v>
      </c>
      <c r="B813" s="392">
        <v>113.21080000000001</v>
      </c>
    </row>
    <row r="814" spans="1:2" hidden="1" x14ac:dyDescent="0.3">
      <c r="A814" s="391">
        <v>42138</v>
      </c>
      <c r="B814" s="392">
        <v>113.0797</v>
      </c>
    </row>
    <row r="815" spans="1:2" hidden="1" x14ac:dyDescent="0.3">
      <c r="A815" s="391">
        <v>42139</v>
      </c>
      <c r="B815" s="392">
        <v>112.84820000000001</v>
      </c>
    </row>
    <row r="816" spans="1:2" hidden="1" x14ac:dyDescent="0.3">
      <c r="A816" s="391">
        <v>42142</v>
      </c>
      <c r="B816" s="392">
        <v>113.40989999999999</v>
      </c>
    </row>
    <row r="817" spans="1:2" hidden="1" x14ac:dyDescent="0.3">
      <c r="A817" s="391">
        <v>42143</v>
      </c>
      <c r="B817" s="392">
        <v>114.1444</v>
      </c>
    </row>
    <row r="818" spans="1:2" hidden="1" x14ac:dyDescent="0.3">
      <c r="A818" s="391">
        <v>42144</v>
      </c>
      <c r="B818" s="392">
        <v>114.37390000000001</v>
      </c>
    </row>
    <row r="819" spans="1:2" hidden="1" x14ac:dyDescent="0.3">
      <c r="A819" s="391">
        <v>42145</v>
      </c>
      <c r="B819" s="392">
        <v>114.1889</v>
      </c>
    </row>
    <row r="820" spans="1:2" hidden="1" x14ac:dyDescent="0.3">
      <c r="A820" s="391">
        <v>42146</v>
      </c>
      <c r="B820" s="392">
        <v>114.6315</v>
      </c>
    </row>
    <row r="821" spans="1:2" hidden="1" x14ac:dyDescent="0.3">
      <c r="A821" s="391">
        <v>42150</v>
      </c>
      <c r="B821" s="392">
        <v>115.5373</v>
      </c>
    </row>
    <row r="822" spans="1:2" hidden="1" x14ac:dyDescent="0.3">
      <c r="A822" s="391">
        <v>42151</v>
      </c>
      <c r="B822" s="392">
        <v>115.7208</v>
      </c>
    </row>
    <row r="823" spans="1:2" hidden="1" x14ac:dyDescent="0.3">
      <c r="A823" s="391">
        <v>42152</v>
      </c>
      <c r="B823" s="392">
        <v>115.7435</v>
      </c>
    </row>
    <row r="824" spans="1:2" hidden="1" x14ac:dyDescent="0.3">
      <c r="A824" s="391">
        <v>42153</v>
      </c>
      <c r="B824" s="392">
        <v>115.5625</v>
      </c>
    </row>
    <row r="825" spans="1:2" hidden="1" x14ac:dyDescent="0.3">
      <c r="A825" s="391">
        <v>42156</v>
      </c>
      <c r="B825" s="392">
        <v>116.05889999999999</v>
      </c>
    </row>
    <row r="826" spans="1:2" hidden="1" x14ac:dyDescent="0.3">
      <c r="A826" s="391">
        <v>42157</v>
      </c>
      <c r="B826" s="392">
        <v>115.3036</v>
      </c>
    </row>
    <row r="827" spans="1:2" hidden="1" x14ac:dyDescent="0.3">
      <c r="A827" s="391">
        <v>42158</v>
      </c>
      <c r="B827" s="392">
        <v>115.0052</v>
      </c>
    </row>
    <row r="828" spans="1:2" hidden="1" x14ac:dyDescent="0.3">
      <c r="A828" s="391">
        <v>42159</v>
      </c>
      <c r="B828" s="392">
        <v>115.3755</v>
      </c>
    </row>
    <row r="829" spans="1:2" hidden="1" x14ac:dyDescent="0.3">
      <c r="A829" s="391">
        <v>42160</v>
      </c>
      <c r="B829" s="392">
        <v>116.048</v>
      </c>
    </row>
    <row r="830" spans="1:2" hidden="1" x14ac:dyDescent="0.3">
      <c r="A830" s="391">
        <v>42163</v>
      </c>
      <c r="B830" s="392">
        <v>115.7034</v>
      </c>
    </row>
    <row r="831" spans="1:2" hidden="1" x14ac:dyDescent="0.3">
      <c r="A831" s="391">
        <v>42164</v>
      </c>
      <c r="B831" s="392">
        <v>115.15949999999999</v>
      </c>
    </row>
    <row r="832" spans="1:2" hidden="1" x14ac:dyDescent="0.3">
      <c r="A832" s="391">
        <v>42165</v>
      </c>
      <c r="B832" s="392">
        <v>114.7231</v>
      </c>
    </row>
    <row r="833" spans="1:3" hidden="1" x14ac:dyDescent="0.3">
      <c r="A833" s="391">
        <v>42166</v>
      </c>
      <c r="B833" s="392">
        <v>115.0179</v>
      </c>
    </row>
    <row r="834" spans="1:3" hidden="1" x14ac:dyDescent="0.3">
      <c r="A834" s="391">
        <v>42167</v>
      </c>
      <c r="B834" s="392">
        <v>114.846</v>
      </c>
    </row>
    <row r="835" spans="1:3" hidden="1" x14ac:dyDescent="0.3">
      <c r="A835" s="391">
        <v>42170</v>
      </c>
      <c r="B835" s="392">
        <v>114.9345</v>
      </c>
    </row>
    <row r="836" spans="1:3" hidden="1" x14ac:dyDescent="0.3">
      <c r="A836" s="391">
        <v>42171</v>
      </c>
      <c r="B836" s="392">
        <v>114.9816</v>
      </c>
    </row>
    <row r="837" spans="1:3" hidden="1" x14ac:dyDescent="0.3">
      <c r="A837" s="391">
        <v>42172</v>
      </c>
      <c r="B837" s="392">
        <v>115.01179999999999</v>
      </c>
    </row>
    <row r="838" spans="1:3" hidden="1" x14ac:dyDescent="0.3">
      <c r="A838" s="391">
        <v>42173</v>
      </c>
      <c r="B838" s="392">
        <v>114.0412</v>
      </c>
    </row>
    <row r="839" spans="1:3" hidden="1" x14ac:dyDescent="0.3">
      <c r="A839" s="391">
        <v>42174</v>
      </c>
      <c r="B839" s="392">
        <v>114.39830000000001</v>
      </c>
    </row>
    <row r="840" spans="1:3" hidden="1" x14ac:dyDescent="0.3">
      <c r="A840" s="391">
        <v>42177</v>
      </c>
      <c r="B840" s="392">
        <v>114.3219</v>
      </c>
    </row>
    <row r="841" spans="1:3" hidden="1" x14ac:dyDescent="0.3">
      <c r="A841" s="391">
        <v>42178</v>
      </c>
      <c r="B841" s="392">
        <v>114.90089999999999</v>
      </c>
    </row>
    <row r="842" spans="1:3" hidden="1" x14ac:dyDescent="0.3">
      <c r="A842" s="391">
        <v>42179</v>
      </c>
      <c r="B842" s="392">
        <v>115.1896</v>
      </c>
    </row>
    <row r="843" spans="1:3" hidden="1" x14ac:dyDescent="0.3">
      <c r="A843" s="391">
        <v>42180</v>
      </c>
      <c r="B843" s="392">
        <v>115.1037</v>
      </c>
    </row>
    <row r="844" spans="1:3" hidden="1" x14ac:dyDescent="0.3">
      <c r="A844" s="391">
        <v>42181</v>
      </c>
      <c r="B844" s="392">
        <v>115.3794</v>
      </c>
    </row>
    <row r="845" spans="1:3" hidden="1" x14ac:dyDescent="0.3">
      <c r="A845" s="391">
        <v>42184</v>
      </c>
      <c r="B845" s="392">
        <v>115.35599999999999</v>
      </c>
    </row>
    <row r="846" spans="1:3" x14ac:dyDescent="0.3">
      <c r="A846" s="391">
        <v>42185</v>
      </c>
      <c r="B846" s="392">
        <v>115.4649</v>
      </c>
      <c r="C846" s="393">
        <f>AVERAGE(B783:B846)</f>
        <v>114.83147968749995</v>
      </c>
    </row>
    <row r="847" spans="1:3" hidden="1" x14ac:dyDescent="0.3">
      <c r="A847" s="391">
        <v>42186</v>
      </c>
      <c r="B847" s="392">
        <v>115.9494</v>
      </c>
    </row>
    <row r="848" spans="1:3" hidden="1" x14ac:dyDescent="0.3">
      <c r="A848" s="391">
        <v>42187</v>
      </c>
      <c r="B848" s="392">
        <v>115.8498</v>
      </c>
    </row>
    <row r="849" spans="1:2" hidden="1" x14ac:dyDescent="0.3">
      <c r="A849" s="391">
        <v>42191</v>
      </c>
      <c r="B849" s="392">
        <v>116.0975</v>
      </c>
    </row>
    <row r="850" spans="1:2" hidden="1" x14ac:dyDescent="0.3">
      <c r="A850" s="391">
        <v>42192</v>
      </c>
      <c r="B850" s="392">
        <v>116.72709999999999</v>
      </c>
    </row>
    <row r="851" spans="1:2" hidden="1" x14ac:dyDescent="0.3">
      <c r="A851" s="391">
        <v>42193</v>
      </c>
      <c r="B851" s="392">
        <v>116.40309999999999</v>
      </c>
    </row>
    <row r="852" spans="1:2" hidden="1" x14ac:dyDescent="0.3">
      <c r="A852" s="391">
        <v>42194</v>
      </c>
      <c r="B852" s="392">
        <v>116.4888</v>
      </c>
    </row>
    <row r="853" spans="1:2" hidden="1" x14ac:dyDescent="0.3">
      <c r="A853" s="391">
        <v>42195</v>
      </c>
      <c r="B853" s="392">
        <v>116.1497</v>
      </c>
    </row>
    <row r="854" spans="1:2" hidden="1" x14ac:dyDescent="0.3">
      <c r="A854" s="391">
        <v>42198</v>
      </c>
      <c r="B854" s="392">
        <v>116.5284</v>
      </c>
    </row>
    <row r="855" spans="1:2" hidden="1" x14ac:dyDescent="0.3">
      <c r="A855" s="391">
        <v>42199</v>
      </c>
      <c r="B855" s="392">
        <v>116.4495</v>
      </c>
    </row>
    <row r="856" spans="1:2" hidden="1" x14ac:dyDescent="0.3">
      <c r="A856" s="391">
        <v>42200</v>
      </c>
      <c r="B856" s="392">
        <v>116.9755</v>
      </c>
    </row>
    <row r="857" spans="1:2" hidden="1" x14ac:dyDescent="0.3">
      <c r="A857" s="391">
        <v>42201</v>
      </c>
      <c r="B857" s="392">
        <v>117.13549999999999</v>
      </c>
    </row>
    <row r="858" spans="1:2" hidden="1" x14ac:dyDescent="0.3">
      <c r="A858" s="391">
        <v>42202</v>
      </c>
      <c r="B858" s="392">
        <v>117.4979</v>
      </c>
    </row>
    <row r="859" spans="1:2" hidden="1" x14ac:dyDescent="0.3">
      <c r="A859" s="391">
        <v>42205</v>
      </c>
      <c r="B859" s="392">
        <v>117.6692</v>
      </c>
    </row>
    <row r="860" spans="1:2" hidden="1" x14ac:dyDescent="0.3">
      <c r="A860" s="391">
        <v>42206</v>
      </c>
      <c r="B860" s="392">
        <v>117.3557</v>
      </c>
    </row>
    <row r="861" spans="1:2" hidden="1" x14ac:dyDescent="0.3">
      <c r="A861" s="391">
        <v>42207</v>
      </c>
      <c r="B861" s="392">
        <v>117.76560000000001</v>
      </c>
    </row>
    <row r="862" spans="1:2" hidden="1" x14ac:dyDescent="0.3">
      <c r="A862" s="391">
        <v>42208</v>
      </c>
      <c r="B862" s="392">
        <v>117.7422</v>
      </c>
    </row>
    <row r="863" spans="1:2" hidden="1" x14ac:dyDescent="0.3">
      <c r="A863" s="391">
        <v>42209</v>
      </c>
      <c r="B863" s="392">
        <v>118.01609999999999</v>
      </c>
    </row>
    <row r="864" spans="1:2" hidden="1" x14ac:dyDescent="0.3">
      <c r="A864" s="391">
        <v>42212</v>
      </c>
      <c r="B864" s="392">
        <v>117.7154</v>
      </c>
    </row>
    <row r="865" spans="1:2" hidden="1" x14ac:dyDescent="0.3">
      <c r="A865" s="391">
        <v>42213</v>
      </c>
      <c r="B865" s="392">
        <v>117.717</v>
      </c>
    </row>
    <row r="866" spans="1:2" hidden="1" x14ac:dyDescent="0.3">
      <c r="A866" s="391">
        <v>42214</v>
      </c>
      <c r="B866" s="392">
        <v>117.6245</v>
      </c>
    </row>
    <row r="867" spans="1:2" hidden="1" x14ac:dyDescent="0.3">
      <c r="A867" s="391">
        <v>42215</v>
      </c>
      <c r="B867" s="392">
        <v>118.476</v>
      </c>
    </row>
    <row r="868" spans="1:2" hidden="1" x14ac:dyDescent="0.3">
      <c r="A868" s="391">
        <v>42216</v>
      </c>
      <c r="B868" s="392">
        <v>117.8293</v>
      </c>
    </row>
    <row r="869" spans="1:2" hidden="1" x14ac:dyDescent="0.3">
      <c r="A869" s="391">
        <v>42219</v>
      </c>
      <c r="B869" s="392">
        <v>118.28279999999999</v>
      </c>
    </row>
    <row r="870" spans="1:2" hidden="1" x14ac:dyDescent="0.3">
      <c r="A870" s="391">
        <v>42220</v>
      </c>
      <c r="B870" s="392">
        <v>118.2884</v>
      </c>
    </row>
    <row r="871" spans="1:2" hidden="1" x14ac:dyDescent="0.3">
      <c r="A871" s="391">
        <v>42221</v>
      </c>
      <c r="B871" s="392">
        <v>118.92959999999999</v>
      </c>
    </row>
    <row r="872" spans="1:2" hidden="1" x14ac:dyDescent="0.3">
      <c r="A872" s="391">
        <v>42222</v>
      </c>
      <c r="B872" s="392">
        <v>118.7988</v>
      </c>
    </row>
    <row r="873" spans="1:2" hidden="1" x14ac:dyDescent="0.3">
      <c r="A873" s="391">
        <v>42223</v>
      </c>
      <c r="B873" s="392">
        <v>118.51090000000001</v>
      </c>
    </row>
    <row r="874" spans="1:2" hidden="1" x14ac:dyDescent="0.3">
      <c r="A874" s="391">
        <v>42226</v>
      </c>
      <c r="B874" s="392">
        <v>118.26779999999999</v>
      </c>
    </row>
    <row r="875" spans="1:2" hidden="1" x14ac:dyDescent="0.3">
      <c r="A875" s="391">
        <v>42227</v>
      </c>
      <c r="B875" s="392">
        <v>119.2148</v>
      </c>
    </row>
    <row r="876" spans="1:2" hidden="1" x14ac:dyDescent="0.3">
      <c r="A876" s="391">
        <v>42228</v>
      </c>
      <c r="B876" s="392">
        <v>118.8466</v>
      </c>
    </row>
    <row r="877" spans="1:2" hidden="1" x14ac:dyDescent="0.3">
      <c r="A877" s="391">
        <v>42229</v>
      </c>
      <c r="B877" s="392">
        <v>119.28</v>
      </c>
    </row>
    <row r="878" spans="1:2" hidden="1" x14ac:dyDescent="0.3">
      <c r="A878" s="391">
        <v>42230</v>
      </c>
      <c r="B878" s="392">
        <v>119.30710000000001</v>
      </c>
    </row>
    <row r="879" spans="1:2" hidden="1" x14ac:dyDescent="0.3">
      <c r="A879" s="391">
        <v>42233</v>
      </c>
      <c r="B879" s="392">
        <v>119.5568</v>
      </c>
    </row>
    <row r="880" spans="1:2" hidden="1" x14ac:dyDescent="0.3">
      <c r="A880" s="391">
        <v>42234</v>
      </c>
      <c r="B880" s="392">
        <v>119.6767</v>
      </c>
    </row>
    <row r="881" spans="1:2" hidden="1" x14ac:dyDescent="0.3">
      <c r="A881" s="391">
        <v>42235</v>
      </c>
      <c r="B881" s="392">
        <v>119.85209999999999</v>
      </c>
    </row>
    <row r="882" spans="1:2" hidden="1" x14ac:dyDescent="0.3">
      <c r="A882" s="391">
        <v>42236</v>
      </c>
      <c r="B882" s="392">
        <v>119.5513</v>
      </c>
    </row>
    <row r="883" spans="1:2" hidden="1" x14ac:dyDescent="0.3">
      <c r="A883" s="391">
        <v>42237</v>
      </c>
      <c r="B883" s="392">
        <v>119.6046</v>
      </c>
    </row>
    <row r="884" spans="1:2" hidden="1" x14ac:dyDescent="0.3">
      <c r="A884" s="391">
        <v>42240</v>
      </c>
      <c r="B884" s="392">
        <v>119.422</v>
      </c>
    </row>
    <row r="885" spans="1:2" hidden="1" x14ac:dyDescent="0.3">
      <c r="A885" s="391">
        <v>42241</v>
      </c>
      <c r="B885" s="392">
        <v>119.8043</v>
      </c>
    </row>
    <row r="886" spans="1:2" hidden="1" x14ac:dyDescent="0.3">
      <c r="A886" s="391">
        <v>42242</v>
      </c>
      <c r="B886" s="392">
        <v>120.009</v>
      </c>
    </row>
    <row r="887" spans="1:2" hidden="1" x14ac:dyDescent="0.3">
      <c r="A887" s="391">
        <v>42243</v>
      </c>
      <c r="B887" s="392">
        <v>119.85769999999999</v>
      </c>
    </row>
    <row r="888" spans="1:2" hidden="1" x14ac:dyDescent="0.3">
      <c r="A888" s="391">
        <v>42244</v>
      </c>
      <c r="B888" s="392">
        <v>120.011</v>
      </c>
    </row>
    <row r="889" spans="1:2" hidden="1" x14ac:dyDescent="0.3">
      <c r="A889" s="391">
        <v>42247</v>
      </c>
      <c r="B889" s="392">
        <v>119.8776</v>
      </c>
    </row>
    <row r="890" spans="1:2" hidden="1" x14ac:dyDescent="0.3">
      <c r="A890" s="391">
        <v>42248</v>
      </c>
      <c r="B890" s="392">
        <v>119.7627</v>
      </c>
    </row>
    <row r="891" spans="1:2" hidden="1" x14ac:dyDescent="0.3">
      <c r="A891" s="391">
        <v>42249</v>
      </c>
      <c r="B891" s="392">
        <v>120.09350000000001</v>
      </c>
    </row>
    <row r="892" spans="1:2" hidden="1" x14ac:dyDescent="0.3">
      <c r="A892" s="391">
        <v>42250</v>
      </c>
      <c r="B892" s="392">
        <v>120.157</v>
      </c>
    </row>
    <row r="893" spans="1:2" hidden="1" x14ac:dyDescent="0.3">
      <c r="A893" s="391">
        <v>42251</v>
      </c>
      <c r="B893" s="392">
        <v>120.4158</v>
      </c>
    </row>
    <row r="894" spans="1:2" hidden="1" x14ac:dyDescent="0.3">
      <c r="A894" s="391">
        <v>42255</v>
      </c>
      <c r="B894" s="392">
        <v>120.1644</v>
      </c>
    </row>
    <row r="895" spans="1:2" hidden="1" x14ac:dyDescent="0.3">
      <c r="A895" s="391">
        <v>42256</v>
      </c>
      <c r="B895" s="392">
        <v>120.3013</v>
      </c>
    </row>
    <row r="896" spans="1:2" hidden="1" x14ac:dyDescent="0.3">
      <c r="A896" s="391">
        <v>42257</v>
      </c>
      <c r="B896" s="392">
        <v>120.0133</v>
      </c>
    </row>
    <row r="897" spans="1:3" hidden="1" x14ac:dyDescent="0.3">
      <c r="A897" s="391">
        <v>42258</v>
      </c>
      <c r="B897" s="392">
        <v>119.9764</v>
      </c>
    </row>
    <row r="898" spans="1:3" hidden="1" x14ac:dyDescent="0.3">
      <c r="A898" s="391">
        <v>42261</v>
      </c>
      <c r="B898" s="392">
        <v>119.85</v>
      </c>
    </row>
    <row r="899" spans="1:3" hidden="1" x14ac:dyDescent="0.3">
      <c r="A899" s="391">
        <v>42262</v>
      </c>
      <c r="B899" s="392">
        <v>119.96729999999999</v>
      </c>
    </row>
    <row r="900" spans="1:3" hidden="1" x14ac:dyDescent="0.3">
      <c r="A900" s="391">
        <v>42263</v>
      </c>
      <c r="B900" s="392">
        <v>119.4328</v>
      </c>
    </row>
    <row r="901" spans="1:3" hidden="1" x14ac:dyDescent="0.3">
      <c r="A901" s="391">
        <v>42264</v>
      </c>
      <c r="B901" s="392">
        <v>119.43</v>
      </c>
    </row>
    <row r="902" spans="1:3" hidden="1" x14ac:dyDescent="0.3">
      <c r="A902" s="391">
        <v>42265</v>
      </c>
      <c r="B902" s="392">
        <v>119.1352</v>
      </c>
    </row>
    <row r="903" spans="1:3" hidden="1" x14ac:dyDescent="0.3">
      <c r="A903" s="391">
        <v>42268</v>
      </c>
      <c r="B903" s="392">
        <v>119.9821</v>
      </c>
    </row>
    <row r="904" spans="1:3" hidden="1" x14ac:dyDescent="0.3">
      <c r="A904" s="391">
        <v>42269</v>
      </c>
      <c r="B904" s="392">
        <v>120.54989999999999</v>
      </c>
    </row>
    <row r="905" spans="1:3" hidden="1" x14ac:dyDescent="0.3">
      <c r="A905" s="391">
        <v>42270</v>
      </c>
      <c r="B905" s="392">
        <v>121.0056</v>
      </c>
    </row>
    <row r="906" spans="1:3" hidden="1" x14ac:dyDescent="0.3">
      <c r="A906" s="391">
        <v>42271</v>
      </c>
      <c r="B906" s="392">
        <v>120.8098</v>
      </c>
    </row>
    <row r="907" spans="1:3" hidden="1" x14ac:dyDescent="0.3">
      <c r="A907" s="391">
        <v>42272</v>
      </c>
      <c r="B907" s="392">
        <v>120.72029999999999</v>
      </c>
    </row>
    <row r="908" spans="1:3" hidden="1" x14ac:dyDescent="0.3">
      <c r="A908" s="391">
        <v>42275</v>
      </c>
      <c r="B908" s="392">
        <v>120.7522</v>
      </c>
    </row>
    <row r="909" spans="1:3" hidden="1" x14ac:dyDescent="0.3">
      <c r="A909" s="391">
        <v>42276</v>
      </c>
      <c r="B909" s="392">
        <v>120.86360000000001</v>
      </c>
    </row>
    <row r="910" spans="1:3" x14ac:dyDescent="0.3">
      <c r="A910" s="391">
        <v>42277</v>
      </c>
      <c r="B910" s="392">
        <v>120.6347</v>
      </c>
      <c r="C910" s="393">
        <f>AVERAGE(B847:B910)</f>
        <v>118.83017187499998</v>
      </c>
    </row>
    <row r="911" spans="1:3" hidden="1" x14ac:dyDescent="0.3">
      <c r="A911" s="391">
        <v>42278</v>
      </c>
      <c r="B911" s="392">
        <v>120.3678</v>
      </c>
    </row>
    <row r="912" spans="1:3" hidden="1" x14ac:dyDescent="0.3">
      <c r="A912" s="391">
        <v>42279</v>
      </c>
      <c r="B912" s="392">
        <v>120.035</v>
      </c>
    </row>
    <row r="913" spans="1:2" hidden="1" x14ac:dyDescent="0.3">
      <c r="A913" s="391">
        <v>42282</v>
      </c>
      <c r="B913" s="392">
        <v>119.73690000000001</v>
      </c>
    </row>
    <row r="914" spans="1:2" hidden="1" x14ac:dyDescent="0.3">
      <c r="A914" s="391">
        <v>42283</v>
      </c>
      <c r="B914" s="392">
        <v>119.4256</v>
      </c>
    </row>
    <row r="915" spans="1:2" hidden="1" x14ac:dyDescent="0.3">
      <c r="A915" s="391">
        <v>42284</v>
      </c>
      <c r="B915" s="392">
        <v>119.0624</v>
      </c>
    </row>
    <row r="916" spans="1:2" hidden="1" x14ac:dyDescent="0.3">
      <c r="A916" s="391">
        <v>42285</v>
      </c>
      <c r="B916" s="392">
        <v>118.8917</v>
      </c>
    </row>
    <row r="917" spans="1:2" hidden="1" x14ac:dyDescent="0.3">
      <c r="A917" s="391">
        <v>42286</v>
      </c>
      <c r="B917" s="392">
        <v>118.28489999999999</v>
      </c>
    </row>
    <row r="918" spans="1:2" hidden="1" x14ac:dyDescent="0.3">
      <c r="A918" s="391">
        <v>42290</v>
      </c>
      <c r="B918" s="392">
        <v>118.6232</v>
      </c>
    </row>
    <row r="919" spans="1:2" hidden="1" x14ac:dyDescent="0.3">
      <c r="A919" s="391">
        <v>42291</v>
      </c>
      <c r="B919" s="392">
        <v>118.3447</v>
      </c>
    </row>
    <row r="920" spans="1:2" hidden="1" x14ac:dyDescent="0.3">
      <c r="A920" s="391">
        <v>42292</v>
      </c>
      <c r="B920" s="392">
        <v>117.83969999999999</v>
      </c>
    </row>
    <row r="921" spans="1:2" hidden="1" x14ac:dyDescent="0.3">
      <c r="A921" s="391">
        <v>42293</v>
      </c>
      <c r="B921" s="392">
        <v>118.2002</v>
      </c>
    </row>
    <row r="922" spans="1:2" hidden="1" x14ac:dyDescent="0.3">
      <c r="A922" s="391">
        <v>42296</v>
      </c>
      <c r="B922" s="392">
        <v>118.6193</v>
      </c>
    </row>
    <row r="923" spans="1:2" hidden="1" x14ac:dyDescent="0.3">
      <c r="A923" s="391">
        <v>42297</v>
      </c>
      <c r="B923" s="392">
        <v>118.5671</v>
      </c>
    </row>
    <row r="924" spans="1:2" hidden="1" x14ac:dyDescent="0.3">
      <c r="A924" s="391">
        <v>42298</v>
      </c>
      <c r="B924" s="392">
        <v>119.0213</v>
      </c>
    </row>
    <row r="925" spans="1:2" hidden="1" x14ac:dyDescent="0.3">
      <c r="A925" s="391">
        <v>42299</v>
      </c>
      <c r="B925" s="392">
        <v>119.2735</v>
      </c>
    </row>
    <row r="926" spans="1:2" hidden="1" x14ac:dyDescent="0.3">
      <c r="A926" s="391">
        <v>42300</v>
      </c>
      <c r="B926" s="392">
        <v>119.6421</v>
      </c>
    </row>
    <row r="927" spans="1:2" hidden="1" x14ac:dyDescent="0.3">
      <c r="A927" s="391">
        <v>42303</v>
      </c>
      <c r="B927" s="392">
        <v>119.42010000000001</v>
      </c>
    </row>
    <row r="928" spans="1:2" hidden="1" x14ac:dyDescent="0.3">
      <c r="A928" s="391">
        <v>42304</v>
      </c>
      <c r="B928" s="392">
        <v>119.7169</v>
      </c>
    </row>
    <row r="929" spans="1:2" hidden="1" x14ac:dyDescent="0.3">
      <c r="A929" s="391">
        <v>42305</v>
      </c>
      <c r="B929" s="392">
        <v>119.4528</v>
      </c>
    </row>
    <row r="930" spans="1:2" hidden="1" x14ac:dyDescent="0.3">
      <c r="A930" s="391">
        <v>42306</v>
      </c>
      <c r="B930" s="392">
        <v>120.05240000000001</v>
      </c>
    </row>
    <row r="931" spans="1:2" hidden="1" x14ac:dyDescent="0.3">
      <c r="A931" s="391">
        <v>42307</v>
      </c>
      <c r="B931" s="392">
        <v>119.4196</v>
      </c>
    </row>
    <row r="932" spans="1:2" hidden="1" x14ac:dyDescent="0.3">
      <c r="A932" s="391">
        <v>42310</v>
      </c>
      <c r="B932" s="392">
        <v>119.4224</v>
      </c>
    </row>
    <row r="933" spans="1:2" hidden="1" x14ac:dyDescent="0.3">
      <c r="A933" s="391">
        <v>42311</v>
      </c>
      <c r="B933" s="392">
        <v>119.4329</v>
      </c>
    </row>
    <row r="934" spans="1:2" hidden="1" x14ac:dyDescent="0.3">
      <c r="A934" s="391">
        <v>42312</v>
      </c>
      <c r="B934" s="392">
        <v>119.9209</v>
      </c>
    </row>
    <row r="935" spans="1:2" hidden="1" x14ac:dyDescent="0.3">
      <c r="A935" s="391">
        <v>42313</v>
      </c>
      <c r="B935" s="392">
        <v>120.0097</v>
      </c>
    </row>
    <row r="936" spans="1:2" hidden="1" x14ac:dyDescent="0.3">
      <c r="A936" s="391">
        <v>42314</v>
      </c>
      <c r="B936" s="392">
        <v>120.9235</v>
      </c>
    </row>
    <row r="937" spans="1:2" hidden="1" x14ac:dyDescent="0.3">
      <c r="A937" s="391">
        <v>42317</v>
      </c>
      <c r="B937" s="392">
        <v>121.1827</v>
      </c>
    </row>
    <row r="938" spans="1:2" hidden="1" x14ac:dyDescent="0.3">
      <c r="A938" s="391">
        <v>42318</v>
      </c>
      <c r="B938" s="392">
        <v>121.2548</v>
      </c>
    </row>
    <row r="939" spans="1:2" hidden="1" x14ac:dyDescent="0.3">
      <c r="A939" s="391">
        <v>42320</v>
      </c>
      <c r="B939" s="392">
        <v>121.10169999999999</v>
      </c>
    </row>
    <row r="940" spans="1:2" hidden="1" x14ac:dyDescent="0.3">
      <c r="A940" s="391">
        <v>42321</v>
      </c>
      <c r="B940" s="392">
        <v>121.3516</v>
      </c>
    </row>
    <row r="941" spans="1:2" hidden="1" x14ac:dyDescent="0.3">
      <c r="A941" s="391">
        <v>42324</v>
      </c>
      <c r="B941" s="392">
        <v>121.53189999999999</v>
      </c>
    </row>
    <row r="942" spans="1:2" hidden="1" x14ac:dyDescent="0.3">
      <c r="A942" s="391">
        <v>42325</v>
      </c>
      <c r="B942" s="392">
        <v>121.6323</v>
      </c>
    </row>
    <row r="943" spans="1:2" hidden="1" x14ac:dyDescent="0.3">
      <c r="A943" s="391">
        <v>42326</v>
      </c>
      <c r="B943" s="392">
        <v>121.6842</v>
      </c>
    </row>
    <row r="944" spans="1:2" hidden="1" x14ac:dyDescent="0.3">
      <c r="A944" s="391">
        <v>42327</v>
      </c>
      <c r="B944" s="392">
        <v>120.88160000000001</v>
      </c>
    </row>
    <row r="945" spans="1:2" hidden="1" x14ac:dyDescent="0.3">
      <c r="A945" s="391">
        <v>42328</v>
      </c>
      <c r="B945" s="392">
        <v>121.054</v>
      </c>
    </row>
    <row r="946" spans="1:2" hidden="1" x14ac:dyDescent="0.3">
      <c r="A946" s="391">
        <v>42331</v>
      </c>
      <c r="B946" s="392">
        <v>121.4104</v>
      </c>
    </row>
    <row r="947" spans="1:2" hidden="1" x14ac:dyDescent="0.3">
      <c r="A947" s="391">
        <v>42332</v>
      </c>
      <c r="B947" s="392">
        <v>121.0324</v>
      </c>
    </row>
    <row r="948" spans="1:2" hidden="1" x14ac:dyDescent="0.3">
      <c r="A948" s="391">
        <v>42333</v>
      </c>
      <c r="B948" s="392">
        <v>121.1514</v>
      </c>
    </row>
    <row r="949" spans="1:2" hidden="1" x14ac:dyDescent="0.3">
      <c r="A949" s="391">
        <v>42335</v>
      </c>
      <c r="B949" s="392">
        <v>121.56950000000001</v>
      </c>
    </row>
    <row r="950" spans="1:2" hidden="1" x14ac:dyDescent="0.3">
      <c r="A950" s="391">
        <v>42338</v>
      </c>
      <c r="B950" s="392">
        <v>121.6117</v>
      </c>
    </row>
    <row r="951" spans="1:2" hidden="1" x14ac:dyDescent="0.3">
      <c r="A951" s="391">
        <v>42339</v>
      </c>
      <c r="B951" s="392">
        <v>121.3858</v>
      </c>
    </row>
    <row r="952" spans="1:2" hidden="1" x14ac:dyDescent="0.3">
      <c r="A952" s="391">
        <v>42340</v>
      </c>
      <c r="B952" s="392">
        <v>121.6395</v>
      </c>
    </row>
    <row r="953" spans="1:2" hidden="1" x14ac:dyDescent="0.3">
      <c r="A953" s="391">
        <v>42341</v>
      </c>
      <c r="B953" s="392">
        <v>120.9325</v>
      </c>
    </row>
    <row r="954" spans="1:2" hidden="1" x14ac:dyDescent="0.3">
      <c r="A954" s="391">
        <v>42342</v>
      </c>
      <c r="B954" s="392">
        <v>120.8503</v>
      </c>
    </row>
    <row r="955" spans="1:2" hidden="1" x14ac:dyDescent="0.3">
      <c r="A955" s="391">
        <v>42345</v>
      </c>
      <c r="B955" s="392">
        <v>121.6648</v>
      </c>
    </row>
    <row r="956" spans="1:2" hidden="1" x14ac:dyDescent="0.3">
      <c r="A956" s="391">
        <v>42346</v>
      </c>
      <c r="B956" s="392">
        <v>121.91800000000001</v>
      </c>
    </row>
    <row r="957" spans="1:2" hidden="1" x14ac:dyDescent="0.3">
      <c r="A957" s="391">
        <v>42347</v>
      </c>
      <c r="B957" s="392">
        <v>121.59610000000001</v>
      </c>
    </row>
    <row r="958" spans="1:2" hidden="1" x14ac:dyDescent="0.3">
      <c r="A958" s="391">
        <v>42348</v>
      </c>
      <c r="B958" s="392">
        <v>121.673</v>
      </c>
    </row>
    <row r="959" spans="1:2" hidden="1" x14ac:dyDescent="0.3">
      <c r="A959" s="391">
        <v>42349</v>
      </c>
      <c r="B959" s="392">
        <v>122.1773</v>
      </c>
    </row>
    <row r="960" spans="1:2" hidden="1" x14ac:dyDescent="0.3">
      <c r="A960" s="391">
        <v>42352</v>
      </c>
      <c r="B960" s="392">
        <v>122.2098</v>
      </c>
    </row>
    <row r="961" spans="1:3" hidden="1" x14ac:dyDescent="0.3">
      <c r="A961" s="391">
        <v>42353</v>
      </c>
      <c r="B961" s="392">
        <v>122.2838</v>
      </c>
    </row>
    <row r="962" spans="1:3" hidden="1" x14ac:dyDescent="0.3">
      <c r="A962" s="391">
        <v>42354</v>
      </c>
      <c r="B962" s="392">
        <v>122.4265</v>
      </c>
    </row>
    <row r="963" spans="1:3" hidden="1" x14ac:dyDescent="0.3">
      <c r="A963" s="391">
        <v>42355</v>
      </c>
      <c r="B963" s="392">
        <v>123.277</v>
      </c>
    </row>
    <row r="964" spans="1:3" hidden="1" x14ac:dyDescent="0.3">
      <c r="A964" s="391">
        <v>42356</v>
      </c>
      <c r="B964" s="392">
        <v>122.721</v>
      </c>
    </row>
    <row r="965" spans="1:3" hidden="1" x14ac:dyDescent="0.3">
      <c r="A965" s="391">
        <v>42359</v>
      </c>
      <c r="B965" s="392">
        <v>122.83459999999999</v>
      </c>
    </row>
    <row r="966" spans="1:3" hidden="1" x14ac:dyDescent="0.3">
      <c r="A966" s="391">
        <v>42360</v>
      </c>
      <c r="B966" s="392">
        <v>122.6157</v>
      </c>
    </row>
    <row r="967" spans="1:3" hidden="1" x14ac:dyDescent="0.3">
      <c r="A967" s="391">
        <v>42361</v>
      </c>
      <c r="B967" s="392">
        <v>122.5626</v>
      </c>
    </row>
    <row r="968" spans="1:3" hidden="1" x14ac:dyDescent="0.3">
      <c r="A968" s="391">
        <v>42362</v>
      </c>
      <c r="B968" s="392">
        <v>122.4696</v>
      </c>
    </row>
    <row r="969" spans="1:3" hidden="1" x14ac:dyDescent="0.3">
      <c r="A969" s="391">
        <v>42366</v>
      </c>
      <c r="B969" s="392">
        <v>122.4847</v>
      </c>
    </row>
    <row r="970" spans="1:3" hidden="1" x14ac:dyDescent="0.3">
      <c r="A970" s="391">
        <v>42367</v>
      </c>
      <c r="B970" s="392">
        <v>122.5988</v>
      </c>
    </row>
    <row r="971" spans="1:3" hidden="1" x14ac:dyDescent="0.3">
      <c r="A971" s="391">
        <v>42368</v>
      </c>
      <c r="B971" s="392">
        <v>122.94580000000001</v>
      </c>
    </row>
    <row r="972" spans="1:3" x14ac:dyDescent="0.3">
      <c r="A972" s="391">
        <v>42369</v>
      </c>
      <c r="B972" s="392">
        <v>122.7709</v>
      </c>
      <c r="C972" s="393">
        <f>AVERAGE(B911:B972)</f>
        <v>120.7773370967742</v>
      </c>
    </row>
    <row r="973" spans="1:3" hidden="1" x14ac:dyDescent="0.3">
      <c r="A973" s="391">
        <v>42373</v>
      </c>
      <c r="B973" s="392">
        <v>123.69289999999999</v>
      </c>
    </row>
    <row r="974" spans="1:3" hidden="1" x14ac:dyDescent="0.3">
      <c r="A974" s="391">
        <v>42374</v>
      </c>
      <c r="B974" s="392">
        <v>123.774</v>
      </c>
    </row>
    <row r="975" spans="1:3" hidden="1" x14ac:dyDescent="0.3">
      <c r="A975" s="391">
        <v>42375</v>
      </c>
      <c r="B975" s="392">
        <v>124.1992</v>
      </c>
    </row>
    <row r="976" spans="1:3" hidden="1" x14ac:dyDescent="0.3">
      <c r="A976" s="391">
        <v>42376</v>
      </c>
      <c r="B976" s="392">
        <v>124.2812</v>
      </c>
    </row>
    <row r="977" spans="1:2" hidden="1" x14ac:dyDescent="0.3">
      <c r="A977" s="391">
        <v>42377</v>
      </c>
      <c r="B977" s="392">
        <v>124.65389999999999</v>
      </c>
    </row>
    <row r="978" spans="1:2" hidden="1" x14ac:dyDescent="0.3">
      <c r="A978" s="391">
        <v>42380</v>
      </c>
      <c r="B978" s="392">
        <v>124.6357</v>
      </c>
    </row>
    <row r="979" spans="1:2" hidden="1" x14ac:dyDescent="0.3">
      <c r="A979" s="391">
        <v>42381</v>
      </c>
      <c r="B979" s="392">
        <v>124.928</v>
      </c>
    </row>
    <row r="980" spans="1:2" hidden="1" x14ac:dyDescent="0.3">
      <c r="A980" s="391">
        <v>42382</v>
      </c>
      <c r="B980" s="392">
        <v>124.7564</v>
      </c>
    </row>
    <row r="981" spans="1:2" hidden="1" x14ac:dyDescent="0.3">
      <c r="A981" s="391">
        <v>42383</v>
      </c>
      <c r="B981" s="392">
        <v>125.0039</v>
      </c>
    </row>
    <row r="982" spans="1:2" hidden="1" x14ac:dyDescent="0.3">
      <c r="A982" s="391">
        <v>42384</v>
      </c>
      <c r="B982" s="392">
        <v>125.3626</v>
      </c>
    </row>
    <row r="983" spans="1:2" hidden="1" x14ac:dyDescent="0.3">
      <c r="A983" s="391">
        <v>42388</v>
      </c>
      <c r="B983" s="392">
        <v>125.4068</v>
      </c>
    </row>
    <row r="984" spans="1:2" hidden="1" x14ac:dyDescent="0.3">
      <c r="A984" s="391">
        <v>42389</v>
      </c>
      <c r="B984" s="392">
        <v>125.98399999999999</v>
      </c>
    </row>
    <row r="985" spans="1:2" hidden="1" x14ac:dyDescent="0.3">
      <c r="A985" s="391">
        <v>42390</v>
      </c>
      <c r="B985" s="392">
        <v>125.6384</v>
      </c>
    </row>
    <row r="986" spans="1:2" hidden="1" x14ac:dyDescent="0.3">
      <c r="A986" s="391">
        <v>42391</v>
      </c>
      <c r="B986" s="392">
        <v>125.37179999999999</v>
      </c>
    </row>
    <row r="987" spans="1:2" hidden="1" x14ac:dyDescent="0.3">
      <c r="A987" s="391">
        <v>42394</v>
      </c>
      <c r="B987" s="392">
        <v>125.62439999999999</v>
      </c>
    </row>
    <row r="988" spans="1:2" hidden="1" x14ac:dyDescent="0.3">
      <c r="A988" s="391">
        <v>42395</v>
      </c>
      <c r="B988" s="392">
        <v>125.2761</v>
      </c>
    </row>
    <row r="989" spans="1:2" hidden="1" x14ac:dyDescent="0.3">
      <c r="A989" s="391">
        <v>42396</v>
      </c>
      <c r="B989" s="392">
        <v>125.1146</v>
      </c>
    </row>
    <row r="990" spans="1:2" hidden="1" x14ac:dyDescent="0.3">
      <c r="A990" s="391">
        <v>42397</v>
      </c>
      <c r="B990" s="392">
        <v>124.8181</v>
      </c>
    </row>
    <row r="991" spans="1:2" hidden="1" x14ac:dyDescent="0.3">
      <c r="A991" s="391">
        <v>42398</v>
      </c>
      <c r="B991" s="392">
        <v>125.13420000000001</v>
      </c>
    </row>
    <row r="992" spans="1:2" hidden="1" x14ac:dyDescent="0.3">
      <c r="A992" s="391">
        <v>42401</v>
      </c>
      <c r="B992" s="392">
        <v>124.93</v>
      </c>
    </row>
    <row r="993" spans="1:2" hidden="1" x14ac:dyDescent="0.3">
      <c r="A993" s="391">
        <v>42402</v>
      </c>
      <c r="B993" s="392">
        <v>125.2043</v>
      </c>
    </row>
    <row r="994" spans="1:2" hidden="1" x14ac:dyDescent="0.3">
      <c r="A994" s="391">
        <v>42403</v>
      </c>
      <c r="B994" s="392">
        <v>124.26519999999999</v>
      </c>
    </row>
    <row r="995" spans="1:2" hidden="1" x14ac:dyDescent="0.3">
      <c r="A995" s="391">
        <v>42404</v>
      </c>
      <c r="B995" s="392">
        <v>123.1948</v>
      </c>
    </row>
    <row r="996" spans="1:2" hidden="1" x14ac:dyDescent="0.3">
      <c r="A996" s="391">
        <v>42405</v>
      </c>
      <c r="B996" s="392">
        <v>123.90860000000001</v>
      </c>
    </row>
    <row r="997" spans="1:2" hidden="1" x14ac:dyDescent="0.3">
      <c r="A997" s="391">
        <v>42408</v>
      </c>
      <c r="B997" s="392">
        <v>124.0496</v>
      </c>
    </row>
    <row r="998" spans="1:2" hidden="1" x14ac:dyDescent="0.3">
      <c r="A998" s="391">
        <v>42409</v>
      </c>
      <c r="B998" s="392">
        <v>123.773</v>
      </c>
    </row>
    <row r="999" spans="1:2" hidden="1" x14ac:dyDescent="0.3">
      <c r="A999" s="391">
        <v>42410</v>
      </c>
      <c r="B999" s="392">
        <v>123.89060000000001</v>
      </c>
    </row>
    <row r="1000" spans="1:2" hidden="1" x14ac:dyDescent="0.3">
      <c r="A1000" s="391">
        <v>42411</v>
      </c>
      <c r="B1000" s="392">
        <v>123.8013</v>
      </c>
    </row>
    <row r="1001" spans="1:2" hidden="1" x14ac:dyDescent="0.3">
      <c r="A1001" s="391">
        <v>42412</v>
      </c>
      <c r="B1001" s="392">
        <v>123.9271</v>
      </c>
    </row>
    <row r="1002" spans="1:2" hidden="1" x14ac:dyDescent="0.3">
      <c r="A1002" s="391">
        <v>42416</v>
      </c>
      <c r="B1002" s="392">
        <v>124.01309999999999</v>
      </c>
    </row>
    <row r="1003" spans="1:2" hidden="1" x14ac:dyDescent="0.3">
      <c r="A1003" s="391">
        <v>42417</v>
      </c>
      <c r="B1003" s="392">
        <v>123.3877</v>
      </c>
    </row>
    <row r="1004" spans="1:2" hidden="1" x14ac:dyDescent="0.3">
      <c r="A1004" s="391">
        <v>42418</v>
      </c>
      <c r="B1004" s="392">
        <v>123.40860000000001</v>
      </c>
    </row>
    <row r="1005" spans="1:2" hidden="1" x14ac:dyDescent="0.3">
      <c r="A1005" s="391">
        <v>42419</v>
      </c>
      <c r="B1005" s="392">
        <v>123.49120000000001</v>
      </c>
    </row>
    <row r="1006" spans="1:2" hidden="1" x14ac:dyDescent="0.3">
      <c r="A1006" s="391">
        <v>42422</v>
      </c>
      <c r="B1006" s="392">
        <v>123.29900000000001</v>
      </c>
    </row>
    <row r="1007" spans="1:2" hidden="1" x14ac:dyDescent="0.3">
      <c r="A1007" s="391">
        <v>42423</v>
      </c>
      <c r="B1007" s="392">
        <v>123.66679999999999</v>
      </c>
    </row>
    <row r="1008" spans="1:2" hidden="1" x14ac:dyDescent="0.3">
      <c r="A1008" s="391">
        <v>42424</v>
      </c>
      <c r="B1008" s="392">
        <v>123.6557</v>
      </c>
    </row>
    <row r="1009" spans="1:2" hidden="1" x14ac:dyDescent="0.3">
      <c r="A1009" s="391">
        <v>42425</v>
      </c>
      <c r="B1009" s="392">
        <v>123.42189999999999</v>
      </c>
    </row>
    <row r="1010" spans="1:2" hidden="1" x14ac:dyDescent="0.3">
      <c r="A1010" s="391">
        <v>42426</v>
      </c>
      <c r="B1010" s="392">
        <v>123.8895</v>
      </c>
    </row>
    <row r="1011" spans="1:2" hidden="1" x14ac:dyDescent="0.3">
      <c r="A1011" s="391">
        <v>42429</v>
      </c>
      <c r="B1011" s="392">
        <v>123.7694</v>
      </c>
    </row>
    <row r="1012" spans="1:2" hidden="1" x14ac:dyDescent="0.3">
      <c r="A1012" s="391">
        <v>42430</v>
      </c>
      <c r="B1012" s="392">
        <v>123.4263</v>
      </c>
    </row>
    <row r="1013" spans="1:2" hidden="1" x14ac:dyDescent="0.3">
      <c r="A1013" s="391">
        <v>42431</v>
      </c>
      <c r="B1013" s="392">
        <v>123.2988</v>
      </c>
    </row>
    <row r="1014" spans="1:2" hidden="1" x14ac:dyDescent="0.3">
      <c r="A1014" s="391">
        <v>42432</v>
      </c>
      <c r="B1014" s="392">
        <v>122.7182</v>
      </c>
    </row>
    <row r="1015" spans="1:2" hidden="1" x14ac:dyDescent="0.3">
      <c r="A1015" s="391">
        <v>42433</v>
      </c>
      <c r="B1015" s="392">
        <v>122.04259999999999</v>
      </c>
    </row>
    <row r="1016" spans="1:2" hidden="1" x14ac:dyDescent="0.3">
      <c r="A1016" s="391">
        <v>42436</v>
      </c>
      <c r="B1016" s="392">
        <v>122.0398</v>
      </c>
    </row>
    <row r="1017" spans="1:2" hidden="1" x14ac:dyDescent="0.3">
      <c r="A1017" s="391">
        <v>42437</v>
      </c>
      <c r="B1017" s="392">
        <v>122.27030000000001</v>
      </c>
    </row>
    <row r="1018" spans="1:2" hidden="1" x14ac:dyDescent="0.3">
      <c r="A1018" s="391">
        <v>42438</v>
      </c>
      <c r="B1018" s="392">
        <v>121.8477</v>
      </c>
    </row>
    <row r="1019" spans="1:2" hidden="1" x14ac:dyDescent="0.3">
      <c r="A1019" s="391">
        <v>42439</v>
      </c>
      <c r="B1019" s="392">
        <v>121.8399</v>
      </c>
    </row>
    <row r="1020" spans="1:2" hidden="1" x14ac:dyDescent="0.3">
      <c r="A1020" s="391">
        <v>42440</v>
      </c>
      <c r="B1020" s="392">
        <v>121.2693</v>
      </c>
    </row>
    <row r="1021" spans="1:2" hidden="1" x14ac:dyDescent="0.3">
      <c r="A1021" s="391">
        <v>42443</v>
      </c>
      <c r="B1021" s="392">
        <v>121.6902</v>
      </c>
    </row>
    <row r="1022" spans="1:2" hidden="1" x14ac:dyDescent="0.3">
      <c r="A1022" s="391">
        <v>42444</v>
      </c>
      <c r="B1022" s="392">
        <v>122.10129999999999</v>
      </c>
    </row>
    <row r="1023" spans="1:2" hidden="1" x14ac:dyDescent="0.3">
      <c r="A1023" s="391">
        <v>42445</v>
      </c>
      <c r="B1023" s="392">
        <v>122.3051</v>
      </c>
    </row>
    <row r="1024" spans="1:2" hidden="1" x14ac:dyDescent="0.3">
      <c r="A1024" s="391">
        <v>42446</v>
      </c>
      <c r="B1024" s="392">
        <v>119.9002</v>
      </c>
    </row>
    <row r="1025" spans="1:3" hidden="1" x14ac:dyDescent="0.3">
      <c r="A1025" s="391">
        <v>42447</v>
      </c>
      <c r="B1025" s="392">
        <v>119.85939999999999</v>
      </c>
    </row>
    <row r="1026" spans="1:3" hidden="1" x14ac:dyDescent="0.3">
      <c r="A1026" s="391">
        <v>42450</v>
      </c>
      <c r="B1026" s="392">
        <v>120.1925</v>
      </c>
    </row>
    <row r="1027" spans="1:3" hidden="1" x14ac:dyDescent="0.3">
      <c r="A1027" s="391">
        <v>42451</v>
      </c>
      <c r="B1027" s="392">
        <v>120.2167</v>
      </c>
    </row>
    <row r="1028" spans="1:3" hidden="1" x14ac:dyDescent="0.3">
      <c r="A1028" s="391">
        <v>42452</v>
      </c>
      <c r="B1028" s="392">
        <v>121.0072</v>
      </c>
    </row>
    <row r="1029" spans="1:3" hidden="1" x14ac:dyDescent="0.3">
      <c r="A1029" s="391">
        <v>42453</v>
      </c>
      <c r="B1029" s="392">
        <v>121.3006</v>
      </c>
    </row>
    <row r="1030" spans="1:3" hidden="1" x14ac:dyDescent="0.3">
      <c r="A1030" s="391">
        <v>42454</v>
      </c>
      <c r="B1030" s="392">
        <v>121.2496</v>
      </c>
    </row>
    <row r="1031" spans="1:3" hidden="1" x14ac:dyDescent="0.3">
      <c r="A1031" s="391">
        <v>42457</v>
      </c>
      <c r="B1031" s="392">
        <v>120.85129999999999</v>
      </c>
    </row>
    <row r="1032" spans="1:3" hidden="1" x14ac:dyDescent="0.3">
      <c r="A1032" s="391">
        <v>42458</v>
      </c>
      <c r="B1032" s="392">
        <v>120.87430000000001</v>
      </c>
    </row>
    <row r="1033" spans="1:3" hidden="1" x14ac:dyDescent="0.3">
      <c r="A1033" s="391">
        <v>42459</v>
      </c>
      <c r="B1033" s="392">
        <v>119.6551</v>
      </c>
    </row>
    <row r="1034" spans="1:3" x14ac:dyDescent="0.3">
      <c r="A1034" s="391">
        <v>42460</v>
      </c>
      <c r="B1034" s="392">
        <v>119.2912</v>
      </c>
      <c r="C1034" s="393">
        <f>AVERAGE(B973:B1034)</f>
        <v>123.25566451612904</v>
      </c>
    </row>
    <row r="1035" spans="1:3" hidden="1" x14ac:dyDescent="0.3">
      <c r="A1035" s="391">
        <v>42461</v>
      </c>
      <c r="B1035" s="392">
        <v>119.703</v>
      </c>
    </row>
    <row r="1036" spans="1:3" hidden="1" x14ac:dyDescent="0.3">
      <c r="A1036" s="391">
        <v>42464</v>
      </c>
      <c r="B1036" s="392">
        <v>119.83499999999999</v>
      </c>
    </row>
    <row r="1037" spans="1:3" hidden="1" x14ac:dyDescent="0.3">
      <c r="A1037" s="391">
        <v>42465</v>
      </c>
      <c r="B1037" s="392">
        <v>120.3716</v>
      </c>
    </row>
    <row r="1038" spans="1:3" hidden="1" x14ac:dyDescent="0.3">
      <c r="A1038" s="391">
        <v>42466</v>
      </c>
      <c r="B1038" s="392">
        <v>119.9539</v>
      </c>
    </row>
    <row r="1039" spans="1:3" hidden="1" x14ac:dyDescent="0.3">
      <c r="A1039" s="391">
        <v>42467</v>
      </c>
      <c r="B1039" s="392">
        <v>120.2687</v>
      </c>
    </row>
    <row r="1040" spans="1:3" hidden="1" x14ac:dyDescent="0.3">
      <c r="A1040" s="391">
        <v>42468</v>
      </c>
      <c r="B1040" s="392">
        <v>119.7988</v>
      </c>
    </row>
    <row r="1041" spans="1:2" hidden="1" x14ac:dyDescent="0.3">
      <c r="A1041" s="391">
        <v>42471</v>
      </c>
      <c r="B1041" s="392">
        <v>119.3462</v>
      </c>
    </row>
    <row r="1042" spans="1:2" hidden="1" x14ac:dyDescent="0.3">
      <c r="A1042" s="391">
        <v>42472</v>
      </c>
      <c r="B1042" s="392">
        <v>119.1878</v>
      </c>
    </row>
    <row r="1043" spans="1:2" hidden="1" x14ac:dyDescent="0.3">
      <c r="A1043" s="391">
        <v>42473</v>
      </c>
      <c r="B1043" s="392">
        <v>119.5343</v>
      </c>
    </row>
    <row r="1044" spans="1:2" hidden="1" x14ac:dyDescent="0.3">
      <c r="A1044" s="391">
        <v>42474</v>
      </c>
      <c r="B1044" s="392">
        <v>119.5583</v>
      </c>
    </row>
    <row r="1045" spans="1:2" hidden="1" x14ac:dyDescent="0.3">
      <c r="A1045" s="391">
        <v>42475</v>
      </c>
      <c r="B1045" s="392">
        <v>119.5789</v>
      </c>
    </row>
    <row r="1046" spans="1:2" hidden="1" x14ac:dyDescent="0.3">
      <c r="A1046" s="391">
        <v>42478</v>
      </c>
      <c r="B1046" s="392">
        <v>119.3827</v>
      </c>
    </row>
    <row r="1047" spans="1:2" hidden="1" x14ac:dyDescent="0.3">
      <c r="A1047" s="391">
        <v>42479</v>
      </c>
      <c r="B1047" s="392">
        <v>118.64060000000001</v>
      </c>
    </row>
    <row r="1048" spans="1:2" hidden="1" x14ac:dyDescent="0.3">
      <c r="A1048" s="391">
        <v>42480</v>
      </c>
      <c r="B1048" s="392">
        <v>118.7623</v>
      </c>
    </row>
    <row r="1049" spans="1:2" hidden="1" x14ac:dyDescent="0.3">
      <c r="A1049" s="391">
        <v>42481</v>
      </c>
      <c r="B1049" s="392">
        <v>119.26609999999999</v>
      </c>
    </row>
    <row r="1050" spans="1:2" hidden="1" x14ac:dyDescent="0.3">
      <c r="A1050" s="391">
        <v>42482</v>
      </c>
      <c r="B1050" s="392">
        <v>119.6956</v>
      </c>
    </row>
    <row r="1051" spans="1:2" hidden="1" x14ac:dyDescent="0.3">
      <c r="A1051" s="391">
        <v>42485</v>
      </c>
      <c r="B1051" s="392">
        <v>119.64870000000001</v>
      </c>
    </row>
    <row r="1052" spans="1:2" hidden="1" x14ac:dyDescent="0.3">
      <c r="A1052" s="391">
        <v>42486</v>
      </c>
      <c r="B1052" s="392">
        <v>119.2174</v>
      </c>
    </row>
    <row r="1053" spans="1:2" hidden="1" x14ac:dyDescent="0.3">
      <c r="A1053" s="391">
        <v>42487</v>
      </c>
      <c r="B1053" s="392">
        <v>119.3103</v>
      </c>
    </row>
    <row r="1054" spans="1:2" hidden="1" x14ac:dyDescent="0.3">
      <c r="A1054" s="391">
        <v>42488</v>
      </c>
      <c r="B1054" s="392">
        <v>118.6206</v>
      </c>
    </row>
    <row r="1055" spans="1:2" hidden="1" x14ac:dyDescent="0.3">
      <c r="A1055" s="391">
        <v>42489</v>
      </c>
      <c r="B1055" s="392">
        <v>118.242</v>
      </c>
    </row>
    <row r="1056" spans="1:2" hidden="1" x14ac:dyDescent="0.3">
      <c r="A1056" s="391">
        <v>42492</v>
      </c>
      <c r="B1056" s="392">
        <v>118.09139999999999</v>
      </c>
    </row>
    <row r="1057" spans="1:2" hidden="1" x14ac:dyDescent="0.3">
      <c r="A1057" s="391">
        <v>42493</v>
      </c>
      <c r="B1057" s="392">
        <v>118.8186</v>
      </c>
    </row>
    <row r="1058" spans="1:2" hidden="1" x14ac:dyDescent="0.3">
      <c r="A1058" s="391">
        <v>42494</v>
      </c>
      <c r="B1058" s="392">
        <v>119.46639999999999</v>
      </c>
    </row>
    <row r="1059" spans="1:2" hidden="1" x14ac:dyDescent="0.3">
      <c r="A1059" s="391">
        <v>42495</v>
      </c>
      <c r="B1059" s="392">
        <v>119.72629999999999</v>
      </c>
    </row>
    <row r="1060" spans="1:2" hidden="1" x14ac:dyDescent="0.3">
      <c r="A1060" s="391">
        <v>42496</v>
      </c>
      <c r="B1060" s="392">
        <v>119.85080000000001</v>
      </c>
    </row>
    <row r="1061" spans="1:2" hidden="1" x14ac:dyDescent="0.3">
      <c r="A1061" s="391">
        <v>42499</v>
      </c>
      <c r="B1061" s="392">
        <v>120.4594</v>
      </c>
    </row>
    <row r="1062" spans="1:2" hidden="1" x14ac:dyDescent="0.3">
      <c r="A1062" s="391">
        <v>42500</v>
      </c>
      <c r="B1062" s="392">
        <v>120.34010000000001</v>
      </c>
    </row>
    <row r="1063" spans="1:2" hidden="1" x14ac:dyDescent="0.3">
      <c r="A1063" s="391">
        <v>42501</v>
      </c>
      <c r="B1063" s="392">
        <v>119.754</v>
      </c>
    </row>
    <row r="1064" spans="1:2" hidden="1" x14ac:dyDescent="0.3">
      <c r="A1064" s="391">
        <v>42502</v>
      </c>
      <c r="B1064" s="392">
        <v>120.2008</v>
      </c>
    </row>
    <row r="1065" spans="1:2" hidden="1" x14ac:dyDescent="0.3">
      <c r="A1065" s="391">
        <v>42503</v>
      </c>
      <c r="B1065" s="392">
        <v>120.78019999999999</v>
      </c>
    </row>
    <row r="1066" spans="1:2" hidden="1" x14ac:dyDescent="0.3">
      <c r="A1066" s="391">
        <v>42506</v>
      </c>
      <c r="B1066" s="392">
        <v>120.6443</v>
      </c>
    </row>
    <row r="1067" spans="1:2" hidden="1" x14ac:dyDescent="0.3">
      <c r="A1067" s="391">
        <v>42507</v>
      </c>
      <c r="B1067" s="392">
        <v>120.6069</v>
      </c>
    </row>
    <row r="1068" spans="1:2" hidden="1" x14ac:dyDescent="0.3">
      <c r="A1068" s="391">
        <v>42508</v>
      </c>
      <c r="B1068" s="392">
        <v>121.101</v>
      </c>
    </row>
    <row r="1069" spans="1:2" hidden="1" x14ac:dyDescent="0.3">
      <c r="A1069" s="391">
        <v>42509</v>
      </c>
      <c r="B1069" s="392">
        <v>121.84439999999999</v>
      </c>
    </row>
    <row r="1070" spans="1:2" hidden="1" x14ac:dyDescent="0.3">
      <c r="A1070" s="391">
        <v>42510</v>
      </c>
      <c r="B1070" s="392">
        <v>121.7846</v>
      </c>
    </row>
    <row r="1071" spans="1:2" hidden="1" x14ac:dyDescent="0.3">
      <c r="A1071" s="391">
        <v>42513</v>
      </c>
      <c r="B1071" s="392">
        <v>121.8813</v>
      </c>
    </row>
    <row r="1072" spans="1:2" hidden="1" x14ac:dyDescent="0.3">
      <c r="A1072" s="391">
        <v>42514</v>
      </c>
      <c r="B1072" s="392">
        <v>121.9091</v>
      </c>
    </row>
    <row r="1073" spans="1:2" hidden="1" x14ac:dyDescent="0.3">
      <c r="A1073" s="391">
        <v>42515</v>
      </c>
      <c r="B1073" s="392">
        <v>121.8107</v>
      </c>
    </row>
    <row r="1074" spans="1:2" hidden="1" x14ac:dyDescent="0.3">
      <c r="A1074" s="391">
        <v>42516</v>
      </c>
      <c r="B1074" s="392">
        <v>121.50830000000001</v>
      </c>
    </row>
    <row r="1075" spans="1:2" hidden="1" x14ac:dyDescent="0.3">
      <c r="A1075" s="391">
        <v>42517</v>
      </c>
      <c r="B1075" s="392">
        <v>121.7016</v>
      </c>
    </row>
    <row r="1076" spans="1:2" hidden="1" x14ac:dyDescent="0.3">
      <c r="A1076" s="391">
        <v>42521</v>
      </c>
      <c r="B1076" s="392">
        <v>122.0814</v>
      </c>
    </row>
    <row r="1077" spans="1:2" hidden="1" x14ac:dyDescent="0.3">
      <c r="A1077" s="391">
        <v>42522</v>
      </c>
      <c r="B1077" s="392">
        <v>122.1022</v>
      </c>
    </row>
    <row r="1078" spans="1:2" hidden="1" x14ac:dyDescent="0.3">
      <c r="A1078" s="391">
        <v>42523</v>
      </c>
      <c r="B1078" s="392">
        <v>122.0993</v>
      </c>
    </row>
    <row r="1079" spans="1:2" hidden="1" x14ac:dyDescent="0.3">
      <c r="A1079" s="391">
        <v>42524</v>
      </c>
      <c r="B1079" s="392">
        <v>121.0335</v>
      </c>
    </row>
    <row r="1080" spans="1:2" hidden="1" x14ac:dyDescent="0.3">
      <c r="A1080" s="391">
        <v>42527</v>
      </c>
      <c r="B1080" s="392">
        <v>120.8005</v>
      </c>
    </row>
    <row r="1081" spans="1:2" hidden="1" x14ac:dyDescent="0.3">
      <c r="A1081" s="391">
        <v>42528</v>
      </c>
      <c r="B1081" s="392">
        <v>120.4166</v>
      </c>
    </row>
    <row r="1082" spans="1:2" hidden="1" x14ac:dyDescent="0.3">
      <c r="A1082" s="391">
        <v>42529</v>
      </c>
      <c r="B1082" s="392">
        <v>119.7398</v>
      </c>
    </row>
    <row r="1083" spans="1:2" hidden="1" x14ac:dyDescent="0.3">
      <c r="A1083" s="391">
        <v>42530</v>
      </c>
      <c r="B1083" s="392">
        <v>120.1674</v>
      </c>
    </row>
    <row r="1084" spans="1:2" hidden="1" x14ac:dyDescent="0.3">
      <c r="A1084" s="391">
        <v>42531</v>
      </c>
      <c r="B1084" s="392">
        <v>120.6748</v>
      </c>
    </row>
    <row r="1085" spans="1:2" hidden="1" x14ac:dyDescent="0.3">
      <c r="A1085" s="391">
        <v>42534</v>
      </c>
      <c r="B1085" s="392">
        <v>121.0971</v>
      </c>
    </row>
    <row r="1086" spans="1:2" hidden="1" x14ac:dyDescent="0.3">
      <c r="A1086" s="391">
        <v>42535</v>
      </c>
      <c r="B1086" s="392">
        <v>121.60120000000001</v>
      </c>
    </row>
    <row r="1087" spans="1:2" hidden="1" x14ac:dyDescent="0.3">
      <c r="A1087" s="391">
        <v>42536</v>
      </c>
      <c r="B1087" s="392">
        <v>121.3468</v>
      </c>
    </row>
    <row r="1088" spans="1:2" hidden="1" x14ac:dyDescent="0.3">
      <c r="A1088" s="391">
        <v>42537</v>
      </c>
      <c r="B1088" s="392">
        <v>121.8135</v>
      </c>
    </row>
    <row r="1089" spans="1:3" hidden="1" x14ac:dyDescent="0.3">
      <c r="A1089" s="391">
        <v>42538</v>
      </c>
      <c r="B1089" s="392">
        <v>121.12520000000001</v>
      </c>
    </row>
    <row r="1090" spans="1:3" hidden="1" x14ac:dyDescent="0.3">
      <c r="A1090" s="391">
        <v>42541</v>
      </c>
      <c r="B1090" s="392">
        <v>120.4602</v>
      </c>
    </row>
    <row r="1091" spans="1:3" hidden="1" x14ac:dyDescent="0.3">
      <c r="A1091" s="391">
        <v>42542</v>
      </c>
      <c r="B1091" s="392">
        <v>120.59829999999999</v>
      </c>
    </row>
    <row r="1092" spans="1:3" hidden="1" x14ac:dyDescent="0.3">
      <c r="A1092" s="391">
        <v>42543</v>
      </c>
      <c r="B1092" s="392">
        <v>120.34350000000001</v>
      </c>
    </row>
    <row r="1093" spans="1:3" hidden="1" x14ac:dyDescent="0.3">
      <c r="A1093" s="391">
        <v>42544</v>
      </c>
      <c r="B1093" s="392">
        <v>119.8338</v>
      </c>
    </row>
    <row r="1094" spans="1:3" hidden="1" x14ac:dyDescent="0.3">
      <c r="A1094" s="391">
        <v>42545</v>
      </c>
      <c r="B1094" s="392">
        <v>121.6726</v>
      </c>
    </row>
    <row r="1095" spans="1:3" hidden="1" x14ac:dyDescent="0.3">
      <c r="A1095" s="391">
        <v>42548</v>
      </c>
      <c r="B1095" s="392">
        <v>122.6726</v>
      </c>
    </row>
    <row r="1096" spans="1:3" hidden="1" x14ac:dyDescent="0.3">
      <c r="A1096" s="391">
        <v>42549</v>
      </c>
      <c r="B1096" s="392">
        <v>122.25790000000001</v>
      </c>
    </row>
    <row r="1097" spans="1:3" hidden="1" x14ac:dyDescent="0.3">
      <c r="A1097" s="391">
        <v>42550</v>
      </c>
      <c r="B1097" s="392">
        <v>121.3413</v>
      </c>
    </row>
    <row r="1098" spans="1:3" x14ac:dyDescent="0.3">
      <c r="A1098" s="391">
        <v>42551</v>
      </c>
      <c r="B1098" s="392">
        <v>121.624</v>
      </c>
      <c r="C1098" s="393">
        <f>AVERAGE(B1035:B1098)</f>
        <v>120.42353906250003</v>
      </c>
    </row>
    <row r="1099" spans="1:3" hidden="1" x14ac:dyDescent="0.3">
      <c r="A1099" s="391">
        <v>42552</v>
      </c>
      <c r="B1099" s="392">
        <v>121.1271</v>
      </c>
    </row>
    <row r="1100" spans="1:3" hidden="1" x14ac:dyDescent="0.3">
      <c r="A1100" s="391">
        <v>42556</v>
      </c>
      <c r="B1100" s="392">
        <v>121.9258</v>
      </c>
    </row>
    <row r="1101" spans="1:3" hidden="1" x14ac:dyDescent="0.3">
      <c r="A1101" s="391">
        <v>42557</v>
      </c>
      <c r="B1101" s="392">
        <v>122.0519</v>
      </c>
    </row>
    <row r="1102" spans="1:3" hidden="1" x14ac:dyDescent="0.3">
      <c r="A1102" s="391">
        <v>42558</v>
      </c>
      <c r="B1102" s="392">
        <v>122.0684</v>
      </c>
    </row>
    <row r="1103" spans="1:3" hidden="1" x14ac:dyDescent="0.3">
      <c r="A1103" s="391">
        <v>42559</v>
      </c>
      <c r="B1103" s="392">
        <v>121.8706</v>
      </c>
    </row>
    <row r="1104" spans="1:3" hidden="1" x14ac:dyDescent="0.3">
      <c r="A1104" s="391">
        <v>42562</v>
      </c>
      <c r="B1104" s="392">
        <v>122.01009999999999</v>
      </c>
    </row>
    <row r="1105" spans="1:2" hidden="1" x14ac:dyDescent="0.3">
      <c r="A1105" s="391">
        <v>42563</v>
      </c>
      <c r="B1105" s="392">
        <v>121.6161</v>
      </c>
    </row>
    <row r="1106" spans="1:2" hidden="1" x14ac:dyDescent="0.3">
      <c r="A1106" s="391">
        <v>42564</v>
      </c>
      <c r="B1106" s="392">
        <v>121.5288</v>
      </c>
    </row>
    <row r="1107" spans="1:2" hidden="1" x14ac:dyDescent="0.3">
      <c r="A1107" s="391">
        <v>42565</v>
      </c>
      <c r="B1107" s="392">
        <v>121.2548</v>
      </c>
    </row>
    <row r="1108" spans="1:2" hidden="1" x14ac:dyDescent="0.3">
      <c r="A1108" s="391">
        <v>42566</v>
      </c>
      <c r="B1108" s="392">
        <v>121.7714</v>
      </c>
    </row>
    <row r="1109" spans="1:2" hidden="1" x14ac:dyDescent="0.3">
      <c r="A1109" s="391">
        <v>42569</v>
      </c>
      <c r="B1109" s="392">
        <v>121.7578</v>
      </c>
    </row>
    <row r="1110" spans="1:2" hidden="1" x14ac:dyDescent="0.3">
      <c r="A1110" s="391">
        <v>42570</v>
      </c>
      <c r="B1110" s="392">
        <v>122.1362</v>
      </c>
    </row>
    <row r="1111" spans="1:2" hidden="1" x14ac:dyDescent="0.3">
      <c r="A1111" s="391">
        <v>42571</v>
      </c>
      <c r="B1111" s="392">
        <v>122.1652</v>
      </c>
    </row>
    <row r="1112" spans="1:2" hidden="1" x14ac:dyDescent="0.3">
      <c r="A1112" s="391">
        <v>42572</v>
      </c>
      <c r="B1112" s="392">
        <v>122.1127</v>
      </c>
    </row>
    <row r="1113" spans="1:2" hidden="1" x14ac:dyDescent="0.3">
      <c r="A1113" s="391">
        <v>42573</v>
      </c>
      <c r="B1113" s="392">
        <v>122.465</v>
      </c>
    </row>
    <row r="1114" spans="1:2" hidden="1" x14ac:dyDescent="0.3">
      <c r="A1114" s="391">
        <v>42576</v>
      </c>
      <c r="B1114" s="392">
        <v>122.681</v>
      </c>
    </row>
    <row r="1115" spans="1:2" hidden="1" x14ac:dyDescent="0.3">
      <c r="A1115" s="391">
        <v>42577</v>
      </c>
      <c r="B1115" s="392">
        <v>122.5485</v>
      </c>
    </row>
    <row r="1116" spans="1:2" hidden="1" x14ac:dyDescent="0.3">
      <c r="A1116" s="391">
        <v>42578</v>
      </c>
      <c r="B1116" s="392">
        <v>122.6998</v>
      </c>
    </row>
    <row r="1117" spans="1:2" hidden="1" x14ac:dyDescent="0.3">
      <c r="A1117" s="391">
        <v>42579</v>
      </c>
      <c r="B1117" s="392">
        <v>122.21729999999999</v>
      </c>
    </row>
    <row r="1118" spans="1:2" hidden="1" x14ac:dyDescent="0.3">
      <c r="A1118" s="391">
        <v>42580</v>
      </c>
      <c r="B1118" s="392">
        <v>121.32250000000001</v>
      </c>
    </row>
    <row r="1119" spans="1:2" hidden="1" x14ac:dyDescent="0.3">
      <c r="A1119" s="391">
        <v>42583</v>
      </c>
      <c r="B1119" s="392">
        <v>121.41589999999999</v>
      </c>
    </row>
    <row r="1120" spans="1:2" hidden="1" x14ac:dyDescent="0.3">
      <c r="A1120" s="391">
        <v>42584</v>
      </c>
      <c r="B1120" s="392">
        <v>121.1434</v>
      </c>
    </row>
    <row r="1121" spans="1:2" hidden="1" x14ac:dyDescent="0.3">
      <c r="A1121" s="391">
        <v>42585</v>
      </c>
      <c r="B1121" s="392">
        <v>121.3934</v>
      </c>
    </row>
    <row r="1122" spans="1:2" hidden="1" x14ac:dyDescent="0.3">
      <c r="A1122" s="391">
        <v>42586</v>
      </c>
      <c r="B1122" s="392">
        <v>121.3385</v>
      </c>
    </row>
    <row r="1123" spans="1:2" hidden="1" x14ac:dyDescent="0.3">
      <c r="A1123" s="391">
        <v>42587</v>
      </c>
      <c r="B1123" s="392">
        <v>121.77670000000001</v>
      </c>
    </row>
    <row r="1124" spans="1:2" hidden="1" x14ac:dyDescent="0.3">
      <c r="A1124" s="391">
        <v>42590</v>
      </c>
      <c r="B1124" s="392">
        <v>121.5492</v>
      </c>
    </row>
    <row r="1125" spans="1:2" hidden="1" x14ac:dyDescent="0.3">
      <c r="A1125" s="391">
        <v>42591</v>
      </c>
      <c r="B1125" s="392">
        <v>121.0973</v>
      </c>
    </row>
    <row r="1126" spans="1:2" hidden="1" x14ac:dyDescent="0.3">
      <c r="A1126" s="391">
        <v>42592</v>
      </c>
      <c r="B1126" s="392">
        <v>120.66289999999999</v>
      </c>
    </row>
    <row r="1127" spans="1:2" hidden="1" x14ac:dyDescent="0.3">
      <c r="A1127" s="391">
        <v>42593</v>
      </c>
      <c r="B1127" s="392">
        <v>120.52</v>
      </c>
    </row>
    <row r="1128" spans="1:2" hidden="1" x14ac:dyDescent="0.3">
      <c r="A1128" s="391">
        <v>42594</v>
      </c>
      <c r="B1128" s="392">
        <v>120.5257</v>
      </c>
    </row>
    <row r="1129" spans="1:2" hidden="1" x14ac:dyDescent="0.3">
      <c r="A1129" s="391">
        <v>42597</v>
      </c>
      <c r="B1129" s="392">
        <v>120.2457</v>
      </c>
    </row>
    <row r="1130" spans="1:2" hidden="1" x14ac:dyDescent="0.3">
      <c r="A1130" s="391">
        <v>42598</v>
      </c>
      <c r="B1130" s="392">
        <v>119.7535</v>
      </c>
    </row>
    <row r="1131" spans="1:2" hidden="1" x14ac:dyDescent="0.3">
      <c r="A1131" s="391">
        <v>42599</v>
      </c>
      <c r="B1131" s="392">
        <v>120.32170000000001</v>
      </c>
    </row>
    <row r="1132" spans="1:2" hidden="1" x14ac:dyDescent="0.3">
      <c r="A1132" s="391">
        <v>42600</v>
      </c>
      <c r="B1132" s="392">
        <v>119.6884</v>
      </c>
    </row>
    <row r="1133" spans="1:2" hidden="1" x14ac:dyDescent="0.3">
      <c r="A1133" s="391">
        <v>42601</v>
      </c>
      <c r="B1133" s="392">
        <v>120.2269</v>
      </c>
    </row>
    <row r="1134" spans="1:2" hidden="1" x14ac:dyDescent="0.3">
      <c r="A1134" s="391">
        <v>42604</v>
      </c>
      <c r="B1134" s="392">
        <v>120.4329</v>
      </c>
    </row>
    <row r="1135" spans="1:2" hidden="1" x14ac:dyDescent="0.3">
      <c r="A1135" s="391">
        <v>42605</v>
      </c>
      <c r="B1135" s="392">
        <v>120.3652</v>
      </c>
    </row>
    <row r="1136" spans="1:2" hidden="1" x14ac:dyDescent="0.3">
      <c r="A1136" s="391">
        <v>42606</v>
      </c>
      <c r="B1136" s="392">
        <v>120.7641</v>
      </c>
    </row>
    <row r="1137" spans="1:2" hidden="1" x14ac:dyDescent="0.3">
      <c r="A1137" s="391">
        <v>42607</v>
      </c>
      <c r="B1137" s="392">
        <v>120.6161</v>
      </c>
    </row>
    <row r="1138" spans="1:2" hidden="1" x14ac:dyDescent="0.3">
      <c r="A1138" s="391">
        <v>42608</v>
      </c>
      <c r="B1138" s="392">
        <v>120.6506</v>
      </c>
    </row>
    <row r="1139" spans="1:2" hidden="1" x14ac:dyDescent="0.3">
      <c r="A1139" s="391">
        <v>42611</v>
      </c>
      <c r="B1139" s="392">
        <v>121.3439</v>
      </c>
    </row>
    <row r="1140" spans="1:2" hidden="1" x14ac:dyDescent="0.3">
      <c r="A1140" s="391">
        <v>42612</v>
      </c>
      <c r="B1140" s="392">
        <v>121.7676</v>
      </c>
    </row>
    <row r="1141" spans="1:2" hidden="1" x14ac:dyDescent="0.3">
      <c r="A1141" s="391">
        <v>42613</v>
      </c>
      <c r="B1141" s="392">
        <v>121.8847</v>
      </c>
    </row>
    <row r="1142" spans="1:2" hidden="1" x14ac:dyDescent="0.3">
      <c r="A1142" s="391">
        <v>42614</v>
      </c>
      <c r="B1142" s="392">
        <v>121.67870000000001</v>
      </c>
    </row>
    <row r="1143" spans="1:2" hidden="1" x14ac:dyDescent="0.3">
      <c r="A1143" s="391">
        <v>42615</v>
      </c>
      <c r="B1143" s="392">
        <v>121.5145</v>
      </c>
    </row>
    <row r="1144" spans="1:2" hidden="1" x14ac:dyDescent="0.3">
      <c r="A1144" s="391">
        <v>42619</v>
      </c>
      <c r="B1144" s="392">
        <v>120.4402</v>
      </c>
    </row>
    <row r="1145" spans="1:2" hidden="1" x14ac:dyDescent="0.3">
      <c r="A1145" s="391">
        <v>42620</v>
      </c>
      <c r="B1145" s="392">
        <v>120.4057</v>
      </c>
    </row>
    <row r="1146" spans="1:2" hidden="1" x14ac:dyDescent="0.3">
      <c r="A1146" s="391">
        <v>42621</v>
      </c>
      <c r="B1146" s="392">
        <v>120.70610000000001</v>
      </c>
    </row>
    <row r="1147" spans="1:2" hidden="1" x14ac:dyDescent="0.3">
      <c r="A1147" s="391">
        <v>42622</v>
      </c>
      <c r="B1147" s="392">
        <v>121.4739</v>
      </c>
    </row>
    <row r="1148" spans="1:2" hidden="1" x14ac:dyDescent="0.3">
      <c r="A1148" s="391">
        <v>42625</v>
      </c>
      <c r="B1148" s="392">
        <v>121.65600000000001</v>
      </c>
    </row>
    <row r="1149" spans="1:2" hidden="1" x14ac:dyDescent="0.3">
      <c r="A1149" s="391">
        <v>42626</v>
      </c>
      <c r="B1149" s="392">
        <v>122.0296</v>
      </c>
    </row>
    <row r="1150" spans="1:2" hidden="1" x14ac:dyDescent="0.3">
      <c r="A1150" s="391">
        <v>42627</v>
      </c>
      <c r="B1150" s="392">
        <v>121.9688</v>
      </c>
    </row>
    <row r="1151" spans="1:2" hidden="1" x14ac:dyDescent="0.3">
      <c r="A1151" s="391">
        <v>42628</v>
      </c>
      <c r="B1151" s="392">
        <v>121.9751</v>
      </c>
    </row>
    <row r="1152" spans="1:2" hidden="1" x14ac:dyDescent="0.3">
      <c r="A1152" s="391">
        <v>42629</v>
      </c>
      <c r="B1152" s="392">
        <v>122.6698</v>
      </c>
    </row>
    <row r="1153" spans="1:3" hidden="1" x14ac:dyDescent="0.3">
      <c r="A1153" s="391">
        <v>42632</v>
      </c>
      <c r="B1153" s="392">
        <v>122.35809999999999</v>
      </c>
    </row>
    <row r="1154" spans="1:3" hidden="1" x14ac:dyDescent="0.3">
      <c r="A1154" s="391">
        <v>42633</v>
      </c>
      <c r="B1154" s="392">
        <v>122.6369</v>
      </c>
    </row>
    <row r="1155" spans="1:3" hidden="1" x14ac:dyDescent="0.3">
      <c r="A1155" s="391">
        <v>42634</v>
      </c>
      <c r="B1155" s="392">
        <v>122.4165</v>
      </c>
    </row>
    <row r="1156" spans="1:3" hidden="1" x14ac:dyDescent="0.3">
      <c r="A1156" s="391">
        <v>42635</v>
      </c>
      <c r="B1156" s="392">
        <v>121.6889</v>
      </c>
    </row>
    <row r="1157" spans="1:3" hidden="1" x14ac:dyDescent="0.3">
      <c r="A1157" s="391">
        <v>42636</v>
      </c>
      <c r="B1157" s="392">
        <v>122.1416</v>
      </c>
    </row>
    <row r="1158" spans="1:3" hidden="1" x14ac:dyDescent="0.3">
      <c r="A1158" s="391">
        <v>42639</v>
      </c>
      <c r="B1158" s="392">
        <v>122.1438</v>
      </c>
    </row>
    <row r="1159" spans="1:3" hidden="1" x14ac:dyDescent="0.3">
      <c r="A1159" s="391">
        <v>42640</v>
      </c>
      <c r="B1159" s="392">
        <v>121.9609</v>
      </c>
    </row>
    <row r="1160" spans="1:3" hidden="1" x14ac:dyDescent="0.3">
      <c r="A1160" s="391">
        <v>42641</v>
      </c>
      <c r="B1160" s="392">
        <v>122.03579999999999</v>
      </c>
    </row>
    <row r="1161" spans="1:3" hidden="1" x14ac:dyDescent="0.3">
      <c r="A1161" s="391">
        <v>42642</v>
      </c>
      <c r="B1161" s="392">
        <v>121.696</v>
      </c>
    </row>
    <row r="1162" spans="1:3" x14ac:dyDescent="0.3">
      <c r="A1162" s="391">
        <v>42643</v>
      </c>
      <c r="B1162" s="392">
        <v>121.6921</v>
      </c>
      <c r="C1162" s="393">
        <f>AVERAGE(B1099:B1162)</f>
        <v>121.50162968749999</v>
      </c>
    </row>
    <row r="1163" spans="1:3" hidden="1" x14ac:dyDescent="0.3">
      <c r="A1163" s="391">
        <v>42646</v>
      </c>
      <c r="B1163" s="392">
        <v>121.89570000000001</v>
      </c>
    </row>
    <row r="1164" spans="1:3" hidden="1" x14ac:dyDescent="0.3">
      <c r="A1164" s="391">
        <v>42647</v>
      </c>
      <c r="B1164" s="392">
        <v>122.0467</v>
      </c>
    </row>
    <row r="1165" spans="1:3" hidden="1" x14ac:dyDescent="0.3">
      <c r="A1165" s="391">
        <v>42648</v>
      </c>
      <c r="B1165" s="392">
        <v>122.1887</v>
      </c>
    </row>
    <row r="1166" spans="1:3" hidden="1" x14ac:dyDescent="0.3">
      <c r="A1166" s="391">
        <v>42649</v>
      </c>
      <c r="B1166" s="392">
        <v>122.38160000000001</v>
      </c>
    </row>
    <row r="1167" spans="1:3" hidden="1" x14ac:dyDescent="0.3">
      <c r="A1167" s="391">
        <v>42650</v>
      </c>
      <c r="B1167" s="392">
        <v>122.6397</v>
      </c>
    </row>
    <row r="1168" spans="1:3" hidden="1" x14ac:dyDescent="0.3">
      <c r="A1168" s="391">
        <v>42654</v>
      </c>
      <c r="B1168" s="392">
        <v>122.8552</v>
      </c>
    </row>
    <row r="1169" spans="1:2" hidden="1" x14ac:dyDescent="0.3">
      <c r="A1169" s="391">
        <v>42655</v>
      </c>
      <c r="B1169" s="392">
        <v>123.1617</v>
      </c>
    </row>
    <row r="1170" spans="1:2" hidden="1" x14ac:dyDescent="0.3">
      <c r="A1170" s="391">
        <v>42656</v>
      </c>
      <c r="B1170" s="392">
        <v>123.0637</v>
      </c>
    </row>
    <row r="1171" spans="1:2" hidden="1" x14ac:dyDescent="0.3">
      <c r="A1171" s="391">
        <v>42657</v>
      </c>
      <c r="B1171" s="392">
        <v>123.15600000000001</v>
      </c>
    </row>
    <row r="1172" spans="1:2" hidden="1" x14ac:dyDescent="0.3">
      <c r="A1172" s="391">
        <v>42660</v>
      </c>
      <c r="B1172" s="392">
        <v>123.0115</v>
      </c>
    </row>
    <row r="1173" spans="1:2" hidden="1" x14ac:dyDescent="0.3">
      <c r="A1173" s="391">
        <v>42661</v>
      </c>
      <c r="B1173" s="392">
        <v>122.58839999999999</v>
      </c>
    </row>
    <row r="1174" spans="1:2" hidden="1" x14ac:dyDescent="0.3">
      <c r="A1174" s="391">
        <v>42662</v>
      </c>
      <c r="B1174" s="392">
        <v>122.4804</v>
      </c>
    </row>
    <row r="1175" spans="1:2" hidden="1" x14ac:dyDescent="0.3">
      <c r="A1175" s="391">
        <v>42663</v>
      </c>
      <c r="B1175" s="392">
        <v>122.84</v>
      </c>
    </row>
    <row r="1176" spans="1:2" hidden="1" x14ac:dyDescent="0.3">
      <c r="A1176" s="391">
        <v>42664</v>
      </c>
      <c r="B1176" s="392">
        <v>123.36369999999999</v>
      </c>
    </row>
    <row r="1177" spans="1:2" hidden="1" x14ac:dyDescent="0.3">
      <c r="A1177" s="391">
        <v>42667</v>
      </c>
      <c r="B1177" s="392">
        <v>123.31399999999999</v>
      </c>
    </row>
    <row r="1178" spans="1:2" hidden="1" x14ac:dyDescent="0.3">
      <c r="A1178" s="391">
        <v>42668</v>
      </c>
      <c r="B1178" s="392">
        <v>123.1234</v>
      </c>
    </row>
    <row r="1179" spans="1:2" hidden="1" x14ac:dyDescent="0.3">
      <c r="A1179" s="391">
        <v>42669</v>
      </c>
      <c r="B1179" s="392">
        <v>123.2764</v>
      </c>
    </row>
    <row r="1180" spans="1:2" hidden="1" x14ac:dyDescent="0.3">
      <c r="A1180" s="391">
        <v>42670</v>
      </c>
      <c r="B1180" s="392">
        <v>123.6923</v>
      </c>
    </row>
    <row r="1181" spans="1:2" hidden="1" x14ac:dyDescent="0.3">
      <c r="A1181" s="391">
        <v>42671</v>
      </c>
      <c r="B1181" s="392">
        <v>123.5783</v>
      </c>
    </row>
    <row r="1182" spans="1:2" hidden="1" x14ac:dyDescent="0.3">
      <c r="A1182" s="391">
        <v>42674</v>
      </c>
      <c r="B1182" s="392">
        <v>123.5141</v>
      </c>
    </row>
    <row r="1183" spans="1:2" hidden="1" x14ac:dyDescent="0.3">
      <c r="A1183" s="391">
        <v>42675</v>
      </c>
      <c r="B1183" s="392">
        <v>123.482</v>
      </c>
    </row>
    <row r="1184" spans="1:2" hidden="1" x14ac:dyDescent="0.3">
      <c r="A1184" s="391">
        <v>42676</v>
      </c>
      <c r="B1184" s="392">
        <v>123.4359</v>
      </c>
    </row>
    <row r="1185" spans="1:2" hidden="1" x14ac:dyDescent="0.3">
      <c r="A1185" s="391">
        <v>42677</v>
      </c>
      <c r="B1185" s="392">
        <v>123.2915</v>
      </c>
    </row>
    <row r="1186" spans="1:2" hidden="1" x14ac:dyDescent="0.3">
      <c r="A1186" s="391">
        <v>42678</v>
      </c>
      <c r="B1186" s="392">
        <v>123.1203</v>
      </c>
    </row>
    <row r="1187" spans="1:2" hidden="1" x14ac:dyDescent="0.3">
      <c r="A1187" s="391">
        <v>42681</v>
      </c>
      <c r="B1187" s="392">
        <v>123.07599999999999</v>
      </c>
    </row>
    <row r="1188" spans="1:2" hidden="1" x14ac:dyDescent="0.3">
      <c r="A1188" s="391">
        <v>42682</v>
      </c>
      <c r="B1188" s="392">
        <v>122.8327</v>
      </c>
    </row>
    <row r="1189" spans="1:2" hidden="1" x14ac:dyDescent="0.3">
      <c r="A1189" s="391">
        <v>42683</v>
      </c>
      <c r="B1189" s="392">
        <v>124.2711</v>
      </c>
    </row>
    <row r="1190" spans="1:2" hidden="1" x14ac:dyDescent="0.3">
      <c r="A1190" s="391">
        <v>42684</v>
      </c>
      <c r="B1190" s="392">
        <v>125.6112</v>
      </c>
    </row>
    <row r="1191" spans="1:2" hidden="1" x14ac:dyDescent="0.3">
      <c r="A1191" s="391">
        <v>42688</v>
      </c>
      <c r="B1191" s="392">
        <v>126.98480000000001</v>
      </c>
    </row>
    <row r="1192" spans="1:2" hidden="1" x14ac:dyDescent="0.3">
      <c r="A1192" s="391">
        <v>42689</v>
      </c>
      <c r="B1192" s="392">
        <v>126.5164</v>
      </c>
    </row>
    <row r="1193" spans="1:2" hidden="1" x14ac:dyDescent="0.3">
      <c r="A1193" s="391">
        <v>42690</v>
      </c>
      <c r="B1193" s="392">
        <v>126.5903</v>
      </c>
    </row>
    <row r="1194" spans="1:2" hidden="1" x14ac:dyDescent="0.3">
      <c r="A1194" s="391">
        <v>42691</v>
      </c>
      <c r="B1194" s="392">
        <v>126.6666</v>
      </c>
    </row>
    <row r="1195" spans="1:2" hidden="1" x14ac:dyDescent="0.3">
      <c r="A1195" s="391">
        <v>42692</v>
      </c>
      <c r="B1195" s="392">
        <v>127.38030000000001</v>
      </c>
    </row>
    <row r="1196" spans="1:2" hidden="1" x14ac:dyDescent="0.3">
      <c r="A1196" s="391">
        <v>42695</v>
      </c>
      <c r="B1196" s="392">
        <v>127.2803</v>
      </c>
    </row>
    <row r="1197" spans="1:2" hidden="1" x14ac:dyDescent="0.3">
      <c r="A1197" s="391">
        <v>42696</v>
      </c>
      <c r="B1197" s="392">
        <v>127.2312</v>
      </c>
    </row>
    <row r="1198" spans="1:2" hidden="1" x14ac:dyDescent="0.3">
      <c r="A1198" s="391">
        <v>42697</v>
      </c>
      <c r="B1198" s="392">
        <v>127.8914</v>
      </c>
    </row>
    <row r="1199" spans="1:2" hidden="1" x14ac:dyDescent="0.3">
      <c r="A1199" s="391">
        <v>42699</v>
      </c>
      <c r="B1199" s="392">
        <v>127.8604</v>
      </c>
    </row>
    <row r="1200" spans="1:2" hidden="1" x14ac:dyDescent="0.3">
      <c r="A1200" s="391">
        <v>42702</v>
      </c>
      <c r="B1200" s="392">
        <v>127.5444</v>
      </c>
    </row>
    <row r="1201" spans="1:2" hidden="1" x14ac:dyDescent="0.3">
      <c r="A1201" s="391">
        <v>42703</v>
      </c>
      <c r="B1201" s="392">
        <v>127.4658</v>
      </c>
    </row>
    <row r="1202" spans="1:2" hidden="1" x14ac:dyDescent="0.3">
      <c r="A1202" s="391">
        <v>42704</v>
      </c>
      <c r="B1202" s="392">
        <v>127.5646</v>
      </c>
    </row>
    <row r="1203" spans="1:2" hidden="1" x14ac:dyDescent="0.3">
      <c r="A1203" s="391">
        <v>42705</v>
      </c>
      <c r="B1203" s="392">
        <v>127.48820000000001</v>
      </c>
    </row>
    <row r="1204" spans="1:2" hidden="1" x14ac:dyDescent="0.3">
      <c r="A1204" s="391">
        <v>42706</v>
      </c>
      <c r="B1204" s="392">
        <v>127.14100000000001</v>
      </c>
    </row>
    <row r="1205" spans="1:2" hidden="1" x14ac:dyDescent="0.3">
      <c r="A1205" s="391">
        <v>42709</v>
      </c>
      <c r="B1205" s="392">
        <v>126.92659999999999</v>
      </c>
    </row>
    <row r="1206" spans="1:2" hidden="1" x14ac:dyDescent="0.3">
      <c r="A1206" s="391">
        <v>42710</v>
      </c>
      <c r="B1206" s="392">
        <v>126.74120000000001</v>
      </c>
    </row>
    <row r="1207" spans="1:2" hidden="1" x14ac:dyDescent="0.3">
      <c r="A1207" s="391">
        <v>42711</v>
      </c>
      <c r="B1207" s="392">
        <v>126.45829999999999</v>
      </c>
    </row>
    <row r="1208" spans="1:2" hidden="1" x14ac:dyDescent="0.3">
      <c r="A1208" s="391">
        <v>42712</v>
      </c>
      <c r="B1208" s="392">
        <v>126.81440000000001</v>
      </c>
    </row>
    <row r="1209" spans="1:2" hidden="1" x14ac:dyDescent="0.3">
      <c r="A1209" s="391">
        <v>42713</v>
      </c>
      <c r="B1209" s="392">
        <v>127.1143</v>
      </c>
    </row>
    <row r="1210" spans="1:2" hidden="1" x14ac:dyDescent="0.3">
      <c r="A1210" s="391">
        <v>42716</v>
      </c>
      <c r="B1210" s="392">
        <v>126.73050000000001</v>
      </c>
    </row>
    <row r="1211" spans="1:2" hidden="1" x14ac:dyDescent="0.3">
      <c r="A1211" s="391">
        <v>42717</v>
      </c>
      <c r="B1211" s="392">
        <v>126.60469999999999</v>
      </c>
    </row>
    <row r="1212" spans="1:2" hidden="1" x14ac:dyDescent="0.3">
      <c r="A1212" s="391">
        <v>42718</v>
      </c>
      <c r="B1212" s="392">
        <v>126.5634</v>
      </c>
    </row>
    <row r="1213" spans="1:2" hidden="1" x14ac:dyDescent="0.3">
      <c r="A1213" s="391">
        <v>42719</v>
      </c>
      <c r="B1213" s="392">
        <v>128.6568</v>
      </c>
    </row>
    <row r="1214" spans="1:2" hidden="1" x14ac:dyDescent="0.3">
      <c r="A1214" s="391">
        <v>42720</v>
      </c>
      <c r="B1214" s="392">
        <v>128.2517</v>
      </c>
    </row>
    <row r="1215" spans="1:2" hidden="1" x14ac:dyDescent="0.3">
      <c r="A1215" s="391">
        <v>42723</v>
      </c>
      <c r="B1215" s="392">
        <v>128.2576</v>
      </c>
    </row>
    <row r="1216" spans="1:2" hidden="1" x14ac:dyDescent="0.3">
      <c r="A1216" s="391">
        <v>42724</v>
      </c>
      <c r="B1216" s="392">
        <v>128.49010000000001</v>
      </c>
    </row>
    <row r="1217" spans="1:3" hidden="1" x14ac:dyDescent="0.3">
      <c r="A1217" s="391">
        <v>42725</v>
      </c>
      <c r="B1217" s="392">
        <v>128.42449999999999</v>
      </c>
    </row>
    <row r="1218" spans="1:3" hidden="1" x14ac:dyDescent="0.3">
      <c r="A1218" s="391">
        <v>42726</v>
      </c>
      <c r="B1218" s="392">
        <v>128.67949999999999</v>
      </c>
    </row>
    <row r="1219" spans="1:3" hidden="1" x14ac:dyDescent="0.3">
      <c r="A1219" s="391">
        <v>42727</v>
      </c>
      <c r="B1219" s="392">
        <v>128.61969999999999</v>
      </c>
    </row>
    <row r="1220" spans="1:3" hidden="1" x14ac:dyDescent="0.3">
      <c r="A1220" s="391">
        <v>42731</v>
      </c>
      <c r="B1220" s="392">
        <v>128.7938</v>
      </c>
    </row>
    <row r="1221" spans="1:3" hidden="1" x14ac:dyDescent="0.3">
      <c r="A1221" s="391">
        <v>42732</v>
      </c>
      <c r="B1221" s="392">
        <v>129.0778</v>
      </c>
    </row>
    <row r="1222" spans="1:3" hidden="1" x14ac:dyDescent="0.3">
      <c r="A1222" s="391">
        <v>42733</v>
      </c>
      <c r="B1222" s="392">
        <v>128.5027</v>
      </c>
    </row>
    <row r="1223" spans="1:3" x14ac:dyDescent="0.3">
      <c r="A1223" s="391">
        <v>42734</v>
      </c>
      <c r="B1223" s="392">
        <v>128.2131</v>
      </c>
      <c r="C1223" s="393">
        <f>AVERAGE(B1163:B1223)</f>
        <v>125.5216163934426</v>
      </c>
    </row>
    <row r="1224" spans="1:3" hidden="1" x14ac:dyDescent="0.3">
      <c r="A1224" s="391">
        <v>42737</v>
      </c>
      <c r="B1224" s="392">
        <v>128.21029999999999</v>
      </c>
    </row>
    <row r="1225" spans="1:3" hidden="1" x14ac:dyDescent="0.3">
      <c r="A1225" s="391">
        <v>42738</v>
      </c>
      <c r="B1225" s="392">
        <v>128.96270000000001</v>
      </c>
    </row>
    <row r="1226" spans="1:3" hidden="1" x14ac:dyDescent="0.3">
      <c r="A1226" s="391">
        <v>42739</v>
      </c>
      <c r="B1226" s="392">
        <v>128.73439999999999</v>
      </c>
    </row>
    <row r="1227" spans="1:3" hidden="1" x14ac:dyDescent="0.3">
      <c r="A1227" s="391">
        <v>42740</v>
      </c>
      <c r="B1227" s="392">
        <v>127.7769</v>
      </c>
    </row>
    <row r="1228" spans="1:3" hidden="1" x14ac:dyDescent="0.3">
      <c r="A1228" s="391">
        <v>42741</v>
      </c>
      <c r="B1228" s="392">
        <v>128.18020000000001</v>
      </c>
    </row>
    <row r="1229" spans="1:3" hidden="1" x14ac:dyDescent="0.3">
      <c r="A1229" s="391">
        <v>42744</v>
      </c>
      <c r="B1229" s="392">
        <v>128.2527</v>
      </c>
    </row>
    <row r="1230" spans="1:3" hidden="1" x14ac:dyDescent="0.3">
      <c r="A1230" s="391">
        <v>42745</v>
      </c>
      <c r="B1230" s="392">
        <v>128.35400000000001</v>
      </c>
    </row>
    <row r="1231" spans="1:3" hidden="1" x14ac:dyDescent="0.3">
      <c r="A1231" s="391">
        <v>42746</v>
      </c>
      <c r="B1231" s="392">
        <v>128.8561</v>
      </c>
    </row>
    <row r="1232" spans="1:3" hidden="1" x14ac:dyDescent="0.3">
      <c r="A1232" s="391">
        <v>42747</v>
      </c>
      <c r="B1232" s="392">
        <v>127.5389</v>
      </c>
    </row>
    <row r="1233" spans="1:2" hidden="1" x14ac:dyDescent="0.3">
      <c r="A1233" s="391">
        <v>42748</v>
      </c>
      <c r="B1233" s="392">
        <v>127.7486</v>
      </c>
    </row>
    <row r="1234" spans="1:2" hidden="1" x14ac:dyDescent="0.3">
      <c r="A1234" s="391">
        <v>42751</v>
      </c>
      <c r="B1234" s="392">
        <v>127.7692</v>
      </c>
    </row>
    <row r="1235" spans="1:2" hidden="1" x14ac:dyDescent="0.3">
      <c r="A1235" s="391">
        <v>42752</v>
      </c>
      <c r="B1235" s="392">
        <v>126.9705</v>
      </c>
    </row>
    <row r="1236" spans="1:2" hidden="1" x14ac:dyDescent="0.3">
      <c r="A1236" s="391">
        <v>42753</v>
      </c>
      <c r="B1236" s="392">
        <v>127.411</v>
      </c>
    </row>
    <row r="1237" spans="1:2" hidden="1" x14ac:dyDescent="0.3">
      <c r="A1237" s="391">
        <v>42754</v>
      </c>
      <c r="B1237" s="392">
        <v>128.06</v>
      </c>
    </row>
    <row r="1238" spans="1:2" hidden="1" x14ac:dyDescent="0.3">
      <c r="A1238" s="391">
        <v>42755</v>
      </c>
      <c r="B1238" s="392">
        <v>128.0386</v>
      </c>
    </row>
    <row r="1239" spans="1:2" hidden="1" x14ac:dyDescent="0.3">
      <c r="A1239" s="391">
        <v>42758</v>
      </c>
      <c r="B1239" s="392">
        <v>126.9517</v>
      </c>
    </row>
    <row r="1240" spans="1:2" hidden="1" x14ac:dyDescent="0.3">
      <c r="A1240" s="391">
        <v>42759</v>
      </c>
      <c r="B1240" s="392">
        <v>126.7655</v>
      </c>
    </row>
    <row r="1241" spans="1:2" hidden="1" x14ac:dyDescent="0.3">
      <c r="A1241" s="391">
        <v>42760</v>
      </c>
      <c r="B1241" s="392">
        <v>126.69799999999999</v>
      </c>
    </row>
    <row r="1242" spans="1:2" hidden="1" x14ac:dyDescent="0.3">
      <c r="A1242" s="391">
        <v>42761</v>
      </c>
      <c r="B1242" s="392">
        <v>127.04510000000001</v>
      </c>
    </row>
    <row r="1243" spans="1:2" hidden="1" x14ac:dyDescent="0.3">
      <c r="A1243" s="391">
        <v>42762</v>
      </c>
      <c r="B1243" s="392">
        <v>126.83710000000001</v>
      </c>
    </row>
    <row r="1244" spans="1:2" hidden="1" x14ac:dyDescent="0.3">
      <c r="A1244" s="391">
        <v>42765</v>
      </c>
      <c r="B1244" s="392">
        <v>126.4712</v>
      </c>
    </row>
    <row r="1245" spans="1:2" hidden="1" x14ac:dyDescent="0.3">
      <c r="A1245" s="391">
        <v>42766</v>
      </c>
      <c r="B1245" s="392">
        <v>125.9632</v>
      </c>
    </row>
    <row r="1246" spans="1:2" hidden="1" x14ac:dyDescent="0.3">
      <c r="A1246" s="391">
        <v>42767</v>
      </c>
      <c r="B1246" s="392">
        <v>126.13590000000001</v>
      </c>
    </row>
    <row r="1247" spans="1:2" hidden="1" x14ac:dyDescent="0.3">
      <c r="A1247" s="391">
        <v>42768</v>
      </c>
      <c r="B1247" s="392">
        <v>125.6026</v>
      </c>
    </row>
    <row r="1248" spans="1:2" hidden="1" x14ac:dyDescent="0.3">
      <c r="A1248" s="391">
        <v>42769</v>
      </c>
      <c r="B1248" s="392">
        <v>125.28270000000001</v>
      </c>
    </row>
    <row r="1249" spans="1:2" hidden="1" x14ac:dyDescent="0.3">
      <c r="A1249" s="391">
        <v>42772</v>
      </c>
      <c r="B1249" s="392">
        <v>125.6922</v>
      </c>
    </row>
    <row r="1250" spans="1:2" hidden="1" x14ac:dyDescent="0.3">
      <c r="A1250" s="391">
        <v>42773</v>
      </c>
      <c r="B1250" s="392">
        <v>126.09990000000001</v>
      </c>
    </row>
    <row r="1251" spans="1:2" hidden="1" x14ac:dyDescent="0.3">
      <c r="A1251" s="391">
        <v>42774</v>
      </c>
      <c r="B1251" s="392">
        <v>125.815</v>
      </c>
    </row>
    <row r="1252" spans="1:2" hidden="1" x14ac:dyDescent="0.3">
      <c r="A1252" s="391">
        <v>42775</v>
      </c>
      <c r="B1252" s="392">
        <v>125.9791</v>
      </c>
    </row>
    <row r="1253" spans="1:2" hidden="1" x14ac:dyDescent="0.3">
      <c r="A1253" s="391">
        <v>42776</v>
      </c>
      <c r="B1253" s="392">
        <v>125.82299999999999</v>
      </c>
    </row>
    <row r="1254" spans="1:2" hidden="1" x14ac:dyDescent="0.3">
      <c r="A1254" s="391">
        <v>42779</v>
      </c>
      <c r="B1254" s="392">
        <v>126.017</v>
      </c>
    </row>
    <row r="1255" spans="1:2" hidden="1" x14ac:dyDescent="0.3">
      <c r="A1255" s="391">
        <v>42780</v>
      </c>
      <c r="B1255" s="392">
        <v>126.0155</v>
      </c>
    </row>
    <row r="1256" spans="1:2" hidden="1" x14ac:dyDescent="0.3">
      <c r="A1256" s="391">
        <v>42781</v>
      </c>
      <c r="B1256" s="392">
        <v>125.83880000000001</v>
      </c>
    </row>
    <row r="1257" spans="1:2" hidden="1" x14ac:dyDescent="0.3">
      <c r="A1257" s="391">
        <v>42782</v>
      </c>
      <c r="B1257" s="392">
        <v>125.6195</v>
      </c>
    </row>
    <row r="1258" spans="1:2" hidden="1" x14ac:dyDescent="0.3">
      <c r="A1258" s="391">
        <v>42783</v>
      </c>
      <c r="B1258" s="392">
        <v>126.0425</v>
      </c>
    </row>
    <row r="1259" spans="1:2" hidden="1" x14ac:dyDescent="0.3">
      <c r="A1259" s="391">
        <v>42786</v>
      </c>
      <c r="B1259" s="392">
        <v>126.0389</v>
      </c>
    </row>
    <row r="1260" spans="1:2" hidden="1" x14ac:dyDescent="0.3">
      <c r="A1260" s="391">
        <v>42787</v>
      </c>
      <c r="B1260" s="392">
        <v>126.23350000000001</v>
      </c>
    </row>
    <row r="1261" spans="1:2" hidden="1" x14ac:dyDescent="0.3">
      <c r="A1261" s="391">
        <v>42788</v>
      </c>
      <c r="B1261" s="392">
        <v>125.83459999999999</v>
      </c>
    </row>
    <row r="1262" spans="1:2" hidden="1" x14ac:dyDescent="0.3">
      <c r="A1262" s="391">
        <v>42789</v>
      </c>
      <c r="B1262" s="392">
        <v>125.24809999999999</v>
      </c>
    </row>
    <row r="1263" spans="1:2" hidden="1" x14ac:dyDescent="0.3">
      <c r="A1263" s="391">
        <v>42790</v>
      </c>
      <c r="B1263" s="392">
        <v>125.41540000000001</v>
      </c>
    </row>
    <row r="1264" spans="1:2" hidden="1" x14ac:dyDescent="0.3">
      <c r="A1264" s="391">
        <v>42793</v>
      </c>
      <c r="B1264" s="392">
        <v>125.2778</v>
      </c>
    </row>
    <row r="1265" spans="1:2" hidden="1" x14ac:dyDescent="0.3">
      <c r="A1265" s="391">
        <v>42794</v>
      </c>
      <c r="B1265" s="392">
        <v>125.5992</v>
      </c>
    </row>
    <row r="1266" spans="1:2" hidden="1" x14ac:dyDescent="0.3">
      <c r="A1266" s="391">
        <v>42795</v>
      </c>
      <c r="B1266" s="392">
        <v>126.044</v>
      </c>
    </row>
    <row r="1267" spans="1:2" hidden="1" x14ac:dyDescent="0.3">
      <c r="A1267" s="391">
        <v>42796</v>
      </c>
      <c r="B1267" s="392">
        <v>126.4661</v>
      </c>
    </row>
    <row r="1268" spans="1:2" hidden="1" x14ac:dyDescent="0.3">
      <c r="A1268" s="391">
        <v>42797</v>
      </c>
      <c r="B1268" s="392">
        <v>126.2717</v>
      </c>
    </row>
    <row r="1269" spans="1:2" hidden="1" x14ac:dyDescent="0.3">
      <c r="A1269" s="391">
        <v>42800</v>
      </c>
      <c r="B1269" s="392">
        <v>126.05459999999999</v>
      </c>
    </row>
    <row r="1270" spans="1:2" hidden="1" x14ac:dyDescent="0.3">
      <c r="A1270" s="391">
        <v>42801</v>
      </c>
      <c r="B1270" s="392">
        <v>126.04689999999999</v>
      </c>
    </row>
    <row r="1271" spans="1:2" hidden="1" x14ac:dyDescent="0.3">
      <c r="A1271" s="391">
        <v>42802</v>
      </c>
      <c r="B1271" s="392">
        <v>126.5172</v>
      </c>
    </row>
    <row r="1272" spans="1:2" hidden="1" x14ac:dyDescent="0.3">
      <c r="A1272" s="391">
        <v>42803</v>
      </c>
      <c r="B1272" s="392">
        <v>126.6562</v>
      </c>
    </row>
    <row r="1273" spans="1:2" hidden="1" x14ac:dyDescent="0.3">
      <c r="A1273" s="391">
        <v>42804</v>
      </c>
      <c r="B1273" s="392">
        <v>126.2568</v>
      </c>
    </row>
  </sheetData>
  <autoFilter ref="A15:C1273" xr:uid="{00000000-0009-0000-0000-000001000000}">
    <filterColumn colId="2">
      <customFilters>
        <customFilter operator="notEqual" val=" "/>
      </custom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6"/>
  <sheetViews>
    <sheetView showGridLines="0" zoomScaleNormal="100" workbookViewId="0"/>
  </sheetViews>
  <sheetFormatPr defaultColWidth="9.109375" defaultRowHeight="14.4" x14ac:dyDescent="0.3"/>
  <cols>
    <col min="1" max="1" width="12.5546875" style="199" customWidth="1"/>
    <col min="2" max="2" width="12.33203125" style="199" customWidth="1"/>
    <col min="3" max="4" width="11.88671875" style="199" customWidth="1"/>
    <col min="5" max="5" width="14.77734375" style="199" customWidth="1"/>
    <col min="6" max="6" width="15.5546875" style="199" customWidth="1"/>
    <col min="7" max="7" width="18.5546875" style="199" customWidth="1"/>
    <col min="8" max="10" width="9.6640625" style="199" customWidth="1"/>
    <col min="11" max="11" width="2.5546875" style="199" customWidth="1"/>
    <col min="12" max="13" width="9.6640625" style="199" customWidth="1"/>
    <col min="14" max="15" width="11.88671875" style="199" customWidth="1"/>
    <col min="16" max="18" width="9.6640625" style="199" customWidth="1"/>
    <col min="19" max="19" width="10.5546875" style="199" customWidth="1"/>
    <col min="20" max="16384" width="9.109375" style="199"/>
  </cols>
  <sheetData>
    <row r="1" spans="1:24" x14ac:dyDescent="0.3">
      <c r="A1" s="199" t="s">
        <v>582</v>
      </c>
      <c r="C1" s="199" t="s">
        <v>242</v>
      </c>
    </row>
    <row r="2" spans="1:24" ht="43.2" x14ac:dyDescent="0.3">
      <c r="A2" s="573" t="s">
        <v>441</v>
      </c>
      <c r="B2" s="572" t="s">
        <v>442</v>
      </c>
      <c r="C2" s="572" t="s">
        <v>443</v>
      </c>
      <c r="D2" s="572" t="s">
        <v>444</v>
      </c>
      <c r="E2" s="572" t="s">
        <v>445</v>
      </c>
      <c r="F2" s="572" t="s">
        <v>446</v>
      </c>
      <c r="G2" s="572" t="s">
        <v>447</v>
      </c>
      <c r="H2" s="572" t="s">
        <v>448</v>
      </c>
      <c r="I2" s="572" t="s">
        <v>449</v>
      </c>
      <c r="J2" s="574" t="s">
        <v>450</v>
      </c>
      <c r="K2" s="559"/>
      <c r="L2" s="589" t="s">
        <v>451</v>
      </c>
      <c r="M2" s="571" t="s">
        <v>452</v>
      </c>
      <c r="N2" s="571" t="s">
        <v>442</v>
      </c>
      <c r="O2" s="571" t="s">
        <v>453</v>
      </c>
      <c r="P2" s="571" t="s">
        <v>454</v>
      </c>
      <c r="Q2" s="571" t="s">
        <v>455</v>
      </c>
      <c r="R2" s="571" t="s">
        <v>456</v>
      </c>
      <c r="S2" s="571" t="s">
        <v>447</v>
      </c>
      <c r="T2" s="571" t="s">
        <v>457</v>
      </c>
      <c r="U2" s="571" t="s">
        <v>449</v>
      </c>
      <c r="V2" s="571" t="s">
        <v>458</v>
      </c>
      <c r="W2" s="571" t="s">
        <v>450</v>
      </c>
      <c r="X2" s="590" t="s">
        <v>459</v>
      </c>
    </row>
    <row r="3" spans="1:24" x14ac:dyDescent="0.3">
      <c r="A3" s="575" t="s">
        <v>526</v>
      </c>
      <c r="B3" s="576">
        <v>41297</v>
      </c>
      <c r="C3" s="577" t="s">
        <v>480</v>
      </c>
      <c r="D3" s="578">
        <v>42</v>
      </c>
      <c r="E3" s="577" t="s">
        <v>503</v>
      </c>
      <c r="F3" s="579">
        <v>0.38</v>
      </c>
      <c r="G3" s="577" t="s">
        <v>527</v>
      </c>
      <c r="H3" s="580">
        <v>3.85</v>
      </c>
      <c r="I3" s="577" t="s">
        <v>476</v>
      </c>
      <c r="J3" s="581">
        <v>0.26</v>
      </c>
      <c r="K3" s="560"/>
      <c r="L3" s="591" t="s">
        <v>526</v>
      </c>
      <c r="M3" s="592">
        <v>41334</v>
      </c>
      <c r="N3" s="576">
        <v>41387</v>
      </c>
      <c r="O3" s="593">
        <v>43.603000000000002</v>
      </c>
      <c r="P3" s="577" t="s">
        <v>469</v>
      </c>
      <c r="Q3" s="579">
        <v>0.375</v>
      </c>
      <c r="R3" s="577" t="s">
        <v>477</v>
      </c>
      <c r="S3" s="577">
        <v>3.7909999999999999</v>
      </c>
      <c r="T3" s="577" t="s">
        <v>469</v>
      </c>
      <c r="U3" s="577">
        <v>347</v>
      </c>
      <c r="V3" s="577" t="s">
        <v>478</v>
      </c>
      <c r="W3" s="579">
        <v>0.26</v>
      </c>
      <c r="X3" s="594" t="s">
        <v>471</v>
      </c>
    </row>
    <row r="4" spans="1:24" x14ac:dyDescent="0.3">
      <c r="A4" s="575" t="s">
        <v>523</v>
      </c>
      <c r="B4" s="576">
        <v>41387</v>
      </c>
      <c r="C4" s="577" t="s">
        <v>524</v>
      </c>
      <c r="D4" s="578">
        <v>34.5</v>
      </c>
      <c r="E4" s="577" t="s">
        <v>521</v>
      </c>
      <c r="F4" s="579">
        <v>0.36499999999999999</v>
      </c>
      <c r="G4" s="577" t="s">
        <v>525</v>
      </c>
      <c r="H4" s="580">
        <v>3.9</v>
      </c>
      <c r="I4" s="577" t="s">
        <v>482</v>
      </c>
      <c r="J4" s="581">
        <v>0.26</v>
      </c>
      <c r="K4" s="560"/>
      <c r="L4" s="591" t="s">
        <v>523</v>
      </c>
      <c r="M4" s="592">
        <v>41426</v>
      </c>
      <c r="N4" s="576">
        <v>41478</v>
      </c>
      <c r="O4" s="593">
        <v>35.323</v>
      </c>
      <c r="P4" s="577" t="s">
        <v>470</v>
      </c>
      <c r="Q4" s="579">
        <v>0.36899999999999999</v>
      </c>
      <c r="R4" s="577" t="s">
        <v>469</v>
      </c>
      <c r="S4" s="577">
        <v>3.823</v>
      </c>
      <c r="T4" s="577" t="s">
        <v>469</v>
      </c>
      <c r="U4" s="577">
        <v>234</v>
      </c>
      <c r="V4" s="577" t="s">
        <v>478</v>
      </c>
      <c r="W4" s="579">
        <v>0.26900000000000002</v>
      </c>
      <c r="X4" s="594" t="s">
        <v>478</v>
      </c>
    </row>
    <row r="5" spans="1:24" x14ac:dyDescent="0.3">
      <c r="A5" s="575" t="s">
        <v>519</v>
      </c>
      <c r="B5" s="576">
        <v>41478</v>
      </c>
      <c r="C5" s="577" t="s">
        <v>520</v>
      </c>
      <c r="D5" s="578">
        <v>35.5</v>
      </c>
      <c r="E5" s="577" t="s">
        <v>521</v>
      </c>
      <c r="F5" s="579">
        <v>0.36499999999999999</v>
      </c>
      <c r="G5" s="577" t="s">
        <v>522</v>
      </c>
      <c r="H5" s="580">
        <v>3.9249999999999998</v>
      </c>
      <c r="I5" s="577" t="s">
        <v>512</v>
      </c>
      <c r="J5" s="581">
        <v>0.26500000000000001</v>
      </c>
      <c r="K5" s="560"/>
      <c r="L5" s="591" t="s">
        <v>519</v>
      </c>
      <c r="M5" s="592">
        <v>41518</v>
      </c>
      <c r="N5" s="576">
        <v>41575</v>
      </c>
      <c r="O5" s="593">
        <v>37.472000000000001</v>
      </c>
      <c r="P5" s="577" t="s">
        <v>469</v>
      </c>
      <c r="Q5" s="579">
        <v>0.37</v>
      </c>
      <c r="R5" s="577" t="s">
        <v>470</v>
      </c>
      <c r="S5" s="577">
        <v>3.8410000000000002</v>
      </c>
      <c r="T5" s="577" t="s">
        <v>469</v>
      </c>
      <c r="U5" s="577">
        <v>113</v>
      </c>
      <c r="V5" s="577" t="s">
        <v>478</v>
      </c>
      <c r="W5" s="579">
        <v>0.25900000000000001</v>
      </c>
      <c r="X5" s="594" t="s">
        <v>469</v>
      </c>
    </row>
    <row r="6" spans="1:24" x14ac:dyDescent="0.3">
      <c r="A6" s="575" t="s">
        <v>516</v>
      </c>
      <c r="B6" s="576">
        <v>41575</v>
      </c>
      <c r="C6" s="577" t="s">
        <v>517</v>
      </c>
      <c r="D6" s="578">
        <v>56.5</v>
      </c>
      <c r="E6" s="577" t="s">
        <v>518</v>
      </c>
      <c r="F6" s="579">
        <v>0.37</v>
      </c>
      <c r="G6" s="577" t="s">
        <v>511</v>
      </c>
      <c r="H6" s="580">
        <v>4.45</v>
      </c>
      <c r="I6" s="577" t="s">
        <v>512</v>
      </c>
      <c r="J6" s="581">
        <v>0.26250000000000001</v>
      </c>
      <c r="K6" s="560"/>
      <c r="L6" s="591" t="s">
        <v>516</v>
      </c>
      <c r="M6" s="592">
        <v>41609</v>
      </c>
      <c r="N6" s="576">
        <v>41666</v>
      </c>
      <c r="O6" s="593">
        <v>57.594000000000001</v>
      </c>
      <c r="P6" s="577" t="s">
        <v>470</v>
      </c>
      <c r="Q6" s="579">
        <v>0.379</v>
      </c>
      <c r="R6" s="577" t="s">
        <v>469</v>
      </c>
      <c r="S6" s="577">
        <v>4.383</v>
      </c>
      <c r="T6" s="577" t="s">
        <v>469</v>
      </c>
      <c r="U6" s="577">
        <v>246</v>
      </c>
      <c r="V6" s="577" t="s">
        <v>469</v>
      </c>
      <c r="W6" s="579">
        <v>0.26200000000000001</v>
      </c>
      <c r="X6" s="594" t="s">
        <v>469</v>
      </c>
    </row>
    <row r="7" spans="1:24" x14ac:dyDescent="0.3">
      <c r="A7" s="575" t="s">
        <v>513</v>
      </c>
      <c r="B7" s="576">
        <v>41666</v>
      </c>
      <c r="C7" s="577" t="s">
        <v>514</v>
      </c>
      <c r="D7" s="578">
        <v>43</v>
      </c>
      <c r="E7" s="577" t="s">
        <v>506</v>
      </c>
      <c r="F7" s="579">
        <v>0.375</v>
      </c>
      <c r="G7" s="577" t="s">
        <v>515</v>
      </c>
      <c r="H7" s="580">
        <v>4.3499999999999996</v>
      </c>
      <c r="I7" s="577" t="s">
        <v>512</v>
      </c>
      <c r="J7" s="581">
        <v>0.26200000000000001</v>
      </c>
      <c r="K7" s="560"/>
      <c r="L7" s="591" t="s">
        <v>513</v>
      </c>
      <c r="M7" s="592">
        <v>41699</v>
      </c>
      <c r="N7" s="576">
        <v>41752</v>
      </c>
      <c r="O7" s="593">
        <v>45.646000000000001</v>
      </c>
      <c r="P7" s="577" t="s">
        <v>469</v>
      </c>
      <c r="Q7" s="579">
        <v>0.39300000000000002</v>
      </c>
      <c r="R7" s="577" t="s">
        <v>469</v>
      </c>
      <c r="S7" s="577">
        <v>4.3540000000000001</v>
      </c>
      <c r="T7" s="577" t="s">
        <v>470</v>
      </c>
      <c r="U7" s="577">
        <v>225</v>
      </c>
      <c r="V7" s="577" t="s">
        <v>469</v>
      </c>
      <c r="W7" s="579">
        <v>0.26</v>
      </c>
      <c r="X7" s="594" t="s">
        <v>469</v>
      </c>
    </row>
    <row r="8" spans="1:24" x14ac:dyDescent="0.3">
      <c r="A8" s="575" t="s">
        <v>509</v>
      </c>
      <c r="B8" s="576">
        <v>41752</v>
      </c>
      <c r="C8" s="577" t="s">
        <v>510</v>
      </c>
      <c r="D8" s="578">
        <v>37</v>
      </c>
      <c r="E8" s="577" t="s">
        <v>506</v>
      </c>
      <c r="F8" s="579">
        <v>0.375</v>
      </c>
      <c r="G8" s="577" t="s">
        <v>511</v>
      </c>
      <c r="H8" s="580">
        <v>4.45</v>
      </c>
      <c r="I8" s="577" t="s">
        <v>512</v>
      </c>
      <c r="J8" s="581">
        <v>0.26100000000000001</v>
      </c>
      <c r="K8" s="560"/>
      <c r="L8" s="591" t="s">
        <v>509</v>
      </c>
      <c r="M8" s="592">
        <v>41791</v>
      </c>
      <c r="N8" s="576">
        <v>41842</v>
      </c>
      <c r="O8" s="593">
        <v>37.432000000000002</v>
      </c>
      <c r="P8" s="577" t="s">
        <v>470</v>
      </c>
      <c r="Q8" s="579">
        <v>0.39400000000000002</v>
      </c>
      <c r="R8" s="577" t="s">
        <v>469</v>
      </c>
      <c r="S8" s="577">
        <v>4.4530000000000003</v>
      </c>
      <c r="T8" s="577" t="s">
        <v>470</v>
      </c>
      <c r="U8" s="577">
        <v>202</v>
      </c>
      <c r="V8" s="577" t="s">
        <v>469</v>
      </c>
      <c r="W8" s="579">
        <v>0.26100000000000001</v>
      </c>
      <c r="X8" s="594" t="s">
        <v>471</v>
      </c>
    </row>
    <row r="9" spans="1:24" x14ac:dyDescent="0.3">
      <c r="A9" s="575" t="s">
        <v>504</v>
      </c>
      <c r="B9" s="576">
        <v>41842</v>
      </c>
      <c r="C9" s="577" t="s">
        <v>505</v>
      </c>
      <c r="D9" s="578">
        <v>38.5</v>
      </c>
      <c r="E9" s="577" t="s">
        <v>506</v>
      </c>
      <c r="F9" s="579">
        <v>0.375</v>
      </c>
      <c r="G9" s="577" t="s">
        <v>507</v>
      </c>
      <c r="H9" s="580">
        <v>4.8</v>
      </c>
      <c r="I9" s="577" t="s">
        <v>508</v>
      </c>
      <c r="J9" s="581">
        <v>0.26100000000000001</v>
      </c>
      <c r="K9" s="560"/>
      <c r="L9" s="591" t="s">
        <v>504</v>
      </c>
      <c r="M9" s="592">
        <v>41883</v>
      </c>
      <c r="N9" s="576">
        <v>41932</v>
      </c>
      <c r="O9" s="593">
        <v>42.122999999999998</v>
      </c>
      <c r="P9" s="577" t="s">
        <v>469</v>
      </c>
      <c r="Q9" s="579">
        <v>0.38</v>
      </c>
      <c r="R9" s="577" t="s">
        <v>470</v>
      </c>
      <c r="S9" s="577">
        <v>4.8440000000000003</v>
      </c>
      <c r="T9" s="577" t="s">
        <v>470</v>
      </c>
      <c r="U9" s="577">
        <v>307</v>
      </c>
      <c r="V9" s="577" t="s">
        <v>469</v>
      </c>
      <c r="W9" s="579">
        <v>0.26200000000000001</v>
      </c>
      <c r="X9" s="594" t="s">
        <v>478</v>
      </c>
    </row>
    <row r="10" spans="1:24" x14ac:dyDescent="0.3">
      <c r="A10" s="575" t="s">
        <v>501</v>
      </c>
      <c r="B10" s="576">
        <v>41932</v>
      </c>
      <c r="C10" s="577" t="s">
        <v>502</v>
      </c>
      <c r="D10" s="578">
        <v>65</v>
      </c>
      <c r="E10" s="577" t="s">
        <v>503</v>
      </c>
      <c r="F10" s="579">
        <v>0.38</v>
      </c>
      <c r="G10" s="577" t="s">
        <v>500</v>
      </c>
      <c r="H10" s="580">
        <v>5.45</v>
      </c>
      <c r="I10" s="577" t="s">
        <v>486</v>
      </c>
      <c r="J10" s="581">
        <v>0.26500000000000001</v>
      </c>
      <c r="K10" s="560"/>
      <c r="L10" s="591" t="s">
        <v>501</v>
      </c>
      <c r="M10" s="592">
        <v>41974</v>
      </c>
      <c r="N10" s="576">
        <v>42031</v>
      </c>
      <c r="O10" s="593">
        <v>74.599000000000004</v>
      </c>
      <c r="P10" s="577" t="s">
        <v>469</v>
      </c>
      <c r="Q10" s="579">
        <v>0.39900000000000002</v>
      </c>
      <c r="R10" s="577" t="s">
        <v>469</v>
      </c>
      <c r="S10" s="577">
        <v>5.4950000000000001</v>
      </c>
      <c r="T10" s="577" t="s">
        <v>470</v>
      </c>
      <c r="U10" s="577">
        <v>170</v>
      </c>
      <c r="V10" s="577" t="s">
        <v>478</v>
      </c>
      <c r="W10" s="579">
        <v>0.26200000000000001</v>
      </c>
      <c r="X10" s="594" t="s">
        <v>469</v>
      </c>
    </row>
    <row r="11" spans="1:24" x14ac:dyDescent="0.3">
      <c r="A11" s="575" t="s">
        <v>498</v>
      </c>
      <c r="B11" s="576">
        <v>42031</v>
      </c>
      <c r="C11" s="577" t="s">
        <v>499</v>
      </c>
      <c r="D11" s="578">
        <v>53.5</v>
      </c>
      <c r="E11" s="577" t="s">
        <v>493</v>
      </c>
      <c r="F11" s="579">
        <v>0.39</v>
      </c>
      <c r="G11" s="577" t="s">
        <v>500</v>
      </c>
      <c r="H11" s="580">
        <v>5.45</v>
      </c>
      <c r="I11" s="577" t="s">
        <v>476</v>
      </c>
      <c r="J11" s="581">
        <v>0.26300000000000001</v>
      </c>
      <c r="K11" s="560"/>
      <c r="L11" s="591" t="s">
        <v>498</v>
      </c>
      <c r="M11" s="592">
        <v>42064</v>
      </c>
      <c r="N11" s="576">
        <v>42121</v>
      </c>
      <c r="O11" s="593">
        <v>58.01</v>
      </c>
      <c r="P11" s="577" t="s">
        <v>469</v>
      </c>
      <c r="Q11" s="579">
        <v>0.40799999999999997</v>
      </c>
      <c r="R11" s="577" t="s">
        <v>469</v>
      </c>
      <c r="S11" s="577">
        <v>5.3780000000000001</v>
      </c>
      <c r="T11" s="577" t="s">
        <v>469</v>
      </c>
      <c r="U11" s="577">
        <v>286</v>
      </c>
      <c r="V11" s="577" t="s">
        <v>478</v>
      </c>
      <c r="W11" s="579">
        <v>0.26900000000000002</v>
      </c>
      <c r="X11" s="594" t="s">
        <v>478</v>
      </c>
    </row>
    <row r="12" spans="1:24" x14ac:dyDescent="0.3">
      <c r="A12" s="575" t="s">
        <v>495</v>
      </c>
      <c r="B12" s="576">
        <v>42121</v>
      </c>
      <c r="C12" s="577" t="s">
        <v>496</v>
      </c>
      <c r="D12" s="578">
        <v>47</v>
      </c>
      <c r="E12" s="577" t="s">
        <v>493</v>
      </c>
      <c r="F12" s="579">
        <v>0.39</v>
      </c>
      <c r="G12" s="577" t="s">
        <v>497</v>
      </c>
      <c r="H12" s="580">
        <v>5.7</v>
      </c>
      <c r="I12" s="577" t="s">
        <v>476</v>
      </c>
      <c r="J12" s="581">
        <v>0.26300000000000001</v>
      </c>
      <c r="K12" s="560"/>
      <c r="L12" s="591" t="s">
        <v>495</v>
      </c>
      <c r="M12" s="592">
        <v>42156</v>
      </c>
      <c r="N12" s="576">
        <v>42206</v>
      </c>
      <c r="O12" s="593">
        <v>49.604999999999997</v>
      </c>
      <c r="P12" s="577" t="s">
        <v>469</v>
      </c>
      <c r="Q12" s="579">
        <v>0.39700000000000002</v>
      </c>
      <c r="R12" s="577" t="s">
        <v>469</v>
      </c>
      <c r="S12" s="577">
        <v>5.5979999999999999</v>
      </c>
      <c r="T12" s="577" t="s">
        <v>469</v>
      </c>
      <c r="U12" s="577">
        <v>390</v>
      </c>
      <c r="V12" s="577" t="s">
        <v>469</v>
      </c>
      <c r="W12" s="579">
        <v>0.26200000000000001</v>
      </c>
      <c r="X12" s="594" t="s">
        <v>469</v>
      </c>
    </row>
    <row r="13" spans="1:24" x14ac:dyDescent="0.3">
      <c r="A13" s="575" t="s">
        <v>491</v>
      </c>
      <c r="B13" s="576">
        <v>42206</v>
      </c>
      <c r="C13" s="577" t="s">
        <v>492</v>
      </c>
      <c r="D13" s="578">
        <v>50</v>
      </c>
      <c r="E13" s="577" t="s">
        <v>493</v>
      </c>
      <c r="F13" s="579">
        <v>0.39</v>
      </c>
      <c r="G13" s="577" t="s">
        <v>494</v>
      </c>
      <c r="H13" s="580">
        <v>5.9</v>
      </c>
      <c r="I13" s="577" t="s">
        <v>464</v>
      </c>
      <c r="J13" s="581">
        <v>0.26300000000000001</v>
      </c>
      <c r="K13" s="560"/>
      <c r="L13" s="591" t="s">
        <v>491</v>
      </c>
      <c r="M13" s="592">
        <v>42248</v>
      </c>
      <c r="N13" s="576">
        <v>42304</v>
      </c>
      <c r="O13" s="593">
        <v>51.500999999999998</v>
      </c>
      <c r="P13" s="577" t="s">
        <v>469</v>
      </c>
      <c r="Q13" s="579">
        <v>0.39900000000000002</v>
      </c>
      <c r="R13" s="577" t="s">
        <v>469</v>
      </c>
      <c r="S13" s="577">
        <v>5.9249999999999998</v>
      </c>
      <c r="T13" s="577" t="s">
        <v>470</v>
      </c>
      <c r="U13" s="577">
        <v>439</v>
      </c>
      <c r="V13" s="577" t="s">
        <v>469</v>
      </c>
      <c r="W13" s="579">
        <v>0.26100000000000001</v>
      </c>
      <c r="X13" s="594" t="s">
        <v>469</v>
      </c>
    </row>
    <row r="14" spans="1:24" x14ac:dyDescent="0.3">
      <c r="A14" s="575" t="s">
        <v>487</v>
      </c>
      <c r="B14" s="576">
        <v>42304</v>
      </c>
      <c r="C14" s="577" t="s">
        <v>488</v>
      </c>
      <c r="D14" s="578">
        <v>76.5</v>
      </c>
      <c r="E14" s="577" t="s">
        <v>489</v>
      </c>
      <c r="F14" s="579">
        <v>0.39500000000000002</v>
      </c>
      <c r="G14" s="577" t="s">
        <v>490</v>
      </c>
      <c r="H14" s="580">
        <v>6.35</v>
      </c>
      <c r="I14" s="577" t="s">
        <v>464</v>
      </c>
      <c r="J14" s="581">
        <v>0.26200000000000001</v>
      </c>
      <c r="K14" s="560"/>
      <c r="L14" s="591" t="s">
        <v>487</v>
      </c>
      <c r="M14" s="592">
        <v>42339</v>
      </c>
      <c r="N14" s="576">
        <v>42395</v>
      </c>
      <c r="O14" s="593">
        <v>75.872</v>
      </c>
      <c r="P14" s="577" t="s">
        <v>477</v>
      </c>
      <c r="Q14" s="579">
        <v>0.40100000000000002</v>
      </c>
      <c r="R14" s="577" t="s">
        <v>469</v>
      </c>
      <c r="S14" s="577">
        <v>6.2519999999999998</v>
      </c>
      <c r="T14" s="577" t="s">
        <v>469</v>
      </c>
      <c r="U14" s="577">
        <v>402</v>
      </c>
      <c r="V14" s="577" t="s">
        <v>469</v>
      </c>
      <c r="W14" s="579">
        <v>0.253</v>
      </c>
      <c r="X14" s="594" t="s">
        <v>469</v>
      </c>
    </row>
    <row r="15" spans="1:24" x14ac:dyDescent="0.3">
      <c r="A15" s="575" t="s">
        <v>483</v>
      </c>
      <c r="B15" s="576">
        <v>42395</v>
      </c>
      <c r="C15" s="577" t="s">
        <v>484</v>
      </c>
      <c r="D15" s="578">
        <v>51.5</v>
      </c>
      <c r="E15" s="577" t="s">
        <v>485</v>
      </c>
      <c r="F15" s="579">
        <v>0.39250000000000002</v>
      </c>
      <c r="G15" s="577" t="s">
        <v>481</v>
      </c>
      <c r="H15" s="580">
        <v>6.05</v>
      </c>
      <c r="I15" s="577" t="s">
        <v>486</v>
      </c>
      <c r="J15" s="581">
        <v>0.255</v>
      </c>
      <c r="K15" s="560"/>
      <c r="L15" s="591" t="s">
        <v>483</v>
      </c>
      <c r="M15" s="592">
        <v>42430</v>
      </c>
      <c r="N15" s="576">
        <v>42486</v>
      </c>
      <c r="O15" s="593">
        <v>50.557000000000002</v>
      </c>
      <c r="P15" s="577" t="s">
        <v>477</v>
      </c>
      <c r="Q15" s="579">
        <v>0.39400000000000002</v>
      </c>
      <c r="R15" s="577" t="s">
        <v>470</v>
      </c>
      <c r="S15" s="577">
        <v>5.9340000000000002</v>
      </c>
      <c r="T15" s="577" t="s">
        <v>469</v>
      </c>
      <c r="U15" s="577">
        <v>155</v>
      </c>
      <c r="V15" s="577" t="s">
        <v>478</v>
      </c>
      <c r="W15" s="579">
        <v>0.25600000000000001</v>
      </c>
      <c r="X15" s="594" t="s">
        <v>478</v>
      </c>
    </row>
    <row r="16" spans="1:24" x14ac:dyDescent="0.3">
      <c r="A16" s="575" t="s">
        <v>479</v>
      </c>
      <c r="B16" s="576">
        <v>42486</v>
      </c>
      <c r="C16" s="577" t="s">
        <v>480</v>
      </c>
      <c r="D16" s="578">
        <v>42</v>
      </c>
      <c r="E16" s="577" t="s">
        <v>474</v>
      </c>
      <c r="F16" s="579">
        <v>0.3775</v>
      </c>
      <c r="G16" s="577" t="s">
        <v>481</v>
      </c>
      <c r="H16" s="580">
        <v>6.05</v>
      </c>
      <c r="I16" s="577" t="s">
        <v>482</v>
      </c>
      <c r="J16" s="581">
        <v>0.255</v>
      </c>
      <c r="K16" s="560"/>
      <c r="L16" s="591" t="s">
        <v>479</v>
      </c>
      <c r="M16" s="592">
        <v>42522</v>
      </c>
      <c r="N16" s="576">
        <v>42577</v>
      </c>
      <c r="O16" s="593">
        <v>42.357999999999997</v>
      </c>
      <c r="P16" s="577" t="s">
        <v>470</v>
      </c>
      <c r="Q16" s="579">
        <v>0.38</v>
      </c>
      <c r="R16" s="577" t="s">
        <v>470</v>
      </c>
      <c r="S16" s="577">
        <v>6.0010000000000003</v>
      </c>
      <c r="T16" s="577" t="s">
        <v>477</v>
      </c>
      <c r="U16" s="577">
        <v>364</v>
      </c>
      <c r="V16" s="577" t="s">
        <v>469</v>
      </c>
      <c r="W16" s="579">
        <v>0.26500000000000001</v>
      </c>
      <c r="X16" s="594" t="s">
        <v>478</v>
      </c>
    </row>
    <row r="17" spans="1:24" x14ac:dyDescent="0.3">
      <c r="A17" s="575" t="s">
        <v>472</v>
      </c>
      <c r="B17" s="576">
        <v>42577</v>
      </c>
      <c r="C17" s="577" t="s">
        <v>473</v>
      </c>
      <c r="D17" s="578">
        <v>46.5</v>
      </c>
      <c r="E17" s="577" t="s">
        <v>474</v>
      </c>
      <c r="F17" s="579">
        <v>0.3775</v>
      </c>
      <c r="G17" s="577" t="s">
        <v>475</v>
      </c>
      <c r="H17" s="580">
        <v>6.1</v>
      </c>
      <c r="I17" s="577" t="s">
        <v>476</v>
      </c>
      <c r="J17" s="581">
        <v>0.255</v>
      </c>
      <c r="K17" s="560"/>
      <c r="L17" s="591" t="s">
        <v>472</v>
      </c>
      <c r="M17" s="592">
        <v>42614</v>
      </c>
      <c r="N17" s="576">
        <v>42668</v>
      </c>
      <c r="O17" s="593">
        <v>46.851999999999997</v>
      </c>
      <c r="P17" s="577" t="s">
        <v>470</v>
      </c>
      <c r="Q17" s="579">
        <v>0.38</v>
      </c>
      <c r="R17" s="577" t="s">
        <v>470</v>
      </c>
      <c r="S17" s="577">
        <v>6.0519999999999996</v>
      </c>
      <c r="T17" s="577" t="s">
        <v>477</v>
      </c>
      <c r="U17" s="577">
        <v>427</v>
      </c>
      <c r="V17" s="577" t="s">
        <v>469</v>
      </c>
      <c r="W17" s="579">
        <v>0.26</v>
      </c>
      <c r="X17" s="594" t="s">
        <v>478</v>
      </c>
    </row>
    <row r="18" spans="1:24" x14ac:dyDescent="0.3">
      <c r="A18" s="575" t="s">
        <v>465</v>
      </c>
      <c r="B18" s="576">
        <v>42668</v>
      </c>
      <c r="C18" s="577" t="s">
        <v>466</v>
      </c>
      <c r="D18" s="578">
        <v>77</v>
      </c>
      <c r="E18" s="577" t="s">
        <v>467</v>
      </c>
      <c r="F18" s="579">
        <v>0.38250000000000001</v>
      </c>
      <c r="G18" s="577" t="s">
        <v>468</v>
      </c>
      <c r="H18" s="580">
        <v>6.95</v>
      </c>
      <c r="I18" s="577" t="s">
        <v>464</v>
      </c>
      <c r="J18" s="581">
        <v>0.26</v>
      </c>
      <c r="K18" s="560"/>
      <c r="L18" s="591" t="s">
        <v>465</v>
      </c>
      <c r="M18" s="592">
        <v>42705</v>
      </c>
      <c r="N18" s="576">
        <v>42766</v>
      </c>
      <c r="O18" s="593">
        <v>78.350999999999999</v>
      </c>
      <c r="P18" s="577" t="s">
        <v>469</v>
      </c>
      <c r="Q18" s="579">
        <v>0.38500000000000001</v>
      </c>
      <c r="R18" s="577" t="s">
        <v>470</v>
      </c>
      <c r="S18" s="577">
        <v>6.8170000000000002</v>
      </c>
      <c r="T18" s="577" t="s">
        <v>469</v>
      </c>
      <c r="U18" s="577">
        <v>821</v>
      </c>
      <c r="V18" s="577" t="s">
        <v>469</v>
      </c>
      <c r="W18" s="579">
        <v>0.26</v>
      </c>
      <c r="X18" s="594" t="s">
        <v>471</v>
      </c>
    </row>
    <row r="19" spans="1:24" x14ac:dyDescent="0.3">
      <c r="A19" s="575" t="s">
        <v>460</v>
      </c>
      <c r="B19" s="576">
        <v>42766</v>
      </c>
      <c r="C19" s="577" t="s">
        <v>461</v>
      </c>
      <c r="D19" s="578">
        <v>52.5</v>
      </c>
      <c r="E19" s="577" t="s">
        <v>462</v>
      </c>
      <c r="F19" s="579">
        <v>0.38500000000000001</v>
      </c>
      <c r="G19" s="577" t="s">
        <v>463</v>
      </c>
      <c r="H19" s="580">
        <v>6.55</v>
      </c>
      <c r="I19" s="577" t="s">
        <v>464</v>
      </c>
      <c r="J19" s="581">
        <v>0.26</v>
      </c>
      <c r="K19" s="560"/>
      <c r="L19" s="591" t="s">
        <v>460</v>
      </c>
      <c r="M19" s="592">
        <v>42795</v>
      </c>
      <c r="N19" s="576">
        <v>42857</v>
      </c>
      <c r="O19" s="593">
        <v>52.896000000000001</v>
      </c>
      <c r="P19" s="577" t="s">
        <v>470</v>
      </c>
      <c r="Q19" s="579">
        <v>0.38929999999999998</v>
      </c>
      <c r="R19" s="577" t="s">
        <v>469</v>
      </c>
      <c r="S19" s="577">
        <v>6.4939999999999998</v>
      </c>
      <c r="T19" s="577" t="s">
        <v>469</v>
      </c>
      <c r="U19" s="577">
        <v>587</v>
      </c>
      <c r="V19" s="577" t="s">
        <v>469</v>
      </c>
      <c r="W19" s="579">
        <v>0.24890000000000001</v>
      </c>
      <c r="X19" s="594" t="s">
        <v>469</v>
      </c>
    </row>
    <row r="20" spans="1:24" x14ac:dyDescent="0.3">
      <c r="A20" s="582" t="s">
        <v>534</v>
      </c>
      <c r="B20" s="583">
        <v>42857</v>
      </c>
      <c r="C20" s="584" t="s">
        <v>529</v>
      </c>
      <c r="D20" s="585">
        <v>44.5</v>
      </c>
      <c r="E20" s="584" t="s">
        <v>503</v>
      </c>
      <c r="F20" s="586">
        <v>0.38</v>
      </c>
      <c r="G20" s="584" t="s">
        <v>530</v>
      </c>
      <c r="H20" s="587">
        <v>6.65</v>
      </c>
      <c r="I20" s="584" t="s">
        <v>531</v>
      </c>
      <c r="J20" s="588">
        <v>0.255</v>
      </c>
      <c r="K20" s="560"/>
      <c r="L20" s="595" t="s">
        <v>528</v>
      </c>
      <c r="M20" s="596" t="s">
        <v>532</v>
      </c>
      <c r="N20" s="596"/>
      <c r="O20" s="596"/>
      <c r="P20" s="596"/>
      <c r="Q20" s="596"/>
      <c r="R20" s="596"/>
      <c r="S20" s="596"/>
      <c r="T20" s="596"/>
      <c r="U20" s="596"/>
      <c r="V20" s="596"/>
      <c r="W20" s="596"/>
      <c r="X20" s="597"/>
    </row>
    <row r="22" spans="1:24" x14ac:dyDescent="0.3">
      <c r="A22" s="226" t="s">
        <v>535</v>
      </c>
      <c r="B22" s="227"/>
      <c r="C22" s="227"/>
      <c r="D22" s="227"/>
      <c r="E22" s="227"/>
      <c r="H22" s="226" t="s">
        <v>536</v>
      </c>
    </row>
    <row r="23" spans="1:24" ht="12.6" customHeight="1" x14ac:dyDescent="0.3">
      <c r="A23" s="226"/>
      <c r="B23" s="227"/>
      <c r="C23" s="227"/>
      <c r="D23" s="227"/>
      <c r="E23" s="227"/>
    </row>
    <row r="24" spans="1:24" ht="21" customHeight="1" x14ac:dyDescent="0.3">
      <c r="B24" s="562"/>
      <c r="C24" s="563"/>
      <c r="D24" s="563"/>
      <c r="E24" s="563"/>
      <c r="G24" s="226"/>
    </row>
    <row r="25" spans="1:24" s="196" customFormat="1" ht="21" customHeight="1" x14ac:dyDescent="0.3">
      <c r="B25" s="563"/>
      <c r="C25" s="563"/>
      <c r="D25" s="563"/>
      <c r="E25" s="563"/>
      <c r="G25" s="774"/>
      <c r="H25" s="774"/>
      <c r="I25" s="774"/>
      <c r="J25" s="774"/>
      <c r="K25" s="774"/>
      <c r="L25" s="774"/>
      <c r="M25" s="774"/>
      <c r="N25" s="774"/>
    </row>
    <row r="26" spans="1:24" ht="21" customHeight="1" x14ac:dyDescent="0.3">
      <c r="B26" s="227"/>
      <c r="C26" s="561"/>
      <c r="D26" s="561"/>
      <c r="E26" s="561"/>
      <c r="F26" s="555"/>
    </row>
    <row r="27" spans="1:24" ht="21" customHeight="1" x14ac:dyDescent="0.3">
      <c r="B27" s="227"/>
      <c r="C27" s="561"/>
      <c r="D27" s="561"/>
      <c r="E27" s="561"/>
      <c r="F27" s="555"/>
    </row>
    <row r="28" spans="1:24" ht="21" customHeight="1" x14ac:dyDescent="0.3">
      <c r="B28" s="227"/>
      <c r="C28" s="561"/>
      <c r="D28" s="561"/>
      <c r="E28" s="561"/>
      <c r="F28" s="555"/>
    </row>
    <row r="29" spans="1:24" ht="21" customHeight="1" x14ac:dyDescent="0.3">
      <c r="B29" s="227"/>
      <c r="C29" s="561"/>
      <c r="D29" s="561"/>
      <c r="E29" s="561"/>
      <c r="F29" s="555"/>
    </row>
    <row r="30" spans="1:24" ht="21" customHeight="1" x14ac:dyDescent="0.3">
      <c r="B30" s="227"/>
      <c r="C30" s="561"/>
      <c r="D30" s="561"/>
      <c r="E30" s="564"/>
      <c r="F30" s="555"/>
    </row>
    <row r="31" spans="1:24" ht="21" customHeight="1" x14ac:dyDescent="0.3">
      <c r="B31" s="227"/>
      <c r="C31" s="561"/>
      <c r="D31" s="565"/>
      <c r="E31" s="565"/>
      <c r="F31" s="555"/>
    </row>
    <row r="32" spans="1:24" ht="21" customHeight="1" x14ac:dyDescent="0.3">
      <c r="B32" s="227"/>
      <c r="C32" s="561"/>
      <c r="D32" s="565"/>
      <c r="E32" s="565"/>
      <c r="F32" s="555"/>
    </row>
    <row r="33" spans="1:8" ht="21" customHeight="1" x14ac:dyDescent="0.3">
      <c r="B33" s="227"/>
      <c r="C33" s="561"/>
      <c r="D33" s="565"/>
      <c r="E33" s="565"/>
      <c r="F33" s="555"/>
    </row>
    <row r="34" spans="1:8" ht="21" customHeight="1" x14ac:dyDescent="0.3">
      <c r="C34" s="97"/>
      <c r="D34" s="122"/>
      <c r="E34" s="122"/>
      <c r="F34" s="555"/>
    </row>
    <row r="35" spans="1:8" ht="21" customHeight="1" x14ac:dyDescent="0.3">
      <c r="C35" s="97"/>
      <c r="D35" s="122"/>
      <c r="E35" s="122"/>
      <c r="F35" s="555"/>
    </row>
    <row r="36" spans="1:8" ht="21" customHeight="1" x14ac:dyDescent="0.3">
      <c r="A36" s="199" t="s">
        <v>533</v>
      </c>
      <c r="C36" s="97"/>
      <c r="D36" s="122"/>
      <c r="E36" s="122"/>
      <c r="F36" s="555"/>
      <c r="H36" s="199" t="s">
        <v>537</v>
      </c>
    </row>
  </sheetData>
  <mergeCells count="1">
    <mergeCell ref="G25:N25"/>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28"/>
  <sheetViews>
    <sheetView showGridLines="0" zoomScaleNormal="100" workbookViewId="0">
      <selection activeCell="B1" sqref="B1"/>
    </sheetView>
  </sheetViews>
  <sheetFormatPr defaultColWidth="9.109375" defaultRowHeight="14.4" x14ac:dyDescent="0.3"/>
  <cols>
    <col min="1" max="1" width="1.109375" style="199" customWidth="1"/>
    <col min="2" max="2" width="22.77734375" style="199" customWidth="1"/>
    <col min="3" max="10" width="12.21875" style="199" customWidth="1"/>
    <col min="11" max="11" width="1.109375" style="199" customWidth="1"/>
    <col min="12" max="12" width="22.77734375" style="199" customWidth="1"/>
    <col min="13" max="20" width="12.21875" style="199" customWidth="1"/>
    <col min="21" max="16384" width="9.109375" style="199"/>
  </cols>
  <sheetData>
    <row r="1" spans="2:20" ht="17.399999999999999" customHeight="1" x14ac:dyDescent="0.3">
      <c r="B1" s="199" t="s">
        <v>583</v>
      </c>
      <c r="D1" s="97"/>
      <c r="E1" s="122"/>
      <c r="F1" s="122"/>
      <c r="G1" s="555"/>
    </row>
    <row r="2" spans="2:20" ht="16.8" customHeight="1" x14ac:dyDescent="0.3">
      <c r="B2" s="775" t="s">
        <v>539</v>
      </c>
      <c r="C2" s="776"/>
      <c r="D2" s="776"/>
      <c r="E2" s="776"/>
      <c r="F2" s="776"/>
      <c r="G2" s="776"/>
      <c r="H2" s="776"/>
      <c r="I2" s="776"/>
      <c r="J2" s="777"/>
      <c r="L2" s="778" t="s">
        <v>550</v>
      </c>
      <c r="M2" s="779"/>
      <c r="N2" s="779"/>
      <c r="O2" s="779"/>
      <c r="P2" s="779"/>
      <c r="Q2" s="779"/>
      <c r="R2" s="779"/>
      <c r="S2" s="779"/>
      <c r="T2" s="780"/>
    </row>
    <row r="3" spans="2:20" ht="16.8" customHeight="1" x14ac:dyDescent="0.3">
      <c r="B3" s="781" t="s">
        <v>541</v>
      </c>
      <c r="C3" s="618" t="s">
        <v>534</v>
      </c>
      <c r="D3" s="619" t="s">
        <v>534</v>
      </c>
      <c r="E3" s="618" t="s">
        <v>552</v>
      </c>
      <c r="F3" s="619" t="s">
        <v>552</v>
      </c>
      <c r="G3" s="618" t="s">
        <v>553</v>
      </c>
      <c r="H3" s="619" t="s">
        <v>553</v>
      </c>
      <c r="I3" s="620" t="s">
        <v>558</v>
      </c>
      <c r="J3" s="621" t="s">
        <v>558</v>
      </c>
      <c r="K3" s="559"/>
      <c r="L3" s="783" t="s">
        <v>541</v>
      </c>
      <c r="M3" s="625" t="s">
        <v>554</v>
      </c>
      <c r="N3" s="626" t="s">
        <v>554</v>
      </c>
      <c r="O3" s="625" t="s">
        <v>555</v>
      </c>
      <c r="P3" s="626" t="s">
        <v>555</v>
      </c>
      <c r="Q3" s="625" t="s">
        <v>556</v>
      </c>
      <c r="R3" s="626" t="s">
        <v>556</v>
      </c>
      <c r="S3" s="625" t="s">
        <v>557</v>
      </c>
      <c r="T3" s="626" t="s">
        <v>557</v>
      </c>
    </row>
    <row r="4" spans="2:20" ht="16.8" customHeight="1" x14ac:dyDescent="0.3">
      <c r="B4" s="782"/>
      <c r="C4" s="622" t="s">
        <v>542</v>
      </c>
      <c r="D4" s="623" t="s">
        <v>241</v>
      </c>
      <c r="E4" s="622" t="s">
        <v>542</v>
      </c>
      <c r="F4" s="623" t="s">
        <v>241</v>
      </c>
      <c r="G4" s="622" t="s">
        <v>542</v>
      </c>
      <c r="H4" s="623" t="s">
        <v>241</v>
      </c>
      <c r="I4" s="622" t="s">
        <v>542</v>
      </c>
      <c r="J4" s="624" t="s">
        <v>241</v>
      </c>
      <c r="K4" s="559"/>
      <c r="L4" s="784"/>
      <c r="M4" s="627" t="s">
        <v>542</v>
      </c>
      <c r="N4" s="628" t="s">
        <v>241</v>
      </c>
      <c r="O4" s="627" t="s">
        <v>542</v>
      </c>
      <c r="P4" s="628" t="s">
        <v>241</v>
      </c>
      <c r="Q4" s="627" t="s">
        <v>542</v>
      </c>
      <c r="R4" s="628" t="s">
        <v>241</v>
      </c>
      <c r="S4" s="627" t="s">
        <v>542</v>
      </c>
      <c r="T4" s="628" t="s">
        <v>241</v>
      </c>
    </row>
    <row r="5" spans="2:20" x14ac:dyDescent="0.3">
      <c r="B5" s="575" t="s">
        <v>543</v>
      </c>
      <c r="C5" s="604">
        <v>36</v>
      </c>
      <c r="D5" s="605">
        <v>44.97</v>
      </c>
      <c r="E5" s="604">
        <v>36</v>
      </c>
      <c r="F5" s="605">
        <v>50.75</v>
      </c>
      <c r="G5" s="604">
        <v>26</v>
      </c>
      <c r="H5" s="605">
        <v>83.94</v>
      </c>
      <c r="I5" s="598">
        <v>24</v>
      </c>
      <c r="J5" s="600">
        <v>60.26</v>
      </c>
      <c r="K5" s="560"/>
      <c r="L5" s="575" t="s">
        <v>543</v>
      </c>
      <c r="M5" s="611">
        <v>44</v>
      </c>
      <c r="N5" s="612">
        <v>227.52500000000001</v>
      </c>
      <c r="O5" s="611">
        <v>43</v>
      </c>
      <c r="P5" s="612">
        <v>250.46299999999999</v>
      </c>
      <c r="Q5" s="611">
        <v>20</v>
      </c>
      <c r="R5" s="612">
        <v>256.34300000000002</v>
      </c>
      <c r="S5" s="611">
        <v>5</v>
      </c>
      <c r="T5" s="612">
        <v>254.852</v>
      </c>
    </row>
    <row r="6" spans="2:20" x14ac:dyDescent="0.3">
      <c r="B6" s="575" t="s">
        <v>538</v>
      </c>
      <c r="C6" s="604">
        <v>28</v>
      </c>
      <c r="D6" s="606">
        <v>0.38200000000000001</v>
      </c>
      <c r="E6" s="604">
        <v>28</v>
      </c>
      <c r="F6" s="606">
        <v>0.38300000000000001</v>
      </c>
      <c r="G6" s="604">
        <v>18</v>
      </c>
      <c r="H6" s="606">
        <v>0.38500000000000001</v>
      </c>
      <c r="I6" s="598">
        <v>17</v>
      </c>
      <c r="J6" s="602">
        <v>0.38900000000000001</v>
      </c>
      <c r="K6" s="560"/>
      <c r="L6" s="575" t="s">
        <v>538</v>
      </c>
      <c r="M6" s="611">
        <v>33</v>
      </c>
      <c r="N6" s="613">
        <v>0.38569999999999999</v>
      </c>
      <c r="O6" s="611">
        <v>31</v>
      </c>
      <c r="P6" s="613">
        <v>0.38679999999999998</v>
      </c>
      <c r="Q6" s="611">
        <v>11</v>
      </c>
      <c r="R6" s="613">
        <v>0.3891</v>
      </c>
      <c r="S6" s="611">
        <v>3</v>
      </c>
      <c r="T6" s="613">
        <v>0.38429999999999997</v>
      </c>
    </row>
    <row r="7" spans="2:20" x14ac:dyDescent="0.3">
      <c r="B7" s="575" t="s">
        <v>544</v>
      </c>
      <c r="C7" s="604">
        <v>29</v>
      </c>
      <c r="D7" s="607">
        <v>10.58</v>
      </c>
      <c r="E7" s="604">
        <v>29</v>
      </c>
      <c r="F7" s="605">
        <v>12.557</v>
      </c>
      <c r="G7" s="604">
        <v>17</v>
      </c>
      <c r="H7" s="605">
        <v>25.061</v>
      </c>
      <c r="I7" s="598">
        <v>15</v>
      </c>
      <c r="J7" s="600">
        <v>16.129000000000001</v>
      </c>
      <c r="K7" s="560"/>
      <c r="L7" s="575" t="s">
        <v>544</v>
      </c>
      <c r="M7" s="611">
        <v>35</v>
      </c>
      <c r="N7" s="614">
        <v>60.692</v>
      </c>
      <c r="O7" s="611">
        <v>33</v>
      </c>
      <c r="P7" s="612">
        <v>68.143000000000001</v>
      </c>
      <c r="Q7" s="611">
        <v>13</v>
      </c>
      <c r="R7" s="612">
        <v>69.724000000000004</v>
      </c>
      <c r="S7" s="611">
        <v>3</v>
      </c>
      <c r="T7" s="612">
        <v>68.697999999999993</v>
      </c>
    </row>
    <row r="8" spans="2:20" x14ac:dyDescent="0.3">
      <c r="B8" s="575" t="s">
        <v>545</v>
      </c>
      <c r="C8" s="604">
        <v>7</v>
      </c>
      <c r="D8" s="605">
        <v>13.000999999999999</v>
      </c>
      <c r="E8" s="604">
        <v>7</v>
      </c>
      <c r="F8" s="605">
        <v>15.499000000000001</v>
      </c>
      <c r="G8" s="604">
        <v>5</v>
      </c>
      <c r="H8" s="605">
        <v>27.137</v>
      </c>
      <c r="I8" s="598">
        <v>5</v>
      </c>
      <c r="J8" s="600">
        <v>18.311</v>
      </c>
      <c r="K8" s="560"/>
      <c r="L8" s="575" t="s">
        <v>545</v>
      </c>
      <c r="M8" s="611">
        <v>14</v>
      </c>
      <c r="N8" s="612">
        <v>71.203999999999994</v>
      </c>
      <c r="O8" s="611">
        <v>15</v>
      </c>
      <c r="P8" s="612">
        <v>79.991</v>
      </c>
      <c r="Q8" s="611">
        <v>7</v>
      </c>
      <c r="R8" s="612">
        <v>82.646000000000001</v>
      </c>
      <c r="S8" s="611">
        <v>1</v>
      </c>
      <c r="T8" s="612">
        <v>84.722999999999999</v>
      </c>
    </row>
    <row r="9" spans="2:20" x14ac:dyDescent="0.3">
      <c r="B9" s="575" t="s">
        <v>546</v>
      </c>
      <c r="C9" s="604">
        <v>31</v>
      </c>
      <c r="D9" s="605">
        <v>10.987</v>
      </c>
      <c r="E9" s="604">
        <v>31</v>
      </c>
      <c r="F9" s="605">
        <v>13.022</v>
      </c>
      <c r="G9" s="604">
        <v>21</v>
      </c>
      <c r="H9" s="605">
        <v>25.335999999999999</v>
      </c>
      <c r="I9" s="598">
        <v>19</v>
      </c>
      <c r="J9" s="600">
        <v>16.721</v>
      </c>
      <c r="K9" s="560"/>
      <c r="L9" s="575" t="s">
        <v>546</v>
      </c>
      <c r="M9" s="611">
        <v>40</v>
      </c>
      <c r="N9" s="612">
        <v>63.185000000000002</v>
      </c>
      <c r="O9" s="611">
        <v>38</v>
      </c>
      <c r="P9" s="612">
        <v>69.942999999999998</v>
      </c>
      <c r="Q9" s="611">
        <v>16</v>
      </c>
      <c r="R9" s="612">
        <v>72.427000000000007</v>
      </c>
      <c r="S9" s="611">
        <v>3</v>
      </c>
      <c r="T9" s="612">
        <v>70.81</v>
      </c>
    </row>
    <row r="10" spans="2:20" x14ac:dyDescent="0.3">
      <c r="B10" s="575" t="s">
        <v>547</v>
      </c>
      <c r="C10" s="604">
        <v>32</v>
      </c>
      <c r="D10" s="605">
        <v>8.2409999999999997</v>
      </c>
      <c r="E10" s="604">
        <v>32</v>
      </c>
      <c r="F10" s="605">
        <v>9.7590000000000003</v>
      </c>
      <c r="G10" s="604">
        <v>21</v>
      </c>
      <c r="H10" s="605">
        <v>18.984000000000002</v>
      </c>
      <c r="I10" s="598">
        <v>19</v>
      </c>
      <c r="J10" s="600">
        <v>12.584</v>
      </c>
      <c r="K10" s="560"/>
      <c r="L10" s="575" t="s">
        <v>547</v>
      </c>
      <c r="M10" s="611">
        <v>41</v>
      </c>
      <c r="N10" s="612">
        <v>47.095999999999997</v>
      </c>
      <c r="O10" s="611">
        <v>39</v>
      </c>
      <c r="P10" s="612">
        <v>52.247</v>
      </c>
      <c r="Q10" s="611">
        <v>18</v>
      </c>
      <c r="R10" s="612">
        <v>53.026000000000003</v>
      </c>
      <c r="S10" s="611">
        <v>6</v>
      </c>
      <c r="T10" s="612">
        <v>51.533000000000001</v>
      </c>
    </row>
    <row r="11" spans="2:20" x14ac:dyDescent="0.3">
      <c r="B11" s="575" t="s">
        <v>540</v>
      </c>
      <c r="C11" s="604">
        <v>36</v>
      </c>
      <c r="D11" s="608">
        <v>1.58</v>
      </c>
      <c r="E11" s="604">
        <v>36</v>
      </c>
      <c r="F11" s="608">
        <v>1.9</v>
      </c>
      <c r="G11" s="604">
        <v>31</v>
      </c>
      <c r="H11" s="608">
        <v>3.76</v>
      </c>
      <c r="I11" s="598">
        <v>29</v>
      </c>
      <c r="J11" s="603">
        <v>2.5099999999999998</v>
      </c>
      <c r="K11" s="560"/>
      <c r="L11" s="575" t="s">
        <v>540</v>
      </c>
      <c r="M11" s="611">
        <v>43</v>
      </c>
      <c r="N11" s="615">
        <v>8.9499999999999993</v>
      </c>
      <c r="O11" s="611">
        <v>42</v>
      </c>
      <c r="P11" s="615">
        <v>10.36</v>
      </c>
      <c r="Q11" s="611">
        <v>17</v>
      </c>
      <c r="R11" s="615">
        <v>10.94</v>
      </c>
      <c r="S11" s="611">
        <v>4</v>
      </c>
      <c r="T11" s="615">
        <v>10.44</v>
      </c>
    </row>
    <row r="12" spans="2:20" x14ac:dyDescent="0.3">
      <c r="B12" s="575" t="s">
        <v>548</v>
      </c>
      <c r="C12" s="604">
        <v>7</v>
      </c>
      <c r="D12" s="605">
        <v>8.4179999999999993</v>
      </c>
      <c r="E12" s="604">
        <v>7</v>
      </c>
      <c r="F12" s="605">
        <v>13.551</v>
      </c>
      <c r="G12" s="604">
        <v>4</v>
      </c>
      <c r="H12" s="605">
        <v>24.259</v>
      </c>
      <c r="I12" s="598">
        <v>3</v>
      </c>
      <c r="J12" s="600">
        <v>9.7859999999999996</v>
      </c>
      <c r="K12" s="560"/>
      <c r="L12" s="575" t="s">
        <v>548</v>
      </c>
      <c r="M12" s="611">
        <v>14</v>
      </c>
      <c r="N12" s="612">
        <v>55.415999999999997</v>
      </c>
      <c r="O12" s="611">
        <v>14</v>
      </c>
      <c r="P12" s="612">
        <v>59.21</v>
      </c>
      <c r="Q12" s="611">
        <v>5</v>
      </c>
      <c r="R12" s="612">
        <v>61.61</v>
      </c>
      <c r="S12" s="611">
        <v>1</v>
      </c>
      <c r="T12" s="612">
        <v>53.58</v>
      </c>
    </row>
    <row r="13" spans="2:20" x14ac:dyDescent="0.3">
      <c r="B13" s="582" t="s">
        <v>549</v>
      </c>
      <c r="C13" s="609">
        <v>12</v>
      </c>
      <c r="D13" s="610">
        <v>3.0640000000000001</v>
      </c>
      <c r="E13" s="609">
        <v>12</v>
      </c>
      <c r="F13" s="610">
        <v>3.4830000000000001</v>
      </c>
      <c r="G13" s="609">
        <v>8</v>
      </c>
      <c r="H13" s="610">
        <v>3.9809999999999999</v>
      </c>
      <c r="I13" s="599">
        <v>7</v>
      </c>
      <c r="J13" s="601">
        <v>3.1859999999999999</v>
      </c>
      <c r="K13" s="560"/>
      <c r="L13" s="582" t="s">
        <v>549</v>
      </c>
      <c r="M13" s="616">
        <v>19</v>
      </c>
      <c r="N13" s="617">
        <v>13.021000000000001</v>
      </c>
      <c r="O13" s="616">
        <v>20</v>
      </c>
      <c r="P13" s="617">
        <v>13.875999999999999</v>
      </c>
      <c r="Q13" s="616">
        <v>8</v>
      </c>
      <c r="R13" s="617">
        <v>13.648999999999999</v>
      </c>
      <c r="S13" s="616">
        <v>3</v>
      </c>
      <c r="T13" s="617">
        <v>13.746</v>
      </c>
    </row>
    <row r="15" spans="2:20" x14ac:dyDescent="0.3">
      <c r="B15" s="226" t="s">
        <v>551</v>
      </c>
      <c r="C15" s="227"/>
      <c r="D15" s="227"/>
      <c r="E15" s="227"/>
      <c r="F15" s="227"/>
      <c r="I15" s="226"/>
      <c r="L15" s="226" t="s">
        <v>559</v>
      </c>
    </row>
    <row r="16" spans="2:20" ht="12.6" customHeight="1" x14ac:dyDescent="0.3">
      <c r="B16" s="226"/>
      <c r="C16" s="227"/>
      <c r="D16" s="227"/>
      <c r="E16" s="227"/>
      <c r="F16" s="227"/>
    </row>
    <row r="17" spans="3:14" ht="21" customHeight="1" x14ac:dyDescent="0.3">
      <c r="C17" s="562"/>
      <c r="D17" s="563"/>
      <c r="E17" s="563"/>
      <c r="F17" s="563"/>
      <c r="H17" s="226"/>
    </row>
    <row r="18" spans="3:14" s="196" customFormat="1" ht="21" customHeight="1" x14ac:dyDescent="0.3">
      <c r="C18" s="563"/>
      <c r="D18" s="563"/>
      <c r="E18" s="563"/>
      <c r="F18" s="563"/>
      <c r="H18" s="774"/>
      <c r="I18" s="774"/>
      <c r="J18" s="774"/>
      <c r="K18" s="774"/>
      <c r="L18" s="774"/>
      <c r="M18" s="774"/>
      <c r="N18" s="774"/>
    </row>
    <row r="19" spans="3:14" ht="21" customHeight="1" x14ac:dyDescent="0.3">
      <c r="C19" s="227"/>
      <c r="D19" s="561"/>
      <c r="E19" s="561"/>
      <c r="F19" s="561"/>
      <c r="G19" s="555"/>
    </row>
    <row r="20" spans="3:14" ht="21" customHeight="1" x14ac:dyDescent="0.3">
      <c r="C20" s="227"/>
      <c r="D20" s="561"/>
      <c r="E20" s="561"/>
      <c r="F20" s="561"/>
      <c r="G20" s="555"/>
    </row>
    <row r="21" spans="3:14" ht="21" customHeight="1" x14ac:dyDescent="0.3">
      <c r="C21" s="227"/>
      <c r="D21" s="561"/>
      <c r="E21" s="561"/>
      <c r="F21" s="561"/>
      <c r="G21" s="555"/>
    </row>
    <row r="22" spans="3:14" ht="21" customHeight="1" x14ac:dyDescent="0.3">
      <c r="C22" s="227"/>
      <c r="D22" s="561"/>
      <c r="E22" s="561"/>
      <c r="F22" s="561"/>
      <c r="G22" s="555"/>
    </row>
    <row r="23" spans="3:14" ht="21" customHeight="1" x14ac:dyDescent="0.3">
      <c r="C23" s="227"/>
      <c r="D23" s="561"/>
      <c r="E23" s="561"/>
      <c r="F23" s="564"/>
      <c r="G23" s="555"/>
    </row>
    <row r="24" spans="3:14" ht="21" customHeight="1" x14ac:dyDescent="0.3">
      <c r="C24" s="227"/>
      <c r="D24" s="561"/>
      <c r="E24" s="565"/>
      <c r="F24" s="565"/>
      <c r="G24" s="555"/>
    </row>
    <row r="25" spans="3:14" ht="21" customHeight="1" x14ac:dyDescent="0.3">
      <c r="C25" s="227"/>
      <c r="D25" s="561"/>
      <c r="E25" s="565"/>
      <c r="F25" s="565"/>
      <c r="G25" s="555"/>
    </row>
    <row r="26" spans="3:14" ht="21" customHeight="1" x14ac:dyDescent="0.3">
      <c r="C26" s="227"/>
      <c r="D26" s="561"/>
      <c r="E26" s="565"/>
      <c r="F26" s="565"/>
      <c r="G26" s="555"/>
    </row>
    <row r="27" spans="3:14" ht="21" customHeight="1" x14ac:dyDescent="0.3">
      <c r="D27" s="97"/>
      <c r="E27" s="122"/>
      <c r="F27" s="122"/>
      <c r="G27" s="555"/>
    </row>
    <row r="28" spans="3:14" ht="21" customHeight="1" x14ac:dyDescent="0.3">
      <c r="D28" s="97"/>
      <c r="E28" s="122"/>
      <c r="F28" s="122"/>
      <c r="G28" s="555"/>
    </row>
  </sheetData>
  <mergeCells count="5">
    <mergeCell ref="H18:N18"/>
    <mergeCell ref="B2:J2"/>
    <mergeCell ref="L2:T2"/>
    <mergeCell ref="B3:B4"/>
    <mergeCell ref="L3:L4"/>
  </mergeCells>
  <pageMargins left="0.7" right="0.7" top="0.75" bottom="0.75" header="0.3" footer="0.3"/>
  <pageSetup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2"/>
  <sheetViews>
    <sheetView showGridLines="0" zoomScaleNormal="100" workbookViewId="0">
      <selection activeCell="C2" sqref="C2"/>
    </sheetView>
  </sheetViews>
  <sheetFormatPr defaultColWidth="9.109375" defaultRowHeight="14.4" x14ac:dyDescent="0.3"/>
  <cols>
    <col min="1" max="1" width="1.109375" style="199" customWidth="1"/>
    <col min="2" max="2" width="22.77734375" style="199" customWidth="1"/>
    <col min="3" max="10" width="12.21875" style="199" customWidth="1"/>
    <col min="11" max="11" width="1.109375" style="199" customWidth="1"/>
    <col min="12" max="12" width="22.77734375" style="199" customWidth="1"/>
    <col min="13" max="20" width="12.21875" style="199" customWidth="1"/>
    <col min="21" max="16384" width="9.109375" style="199"/>
  </cols>
  <sheetData>
    <row r="1" spans="2:14" x14ac:dyDescent="0.3">
      <c r="B1" s="199" t="s">
        <v>583</v>
      </c>
    </row>
    <row r="2" spans="2:14" x14ac:dyDescent="0.3">
      <c r="B2" s="226" t="s">
        <v>560</v>
      </c>
      <c r="C2" s="227"/>
      <c r="D2" s="227"/>
      <c r="E2" s="227"/>
      <c r="F2" s="227"/>
      <c r="I2" s="226" t="s">
        <v>560</v>
      </c>
      <c r="L2" s="226"/>
    </row>
    <row r="3" spans="2:14" ht="12.6" customHeight="1" x14ac:dyDescent="0.3">
      <c r="B3" s="226"/>
      <c r="C3" s="227"/>
      <c r="D3" s="227"/>
      <c r="E3" s="227"/>
      <c r="F3" s="227"/>
    </row>
    <row r="4" spans="2:14" ht="21" customHeight="1" x14ac:dyDescent="0.3">
      <c r="C4" s="562"/>
      <c r="D4" s="563"/>
      <c r="E4" s="563"/>
      <c r="F4" s="563"/>
      <c r="H4" s="226"/>
    </row>
    <row r="5" spans="2:14" s="196" customFormat="1" ht="21" customHeight="1" x14ac:dyDescent="0.3">
      <c r="C5" s="563"/>
      <c r="D5" s="563"/>
      <c r="E5" s="563"/>
      <c r="F5" s="563"/>
      <c r="H5" s="774"/>
      <c r="I5" s="774"/>
      <c r="J5" s="774"/>
      <c r="K5" s="774"/>
      <c r="L5" s="774"/>
      <c r="M5" s="774"/>
      <c r="N5" s="774"/>
    </row>
    <row r="6" spans="2:14" ht="21" customHeight="1" x14ac:dyDescent="0.3">
      <c r="C6" s="227"/>
      <c r="D6" s="561"/>
      <c r="E6" s="561"/>
      <c r="F6" s="561"/>
      <c r="G6" s="555"/>
    </row>
    <row r="7" spans="2:14" ht="21" customHeight="1" x14ac:dyDescent="0.3">
      <c r="C7" s="227"/>
      <c r="D7" s="561"/>
      <c r="E7" s="561"/>
      <c r="F7" s="561"/>
      <c r="G7" s="555"/>
    </row>
    <row r="8" spans="2:14" ht="21" customHeight="1" x14ac:dyDescent="0.3">
      <c r="C8" s="227"/>
      <c r="D8" s="561"/>
      <c r="E8" s="561"/>
      <c r="F8" s="561"/>
      <c r="G8" s="555"/>
    </row>
    <row r="9" spans="2:14" ht="21" customHeight="1" x14ac:dyDescent="0.3">
      <c r="C9" s="227"/>
      <c r="D9" s="561"/>
      <c r="E9" s="561"/>
      <c r="F9" s="561"/>
      <c r="G9" s="555"/>
    </row>
    <row r="10" spans="2:14" ht="21" customHeight="1" x14ac:dyDescent="0.3">
      <c r="C10" s="227"/>
      <c r="D10" s="561"/>
      <c r="E10" s="561"/>
      <c r="F10" s="564"/>
      <c r="G10" s="555"/>
    </row>
    <row r="11" spans="2:14" ht="21" customHeight="1" x14ac:dyDescent="0.3">
      <c r="C11" s="227"/>
      <c r="D11" s="561"/>
      <c r="E11" s="565"/>
      <c r="F11" s="565"/>
      <c r="G11" s="555"/>
    </row>
    <row r="12" spans="2:14" ht="21" customHeight="1" x14ac:dyDescent="0.3">
      <c r="C12" s="227"/>
      <c r="D12" s="561"/>
      <c r="E12" s="565"/>
      <c r="F12" s="565"/>
      <c r="G12" s="555"/>
    </row>
    <row r="13" spans="2:14" ht="21" customHeight="1" x14ac:dyDescent="0.3">
      <c r="C13" s="227"/>
      <c r="D13" s="561"/>
      <c r="E13" s="565"/>
      <c r="F13" s="565"/>
      <c r="G13" s="555"/>
    </row>
    <row r="14" spans="2:14" ht="21" customHeight="1" x14ac:dyDescent="0.3">
      <c r="D14" s="97"/>
      <c r="E14" s="122"/>
      <c r="F14" s="122"/>
      <c r="G14" s="555"/>
    </row>
    <row r="15" spans="2:14" ht="21" customHeight="1" x14ac:dyDescent="0.3">
      <c r="D15" s="97"/>
      <c r="E15" s="122"/>
      <c r="F15" s="122"/>
      <c r="G15" s="555"/>
    </row>
    <row r="16" spans="2:14" x14ac:dyDescent="0.3">
      <c r="B16" s="226" t="s">
        <v>561</v>
      </c>
      <c r="C16" s="227"/>
      <c r="D16" s="227"/>
      <c r="E16" s="227"/>
      <c r="F16" s="227"/>
      <c r="I16" s="226" t="s">
        <v>561</v>
      </c>
      <c r="L16" s="226"/>
    </row>
    <row r="17" spans="2:14" ht="12.6" customHeight="1" x14ac:dyDescent="0.3">
      <c r="B17" s="226"/>
      <c r="C17" s="227"/>
      <c r="D17" s="227"/>
      <c r="E17" s="227"/>
      <c r="F17" s="227"/>
    </row>
    <row r="18" spans="2:14" ht="21" customHeight="1" x14ac:dyDescent="0.3">
      <c r="C18" s="562"/>
      <c r="D18" s="563"/>
      <c r="E18" s="563"/>
      <c r="F18" s="563"/>
      <c r="H18" s="226"/>
    </row>
    <row r="19" spans="2:14" s="196" customFormat="1" ht="21" customHeight="1" x14ac:dyDescent="0.3">
      <c r="C19" s="563"/>
      <c r="D19" s="563"/>
      <c r="E19" s="563"/>
      <c r="F19" s="563"/>
      <c r="H19" s="774"/>
      <c r="I19" s="774"/>
      <c r="J19" s="774"/>
      <c r="K19" s="774"/>
      <c r="L19" s="774"/>
      <c r="M19" s="774"/>
      <c r="N19" s="774"/>
    </row>
    <row r="20" spans="2:14" ht="21" customHeight="1" x14ac:dyDescent="0.3">
      <c r="C20" s="227"/>
      <c r="D20" s="561"/>
      <c r="E20" s="561"/>
      <c r="F20" s="561"/>
      <c r="G20" s="555"/>
    </row>
    <row r="21" spans="2:14" ht="21" customHeight="1" x14ac:dyDescent="0.3">
      <c r="C21" s="227"/>
      <c r="D21" s="561"/>
      <c r="E21" s="561"/>
      <c r="F21" s="561"/>
      <c r="G21" s="555"/>
    </row>
    <row r="22" spans="2:14" ht="21" customHeight="1" x14ac:dyDescent="0.3">
      <c r="C22" s="227"/>
      <c r="D22" s="561"/>
      <c r="E22" s="561"/>
      <c r="F22" s="561"/>
      <c r="G22" s="555"/>
    </row>
    <row r="23" spans="2:14" ht="21" customHeight="1" x14ac:dyDescent="0.3">
      <c r="C23" s="227"/>
      <c r="D23" s="561"/>
      <c r="E23" s="561"/>
      <c r="F23" s="561"/>
      <c r="G23" s="555"/>
    </row>
    <row r="24" spans="2:14" ht="21" customHeight="1" x14ac:dyDescent="0.3">
      <c r="C24" s="227"/>
      <c r="D24" s="561"/>
      <c r="E24" s="561"/>
      <c r="F24" s="564"/>
      <c r="G24" s="555"/>
    </row>
    <row r="25" spans="2:14" ht="21" customHeight="1" x14ac:dyDescent="0.3">
      <c r="C25" s="227"/>
      <c r="D25" s="561"/>
      <c r="E25" s="565"/>
      <c r="F25" s="565"/>
      <c r="G25" s="555"/>
    </row>
    <row r="26" spans="2:14" ht="21" customHeight="1" x14ac:dyDescent="0.3">
      <c r="C26" s="227"/>
      <c r="D26" s="561"/>
      <c r="E26" s="565"/>
      <c r="F26" s="565"/>
      <c r="G26" s="555"/>
    </row>
    <row r="27" spans="2:14" ht="21" customHeight="1" x14ac:dyDescent="0.3">
      <c r="C27" s="227"/>
      <c r="D27" s="561"/>
      <c r="E27" s="565"/>
      <c r="F27" s="565"/>
      <c r="G27" s="555"/>
    </row>
    <row r="28" spans="2:14" ht="21" customHeight="1" x14ac:dyDescent="0.3">
      <c r="D28" s="97"/>
      <c r="E28" s="122"/>
      <c r="F28" s="122"/>
      <c r="G28" s="555"/>
    </row>
    <row r="30" spans="2:14" x14ac:dyDescent="0.3">
      <c r="B30" s="226" t="s">
        <v>562</v>
      </c>
      <c r="C30" s="227"/>
      <c r="D30" s="227"/>
      <c r="E30" s="227"/>
      <c r="F30" s="227"/>
      <c r="I30" s="226" t="s">
        <v>562</v>
      </c>
      <c r="L30" s="226"/>
    </row>
    <row r="31" spans="2:14" ht="12.6" customHeight="1" x14ac:dyDescent="0.3">
      <c r="B31" s="226"/>
      <c r="C31" s="227"/>
      <c r="D31" s="227"/>
      <c r="E31" s="227"/>
      <c r="F31" s="227"/>
    </row>
    <row r="32" spans="2:14" ht="21" customHeight="1" x14ac:dyDescent="0.3">
      <c r="C32" s="562"/>
      <c r="D32" s="563"/>
      <c r="E32" s="563"/>
      <c r="F32" s="563"/>
      <c r="H32" s="226"/>
    </row>
    <row r="33" spans="3:14" s="196" customFormat="1" ht="21" customHeight="1" x14ac:dyDescent="0.3">
      <c r="C33" s="563"/>
      <c r="D33" s="563"/>
      <c r="E33" s="563"/>
      <c r="F33" s="563"/>
      <c r="H33" s="774"/>
      <c r="I33" s="774"/>
      <c r="J33" s="774"/>
      <c r="K33" s="774"/>
      <c r="L33" s="774"/>
      <c r="M33" s="774"/>
      <c r="N33" s="774"/>
    </row>
    <row r="34" spans="3:14" ht="21" customHeight="1" x14ac:dyDescent="0.3">
      <c r="C34" s="227"/>
      <c r="D34" s="561"/>
      <c r="E34" s="561"/>
      <c r="F34" s="561"/>
      <c r="G34" s="555"/>
    </row>
    <row r="35" spans="3:14" ht="21" customHeight="1" x14ac:dyDescent="0.3">
      <c r="C35" s="227"/>
      <c r="D35" s="561"/>
      <c r="E35" s="561"/>
      <c r="F35" s="561"/>
      <c r="G35" s="555"/>
    </row>
    <row r="36" spans="3:14" ht="21" customHeight="1" x14ac:dyDescent="0.3">
      <c r="C36" s="227"/>
      <c r="D36" s="561"/>
      <c r="E36" s="561"/>
      <c r="F36" s="561"/>
      <c r="G36" s="555"/>
    </row>
    <row r="37" spans="3:14" ht="21" customHeight="1" x14ac:dyDescent="0.3">
      <c r="C37" s="227"/>
      <c r="D37" s="561"/>
      <c r="E37" s="561"/>
      <c r="F37" s="561"/>
      <c r="G37" s="555"/>
    </row>
    <row r="38" spans="3:14" ht="21" customHeight="1" x14ac:dyDescent="0.3">
      <c r="C38" s="227"/>
      <c r="D38" s="561"/>
      <c r="E38" s="561"/>
      <c r="F38" s="564"/>
      <c r="G38" s="555"/>
    </row>
    <row r="39" spans="3:14" ht="21" customHeight="1" x14ac:dyDescent="0.3">
      <c r="C39" s="227"/>
      <c r="D39" s="561"/>
      <c r="E39" s="565"/>
      <c r="F39" s="565"/>
      <c r="G39" s="555"/>
    </row>
    <row r="40" spans="3:14" ht="21" customHeight="1" x14ac:dyDescent="0.3">
      <c r="C40" s="227"/>
      <c r="D40" s="561"/>
      <c r="E40" s="565"/>
      <c r="F40" s="565"/>
      <c r="G40" s="555"/>
    </row>
    <row r="41" spans="3:14" ht="21" customHeight="1" x14ac:dyDescent="0.3">
      <c r="C41" s="227"/>
      <c r="D41" s="561"/>
      <c r="E41" s="565"/>
      <c r="F41" s="565"/>
      <c r="G41" s="555"/>
    </row>
    <row r="42" spans="3:14" ht="21" customHeight="1" x14ac:dyDescent="0.3">
      <c r="D42" s="97"/>
      <c r="E42" s="122"/>
      <c r="F42" s="122"/>
      <c r="G42" s="555"/>
    </row>
  </sheetData>
  <mergeCells count="3">
    <mergeCell ref="H33:N33"/>
    <mergeCell ref="H5:N5"/>
    <mergeCell ref="H19:N19"/>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AAPL Earnings Model (Tier 1)</vt:lpstr>
      <vt:lpstr>Dollar Index</vt:lpstr>
      <vt:lpstr>Guidance Charts</vt:lpstr>
      <vt:lpstr>Consensus Estimates</vt:lpstr>
      <vt:lpstr>Product Charts</vt:lpstr>
      <vt:lpstr>'AAPL Earnings Model (Tier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2019-01-16T18:02:06Z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